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xuser\Downloads\"/>
    </mc:Choice>
  </mc:AlternateContent>
  <xr:revisionPtr revIDLastSave="0" documentId="13_ncr:1_{B661F2E8-23CD-4B02-A3E6-DDF3A900C412}" xr6:coauthVersionLast="47" xr6:coauthVersionMax="47" xr10:uidLastSave="{00000000-0000-0000-0000-000000000000}"/>
  <bookViews>
    <workbookView xWindow="-120" yWindow="-120" windowWidth="37680" windowHeight="19575" xr2:uid="{B50B74F8-C879-428E-BAB6-D0966E3A5C3E}"/>
  </bookViews>
  <sheets>
    <sheet name="Summary" sheetId="17" r:id="rId1"/>
    <sheet name="IRR-Synergies" sheetId="16" r:id="rId2"/>
    <sheet name="Contrib." sheetId="15" r:id="rId3"/>
    <sheet name="Merger-Model" sheetId="11" r:id="rId4"/>
    <sheet name="Consolidation Adj" sheetId="14" r:id="rId5"/>
    <sheet name="Marks" sheetId="8" r:id="rId6"/>
    <sheet name="Seller---&gt;" sheetId="12" r:id="rId7"/>
    <sheet name="DDM" sheetId="9" r:id="rId8"/>
    <sheet name="Seller" sheetId="7" r:id="rId9"/>
    <sheet name="Buyer---&gt;" sheetId="10" r:id="rId10"/>
    <sheet name="Buyer" sheetId="2" r:id="rId11"/>
    <sheet name="Loans" sheetId="3" r:id="rId12"/>
    <sheet name="Capital &amp; Dividends" sheetId="4" r:id="rId13"/>
    <sheet name="PPE &amp; Intangibles" sheetId="5" r:id="rId14"/>
    <sheet name="Deposits" sheetId="6" r:id="rId15"/>
  </sheets>
  <definedNames>
    <definedName name="Buyer_Share_Price">Buyer!$J$9</definedName>
    <definedName name="Buyer_shares">Buyer!$J$8</definedName>
    <definedName name="CIQWBGuid" hidden="1">"fedf60f8-2cd9-49ba-9fee-91fc372c3a0f"</definedName>
    <definedName name="Circ_Ref">Buyer!$D$20</definedName>
    <definedName name="Close_Date">'Merger-Model'!$D$12</definedName>
    <definedName name="Combined_CET_1">'Merger-Model'!$D$13</definedName>
    <definedName name="Company_Name">Buyer!$D$7</definedName>
    <definedName name="Cost_Synergies_Pct">'Merger-Model'!$D$29</definedName>
    <definedName name="Cost_Synergies_Pct_Realized_Year_1">'Merger-Model'!$D$30</definedName>
    <definedName name="Cost_Synergies_Pct_Realized_Year_2">'Merger-Model'!$D$31</definedName>
    <definedName name="Cost_Synergies_Pct_Realized_Year_3">'Merger-Model'!$D$32</definedName>
    <definedName name="Equity_Purchase_Price">'Merger-Model'!$D$11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"08/30/2015 13:55:30"</definedName>
    <definedName name="IQ_QTD" hidden="1">750000</definedName>
    <definedName name="IQ_TODAY" hidden="1">0</definedName>
    <definedName name="IQ_YTDMONTH" hidden="1">130000</definedName>
    <definedName name="Merger_Costs_Pct_Full_Synergies">'Merger-Model'!$D$33</definedName>
    <definedName name="Offer_Price">'Merger-Model'!$D$9</definedName>
    <definedName name="Offer_Price_Cash">'Merger-Model'!$D$17</definedName>
    <definedName name="Pct_Cash">'Merger-Model'!$D$16</definedName>
    <definedName name="Purchase_Premium" localSheetId="3">'Merger-Model'!$D$8</definedName>
    <definedName name="Purchase_Premium">'Merger-Model'!$D$8</definedName>
    <definedName name="Rev_Synergies_Margin">'Merger-Model'!$D$28</definedName>
    <definedName name="Rev_Synergies_Pct">'Merger-Model'!$D$27</definedName>
    <definedName name="Scenario">Buyer!$D$19</definedName>
    <definedName name="Seller_CET_1">Seller!$D$13</definedName>
    <definedName name="Seller_Name">Seller!$D$7</definedName>
    <definedName name="Seller_Share_Price">Seller!$D$10</definedName>
    <definedName name="Seller_shares">Seller!$D$17</definedName>
    <definedName name="Seller_Shares_at_Offer_Price">Seller!$D$18</definedName>
    <definedName name="Seller_Tax_Rate">Seller!$D$15</definedName>
    <definedName name="Seller_Year">Seller!$D$12</definedName>
    <definedName name="Units">Buyer!$D$17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6" l="1"/>
  <c r="I58" i="17"/>
  <c r="J58" i="17"/>
  <c r="K58" i="17"/>
  <c r="L58" i="17"/>
  <c r="H58" i="17"/>
  <c r="I57" i="17"/>
  <c r="J57" i="17"/>
  <c r="K57" i="17"/>
  <c r="L57" i="17"/>
  <c r="H55" i="17"/>
  <c r="H53" i="17"/>
  <c r="F47" i="17"/>
  <c r="G47" i="17"/>
  <c r="E47" i="17"/>
  <c r="F46" i="17"/>
  <c r="G46" i="17"/>
  <c r="E46" i="17"/>
  <c r="F42" i="17"/>
  <c r="G42" i="17"/>
  <c r="E42" i="17"/>
  <c r="F41" i="17"/>
  <c r="G41" i="17"/>
  <c r="E41" i="17"/>
  <c r="F37" i="17"/>
  <c r="G37" i="17"/>
  <c r="E37" i="17"/>
  <c r="F36" i="17"/>
  <c r="G36" i="17"/>
  <c r="E36" i="17"/>
  <c r="E34" i="17"/>
  <c r="F34" i="17"/>
  <c r="G34" i="17"/>
  <c r="H34" i="17"/>
  <c r="I34" i="17"/>
  <c r="J34" i="17"/>
  <c r="K34" i="17"/>
  <c r="L34" i="17"/>
  <c r="K25" i="17"/>
  <c r="L26" i="17"/>
  <c r="K26" i="17"/>
  <c r="I25" i="17"/>
  <c r="C30" i="17"/>
  <c r="C31" i="17"/>
  <c r="C29" i="17"/>
  <c r="D26" i="17"/>
  <c r="D27" i="17"/>
  <c r="C26" i="17"/>
  <c r="C27" i="17"/>
  <c r="C25" i="17"/>
  <c r="D25" i="17"/>
  <c r="D289" i="11" l="1"/>
  <c r="D290" i="11"/>
  <c r="D291" i="11" s="1"/>
  <c r="D292" i="11" s="1"/>
  <c r="D284" i="11"/>
  <c r="D285" i="11"/>
  <c r="D286" i="11"/>
  <c r="D287" i="11"/>
  <c r="E283" i="11"/>
  <c r="F283" i="11"/>
  <c r="G283" i="11"/>
  <c r="H283" i="11"/>
  <c r="J283" i="11"/>
  <c r="K283" i="11"/>
  <c r="L283" i="11" s="1"/>
  <c r="M283" i="11" s="1"/>
  <c r="D272" i="11"/>
  <c r="D273" i="11"/>
  <c r="D274" i="11"/>
  <c r="D275" i="11"/>
  <c r="J271" i="11"/>
  <c r="I271" i="11" s="1"/>
  <c r="H271" i="11" s="1"/>
  <c r="G271" i="11" s="1"/>
  <c r="F271" i="11" s="1"/>
  <c r="E271" i="11" s="1"/>
  <c r="K271" i="11"/>
  <c r="L271" i="11"/>
  <c r="M68" i="16"/>
  <c r="L68" i="16"/>
  <c r="K68" i="16"/>
  <c r="J68" i="16"/>
  <c r="E68" i="16"/>
  <c r="F68" i="16"/>
  <c r="G68" i="16"/>
  <c r="H68" i="16"/>
  <c r="D61" i="16"/>
  <c r="D62" i="16" s="1"/>
  <c r="D63" i="16" s="1"/>
  <c r="D58" i="16"/>
  <c r="D57" i="16" s="1"/>
  <c r="D59" i="16"/>
  <c r="J56" i="16"/>
  <c r="K56" i="16" s="1"/>
  <c r="L56" i="16" s="1"/>
  <c r="M56" i="16" s="1"/>
  <c r="H56" i="16"/>
  <c r="G56" i="16" s="1"/>
  <c r="F56" i="16" s="1"/>
  <c r="E56" i="16" s="1"/>
  <c r="D21" i="17" l="1"/>
  <c r="I15" i="17"/>
  <c r="D20" i="17"/>
  <c r="D7" i="17"/>
  <c r="D18" i="17"/>
  <c r="B2" i="17"/>
  <c r="C48" i="17"/>
  <c r="C47" i="17"/>
  <c r="C46" i="17"/>
  <c r="C43" i="17"/>
  <c r="C42" i="17"/>
  <c r="C41" i="17"/>
  <c r="D8" i="17"/>
  <c r="B2" i="16"/>
  <c r="I23" i="16"/>
  <c r="J23" i="16"/>
  <c r="K23" i="16"/>
  <c r="L23" i="16"/>
  <c r="M23" i="16" s="1"/>
  <c r="N23" i="16" s="1"/>
  <c r="O23" i="16" s="1"/>
  <c r="P23" i="16" s="1"/>
  <c r="Q23" i="16" s="1"/>
  <c r="E16" i="16"/>
  <c r="E34" i="16" s="1"/>
  <c r="F16" i="16"/>
  <c r="F34" i="16" s="1"/>
  <c r="G16" i="16"/>
  <c r="G34" i="16" s="1"/>
  <c r="H16" i="16"/>
  <c r="H34" i="16" s="1"/>
  <c r="I16" i="16"/>
  <c r="I34" i="16" s="1"/>
  <c r="J16" i="16"/>
  <c r="J34" i="16" s="1"/>
  <c r="K16" i="16"/>
  <c r="K34" i="16" s="1"/>
  <c r="L16" i="16"/>
  <c r="M16" i="16" s="1"/>
  <c r="N16" i="16" s="1"/>
  <c r="O16" i="16" s="1"/>
  <c r="P16" i="16" s="1"/>
  <c r="Q16" i="16" s="1"/>
  <c r="Q34" i="16" s="1"/>
  <c r="C7" i="16"/>
  <c r="K48" i="16"/>
  <c r="L48" i="16" s="1"/>
  <c r="M48" i="16" s="1"/>
  <c r="N48" i="16" s="1"/>
  <c r="O48" i="16" s="1"/>
  <c r="P48" i="16" s="1"/>
  <c r="N45" i="16"/>
  <c r="O45" i="16" s="1"/>
  <c r="P45" i="16" s="1"/>
  <c r="Q45" i="16" s="1"/>
  <c r="J27" i="16"/>
  <c r="K27" i="16" s="1"/>
  <c r="L27" i="16" s="1"/>
  <c r="M27" i="16" s="1"/>
  <c r="N27" i="16" s="1"/>
  <c r="O27" i="16" s="1"/>
  <c r="P27" i="16" s="1"/>
  <c r="I31" i="15"/>
  <c r="J31" i="15" s="1"/>
  <c r="I30" i="15"/>
  <c r="E31" i="15"/>
  <c r="E30" i="15"/>
  <c r="D31" i="15"/>
  <c r="D30" i="15"/>
  <c r="I9" i="15"/>
  <c r="J9" i="15" s="1"/>
  <c r="E9" i="15"/>
  <c r="D9" i="15"/>
  <c r="D10" i="15" s="1"/>
  <c r="B2" i="15"/>
  <c r="C40" i="15"/>
  <c r="C39" i="15"/>
  <c r="C38" i="15"/>
  <c r="C37" i="15"/>
  <c r="C36" i="15"/>
  <c r="C35" i="15"/>
  <c r="C34" i="15"/>
  <c r="C10" i="15"/>
  <c r="H8" i="15"/>
  <c r="G8" i="15"/>
  <c r="E185" i="11"/>
  <c r="F185" i="11"/>
  <c r="G185" i="11"/>
  <c r="E186" i="11"/>
  <c r="F186" i="11"/>
  <c r="G186" i="11"/>
  <c r="F264" i="11"/>
  <c r="G264" i="11"/>
  <c r="F265" i="11"/>
  <c r="G265" i="11"/>
  <c r="F266" i="11"/>
  <c r="G266" i="11"/>
  <c r="E265" i="11"/>
  <c r="E266" i="11"/>
  <c r="E264" i="11"/>
  <c r="F259" i="11"/>
  <c r="G259" i="11"/>
  <c r="F260" i="11"/>
  <c r="G260" i="11"/>
  <c r="F261" i="11"/>
  <c r="G261" i="11"/>
  <c r="F262" i="11"/>
  <c r="G262" i="11"/>
  <c r="E260" i="11"/>
  <c r="E261" i="11"/>
  <c r="E262" i="11"/>
  <c r="E259" i="11"/>
  <c r="F253" i="11"/>
  <c r="G253" i="11"/>
  <c r="F254" i="11"/>
  <c r="G254" i="11"/>
  <c r="F255" i="11"/>
  <c r="G255" i="11"/>
  <c r="F256" i="11"/>
  <c r="G256" i="11"/>
  <c r="F257" i="11"/>
  <c r="G257" i="11"/>
  <c r="E254" i="11"/>
  <c r="E255" i="11"/>
  <c r="E256" i="11"/>
  <c r="E257" i="11"/>
  <c r="E253" i="11"/>
  <c r="F249" i="11"/>
  <c r="G249" i="11"/>
  <c r="F250" i="11"/>
  <c r="G250" i="11"/>
  <c r="F251" i="11"/>
  <c r="G251" i="11"/>
  <c r="E250" i="11"/>
  <c r="E251" i="11"/>
  <c r="E249" i="11"/>
  <c r="F245" i="11"/>
  <c r="G245" i="11"/>
  <c r="F246" i="11"/>
  <c r="G246" i="11"/>
  <c r="F247" i="11"/>
  <c r="G247" i="11"/>
  <c r="E246" i="11"/>
  <c r="E247" i="11"/>
  <c r="E245" i="11"/>
  <c r="E228" i="11"/>
  <c r="F228" i="11"/>
  <c r="G228" i="11"/>
  <c r="E229" i="11"/>
  <c r="F229" i="11"/>
  <c r="G229" i="11"/>
  <c r="E230" i="11"/>
  <c r="F230" i="11"/>
  <c r="G230" i="11"/>
  <c r="H226" i="11"/>
  <c r="E226" i="11"/>
  <c r="F226" i="11"/>
  <c r="G226" i="11"/>
  <c r="M221" i="11"/>
  <c r="N221" i="11"/>
  <c r="O221" i="11"/>
  <c r="P221" i="11"/>
  <c r="L221" i="11"/>
  <c r="H219" i="11"/>
  <c r="E213" i="11"/>
  <c r="F213" i="11"/>
  <c r="G213" i="11"/>
  <c r="K213" i="11" s="1"/>
  <c r="E214" i="11"/>
  <c r="F214" i="11"/>
  <c r="G214" i="11"/>
  <c r="E215" i="11"/>
  <c r="F215" i="11"/>
  <c r="G215" i="11"/>
  <c r="K215" i="11" s="1"/>
  <c r="E216" i="11"/>
  <c r="F216" i="11"/>
  <c r="G216" i="11"/>
  <c r="E217" i="11"/>
  <c r="F217" i="11"/>
  <c r="G217" i="11"/>
  <c r="E218" i="11"/>
  <c r="F218" i="11"/>
  <c r="G218" i="11"/>
  <c r="E219" i="11"/>
  <c r="F219" i="11"/>
  <c r="G219" i="11"/>
  <c r="E221" i="11"/>
  <c r="F221" i="11"/>
  <c r="G221" i="11"/>
  <c r="K221" i="11" s="1"/>
  <c r="F212" i="11"/>
  <c r="G212" i="11"/>
  <c r="E212" i="11"/>
  <c r="C218" i="11"/>
  <c r="C219" i="11"/>
  <c r="C220" i="11"/>
  <c r="C221" i="11"/>
  <c r="C222" i="11"/>
  <c r="C211" i="11"/>
  <c r="C212" i="11"/>
  <c r="C213" i="11"/>
  <c r="C214" i="11"/>
  <c r="C215" i="11"/>
  <c r="C216" i="11"/>
  <c r="C217" i="11"/>
  <c r="E184" i="11"/>
  <c r="F184" i="11"/>
  <c r="G184" i="11"/>
  <c r="K184" i="11" s="1"/>
  <c r="L168" i="11"/>
  <c r="M154" i="11"/>
  <c r="N154" i="11"/>
  <c r="O154" i="11"/>
  <c r="P154" i="11"/>
  <c r="L154" i="11"/>
  <c r="H15" i="8"/>
  <c r="I15" i="8"/>
  <c r="M143" i="11"/>
  <c r="N143" i="11"/>
  <c r="O143" i="11"/>
  <c r="P143" i="11"/>
  <c r="L143" i="11"/>
  <c r="E181" i="11"/>
  <c r="F181" i="11"/>
  <c r="G181" i="11"/>
  <c r="E179" i="11"/>
  <c r="F179" i="11"/>
  <c r="G179" i="11"/>
  <c r="E166" i="11"/>
  <c r="F166" i="11"/>
  <c r="G166" i="11"/>
  <c r="E167" i="11"/>
  <c r="F167" i="11"/>
  <c r="G167" i="11"/>
  <c r="E168" i="11"/>
  <c r="F168" i="11"/>
  <c r="G168" i="11"/>
  <c r="E169" i="11"/>
  <c r="F169" i="11"/>
  <c r="G169" i="11"/>
  <c r="E170" i="11"/>
  <c r="F170" i="11"/>
  <c r="G170" i="11"/>
  <c r="E171" i="11"/>
  <c r="F171" i="11"/>
  <c r="G171" i="11"/>
  <c r="E162" i="11"/>
  <c r="F162" i="11"/>
  <c r="G162" i="11"/>
  <c r="E163" i="11"/>
  <c r="F163" i="11"/>
  <c r="G163" i="11"/>
  <c r="E154" i="11"/>
  <c r="F154" i="11"/>
  <c r="G154" i="11"/>
  <c r="E155" i="11"/>
  <c r="F155" i="11"/>
  <c r="G155" i="11"/>
  <c r="E156" i="11"/>
  <c r="F156" i="11"/>
  <c r="G156" i="11"/>
  <c r="E149" i="11"/>
  <c r="F149" i="11"/>
  <c r="G149" i="11"/>
  <c r="E150" i="11"/>
  <c r="F150" i="11"/>
  <c r="G150" i="11"/>
  <c r="F140" i="11"/>
  <c r="G140" i="11"/>
  <c r="F141" i="11"/>
  <c r="G141" i="11"/>
  <c r="E140" i="11"/>
  <c r="E141" i="11"/>
  <c r="H114" i="11"/>
  <c r="I114" i="11"/>
  <c r="J114" i="11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B2" i="14"/>
  <c r="B2" i="11"/>
  <c r="F14" i="14"/>
  <c r="E17" i="14"/>
  <c r="E16" i="14"/>
  <c r="E15" i="14"/>
  <c r="F11" i="14"/>
  <c r="E12" i="14"/>
  <c r="F13" i="14" s="1"/>
  <c r="C26" i="14"/>
  <c r="I108" i="11"/>
  <c r="J108" i="11"/>
  <c r="H99" i="11"/>
  <c r="H214" i="11" s="1"/>
  <c r="H100" i="11"/>
  <c r="E25" i="14" s="1"/>
  <c r="H101" i="11"/>
  <c r="E26" i="14" s="1"/>
  <c r="H102" i="11"/>
  <c r="H98" i="11"/>
  <c r="H89" i="11"/>
  <c r="H90" i="11"/>
  <c r="H223" i="11" s="1"/>
  <c r="K223" i="11" s="1"/>
  <c r="H91" i="11"/>
  <c r="H93" i="11"/>
  <c r="H94" i="11"/>
  <c r="H88" i="11"/>
  <c r="E25" i="15" s="1"/>
  <c r="H84" i="11"/>
  <c r="H82" i="11"/>
  <c r="H71" i="11"/>
  <c r="H72" i="11"/>
  <c r="H73" i="11"/>
  <c r="E23" i="15" s="1"/>
  <c r="H74" i="11"/>
  <c r="H75" i="11"/>
  <c r="H76" i="11"/>
  <c r="H77" i="11"/>
  <c r="H78" i="11"/>
  <c r="H79" i="11"/>
  <c r="H218" i="11" s="1"/>
  <c r="H70" i="11"/>
  <c r="G68" i="11"/>
  <c r="K68" i="11" s="1"/>
  <c r="L68" i="11" s="1"/>
  <c r="L114" i="11" s="1"/>
  <c r="F98" i="11"/>
  <c r="G98" i="11"/>
  <c r="D26" i="15" s="1"/>
  <c r="F99" i="11"/>
  <c r="G99" i="11"/>
  <c r="F100" i="11"/>
  <c r="G100" i="11"/>
  <c r="F101" i="11"/>
  <c r="G101" i="11"/>
  <c r="F103" i="11"/>
  <c r="G103" i="11"/>
  <c r="F105" i="11"/>
  <c r="G105" i="11"/>
  <c r="E99" i="11"/>
  <c r="E100" i="11"/>
  <c r="E101" i="11"/>
  <c r="E103" i="11"/>
  <c r="E105" i="11"/>
  <c r="E98" i="11"/>
  <c r="F88" i="11"/>
  <c r="G88" i="11"/>
  <c r="D25" i="15" s="1"/>
  <c r="F89" i="11"/>
  <c r="G89" i="11"/>
  <c r="F90" i="11"/>
  <c r="G90" i="11"/>
  <c r="F91" i="11"/>
  <c r="G91" i="11"/>
  <c r="F93" i="11"/>
  <c r="G93" i="11"/>
  <c r="F94" i="11"/>
  <c r="G94" i="11"/>
  <c r="E89" i="11"/>
  <c r="E90" i="11"/>
  <c r="E91" i="11"/>
  <c r="E93" i="11"/>
  <c r="E94" i="11"/>
  <c r="E88" i="11"/>
  <c r="E84" i="11"/>
  <c r="F84" i="11"/>
  <c r="G84" i="11"/>
  <c r="F82" i="11"/>
  <c r="G82" i="11"/>
  <c r="E82" i="11"/>
  <c r="E71" i="11"/>
  <c r="F71" i="11"/>
  <c r="G71" i="11"/>
  <c r="E72" i="11"/>
  <c r="F72" i="11"/>
  <c r="G72" i="11"/>
  <c r="E73" i="11"/>
  <c r="F73" i="11"/>
  <c r="G73" i="11"/>
  <c r="D23" i="15" s="1"/>
  <c r="E74" i="11"/>
  <c r="F74" i="11"/>
  <c r="G74" i="11"/>
  <c r="E75" i="11"/>
  <c r="F75" i="11"/>
  <c r="G75" i="11"/>
  <c r="E76" i="11"/>
  <c r="F76" i="11"/>
  <c r="G76" i="11"/>
  <c r="E77" i="11"/>
  <c r="F77" i="11"/>
  <c r="G77" i="11"/>
  <c r="E78" i="11"/>
  <c r="F78" i="11"/>
  <c r="G78" i="11"/>
  <c r="E79" i="11"/>
  <c r="F79" i="11"/>
  <c r="G79" i="11"/>
  <c r="F70" i="11"/>
  <c r="G70" i="11"/>
  <c r="E70" i="11"/>
  <c r="D60" i="11"/>
  <c r="F39" i="11"/>
  <c r="F38" i="11"/>
  <c r="F37" i="11"/>
  <c r="D39" i="11"/>
  <c r="D38" i="11"/>
  <c r="D37" i="11"/>
  <c r="C43" i="11"/>
  <c r="C42" i="11"/>
  <c r="C39" i="11"/>
  <c r="C38" i="11"/>
  <c r="C37" i="11"/>
  <c r="C41" i="11"/>
  <c r="Q10" i="11"/>
  <c r="D18" i="11"/>
  <c r="E23" i="14" s="1"/>
  <c r="G248" i="7"/>
  <c r="H248" i="7"/>
  <c r="I248" i="7"/>
  <c r="J248" i="7"/>
  <c r="K248" i="7"/>
  <c r="L248" i="7"/>
  <c r="F248" i="7"/>
  <c r="E52" i="9"/>
  <c r="D27" i="15" l="1"/>
  <c r="N34" i="16"/>
  <c r="O34" i="16"/>
  <c r="F23" i="15"/>
  <c r="G23" i="15" s="1"/>
  <c r="M34" i="16"/>
  <c r="P34" i="16"/>
  <c r="L34" i="16"/>
  <c r="E26" i="15"/>
  <c r="I26" i="15" s="1"/>
  <c r="J26" i="15" s="1"/>
  <c r="J37" i="15" s="1"/>
  <c r="E24" i="14"/>
  <c r="I98" i="11" s="1"/>
  <c r="I212" i="11" s="1"/>
  <c r="E27" i="15"/>
  <c r="F27" i="15" s="1"/>
  <c r="G27" i="15" s="1"/>
  <c r="F25" i="15"/>
  <c r="G25" i="15" s="1"/>
  <c r="G38" i="15" s="1"/>
  <c r="J30" i="15"/>
  <c r="J35" i="15" s="1"/>
  <c r="I23" i="15"/>
  <c r="J23" i="15" s="1"/>
  <c r="J40" i="15" s="1"/>
  <c r="I25" i="15"/>
  <c r="J25" i="15" s="1"/>
  <c r="J38" i="15" s="1"/>
  <c r="F30" i="15"/>
  <c r="G30" i="15" s="1"/>
  <c r="H30" i="15" s="1"/>
  <c r="H35" i="15" s="1"/>
  <c r="F31" i="15"/>
  <c r="G31" i="15" s="1"/>
  <c r="C13" i="15"/>
  <c r="F9" i="15"/>
  <c r="G9" i="15" s="1"/>
  <c r="H9" i="15" s="1"/>
  <c r="G34" i="15"/>
  <c r="H31" i="15"/>
  <c r="H34" i="15" s="1"/>
  <c r="J34" i="15"/>
  <c r="G40" i="15"/>
  <c r="H23" i="15"/>
  <c r="H40" i="15" s="1"/>
  <c r="K226" i="11"/>
  <c r="H216" i="11"/>
  <c r="H217" i="11"/>
  <c r="F220" i="11"/>
  <c r="F222" i="11" s="1"/>
  <c r="F224" i="11" s="1"/>
  <c r="H212" i="11"/>
  <c r="E220" i="11"/>
  <c r="E222" i="11" s="1"/>
  <c r="E224" i="11" s="1"/>
  <c r="G220" i="11"/>
  <c r="G222" i="11" s="1"/>
  <c r="G224" i="11" s="1"/>
  <c r="G176" i="11"/>
  <c r="F176" i="11"/>
  <c r="E176" i="11"/>
  <c r="F151" i="11"/>
  <c r="E151" i="11"/>
  <c r="G151" i="11"/>
  <c r="F157" i="11"/>
  <c r="E157" i="11"/>
  <c r="G157" i="11"/>
  <c r="K114" i="11"/>
  <c r="G114" i="11"/>
  <c r="I83" i="11"/>
  <c r="I79" i="11"/>
  <c r="I75" i="11"/>
  <c r="I71" i="11"/>
  <c r="J82" i="11"/>
  <c r="J78" i="11"/>
  <c r="J74" i="11"/>
  <c r="I94" i="11"/>
  <c r="I89" i="11"/>
  <c r="J91" i="11"/>
  <c r="I100" i="11"/>
  <c r="I217" i="11" s="1"/>
  <c r="I82" i="11"/>
  <c r="I78" i="11"/>
  <c r="I74" i="11"/>
  <c r="J81" i="11"/>
  <c r="J77" i="11"/>
  <c r="J73" i="11"/>
  <c r="I93" i="11"/>
  <c r="I88" i="11"/>
  <c r="J90" i="11"/>
  <c r="I103" i="11"/>
  <c r="I99" i="11"/>
  <c r="I214" i="11" s="1"/>
  <c r="J100" i="11"/>
  <c r="J217" i="11" s="1"/>
  <c r="I77" i="11"/>
  <c r="I73" i="11"/>
  <c r="J84" i="11"/>
  <c r="J80" i="11"/>
  <c r="J76" i="11"/>
  <c r="J72" i="11"/>
  <c r="I91" i="11"/>
  <c r="J94" i="11"/>
  <c r="J89" i="11"/>
  <c r="I102" i="11"/>
  <c r="J103" i="11"/>
  <c r="J99" i="11"/>
  <c r="J214" i="11" s="1"/>
  <c r="I105" i="11"/>
  <c r="I219" i="11" s="1"/>
  <c r="I84" i="11"/>
  <c r="I80" i="11"/>
  <c r="D17" i="17" s="1"/>
  <c r="I76" i="11"/>
  <c r="I72" i="11"/>
  <c r="J79" i="11"/>
  <c r="J75" i="11"/>
  <c r="J71" i="11"/>
  <c r="I90" i="11"/>
  <c r="J93" i="11"/>
  <c r="J88" i="11"/>
  <c r="J102" i="11"/>
  <c r="F17" i="14"/>
  <c r="J83" i="11" s="1"/>
  <c r="H104" i="11"/>
  <c r="H95" i="11"/>
  <c r="H108" i="11" s="1"/>
  <c r="H85" i="11"/>
  <c r="E24" i="15" s="1"/>
  <c r="F95" i="11"/>
  <c r="E95" i="11"/>
  <c r="G95" i="11"/>
  <c r="G104" i="11"/>
  <c r="G106" i="11" s="1"/>
  <c r="E104" i="11"/>
  <c r="E106" i="11" s="1"/>
  <c r="F104" i="11"/>
  <c r="F106" i="11" s="1"/>
  <c r="F85" i="11"/>
  <c r="E85" i="11"/>
  <c r="G85" i="11"/>
  <c r="D24" i="15" s="1"/>
  <c r="C284" i="11"/>
  <c r="J242" i="11"/>
  <c r="I242" i="11"/>
  <c r="H242" i="11"/>
  <c r="D242" i="11"/>
  <c r="L241" i="11"/>
  <c r="H241" i="11"/>
  <c r="E241" i="11"/>
  <c r="J210" i="11"/>
  <c r="I210" i="11"/>
  <c r="H210" i="11"/>
  <c r="D210" i="11"/>
  <c r="L209" i="11"/>
  <c r="H209" i="11"/>
  <c r="E209" i="11"/>
  <c r="G187" i="11"/>
  <c r="F187" i="11"/>
  <c r="E187" i="11"/>
  <c r="G146" i="11"/>
  <c r="E146" i="11"/>
  <c r="F146" i="11"/>
  <c r="J138" i="11"/>
  <c r="I138" i="11"/>
  <c r="H138" i="11"/>
  <c r="D138" i="11"/>
  <c r="L137" i="11"/>
  <c r="K137" i="11"/>
  <c r="H137" i="11"/>
  <c r="E137" i="11"/>
  <c r="F68" i="11"/>
  <c r="F114" i="11" s="1"/>
  <c r="D7" i="11"/>
  <c r="D9" i="11" s="1"/>
  <c r="D33" i="9"/>
  <c r="G54" i="9"/>
  <c r="H54" i="9"/>
  <c r="I54" i="9"/>
  <c r="J54" i="9"/>
  <c r="K54" i="9" s="1"/>
  <c r="L54" i="9" s="1"/>
  <c r="M54" i="9" s="1"/>
  <c r="N54" i="9" s="1"/>
  <c r="O54" i="9" s="1"/>
  <c r="F54" i="9"/>
  <c r="E42" i="9"/>
  <c r="B2" i="9"/>
  <c r="L68" i="9"/>
  <c r="L49" i="9"/>
  <c r="M49" i="9" s="1"/>
  <c r="N49" i="9" s="1"/>
  <c r="K38" i="9"/>
  <c r="L38" i="9" s="1"/>
  <c r="M38" i="9" s="1"/>
  <c r="N38" i="9" s="1"/>
  <c r="O38" i="9" s="1"/>
  <c r="F65" i="9"/>
  <c r="G65" i="9" s="1"/>
  <c r="H65" i="9" s="1"/>
  <c r="I65" i="9" s="1"/>
  <c r="J65" i="9" s="1"/>
  <c r="K65" i="9" s="1"/>
  <c r="L65" i="9" s="1"/>
  <c r="M65" i="9" s="1"/>
  <c r="N65" i="9" s="1"/>
  <c r="O65" i="9" s="1"/>
  <c r="F261" i="7"/>
  <c r="G261" i="7"/>
  <c r="E261" i="7"/>
  <c r="D17" i="7"/>
  <c r="H25" i="15" l="1"/>
  <c r="H38" i="15" s="1"/>
  <c r="I27" i="15"/>
  <c r="J27" i="15" s="1"/>
  <c r="J36" i="15" s="1"/>
  <c r="F26" i="15"/>
  <c r="G26" i="15" s="1"/>
  <c r="H26" i="15" s="1"/>
  <c r="H37" i="15" s="1"/>
  <c r="K82" i="11"/>
  <c r="F24" i="15"/>
  <c r="G24" i="15" s="1"/>
  <c r="G39" i="15" s="1"/>
  <c r="I24" i="15"/>
  <c r="J24" i="15" s="1"/>
  <c r="J39" i="15" s="1"/>
  <c r="G37" i="15"/>
  <c r="H27" i="15"/>
  <c r="H36" i="15" s="1"/>
  <c r="G36" i="15"/>
  <c r="C46" i="15"/>
  <c r="C18" i="15"/>
  <c r="C43" i="15" s="1"/>
  <c r="E10" i="15"/>
  <c r="I10" i="15"/>
  <c r="J10" i="15" s="1"/>
  <c r="K10" i="15" s="1"/>
  <c r="K31" i="15"/>
  <c r="K9" i="15"/>
  <c r="G35" i="15"/>
  <c r="K26" i="15"/>
  <c r="K23" i="15"/>
  <c r="D11" i="11"/>
  <c r="G44" i="16" s="1"/>
  <c r="I46" i="15"/>
  <c r="I42" i="15"/>
  <c r="I39" i="15"/>
  <c r="I37" i="15"/>
  <c r="I34" i="15"/>
  <c r="I45" i="15"/>
  <c r="I41" i="15"/>
  <c r="I44" i="15"/>
  <c r="I40" i="15"/>
  <c r="I38" i="15"/>
  <c r="I36" i="15"/>
  <c r="I35" i="15"/>
  <c r="I43" i="15"/>
  <c r="K30" i="15"/>
  <c r="K25" i="15"/>
  <c r="G244" i="11"/>
  <c r="E244" i="11"/>
  <c r="F244" i="11"/>
  <c r="K214" i="11"/>
  <c r="K217" i="11"/>
  <c r="J218" i="11"/>
  <c r="G160" i="11"/>
  <c r="G178" i="11" s="1"/>
  <c r="G180" i="11" s="1"/>
  <c r="G182" i="11" s="1"/>
  <c r="E160" i="11"/>
  <c r="E178" i="11" s="1"/>
  <c r="E180" i="11" s="1"/>
  <c r="E182" i="11" s="1"/>
  <c r="F160" i="11"/>
  <c r="F178" i="11" s="1"/>
  <c r="F180" i="11" s="1"/>
  <c r="F182" i="11" s="1"/>
  <c r="K89" i="11"/>
  <c r="K127" i="11" s="1"/>
  <c r="F108" i="11"/>
  <c r="F110" i="11" s="1"/>
  <c r="E108" i="11"/>
  <c r="E110" i="11" s="1"/>
  <c r="K76" i="11"/>
  <c r="K91" i="11"/>
  <c r="N91" i="11"/>
  <c r="O91" i="11"/>
  <c r="L91" i="11"/>
  <c r="P91" i="11"/>
  <c r="M91" i="11"/>
  <c r="K99" i="11"/>
  <c r="L99" i="11" s="1"/>
  <c r="L94" i="11"/>
  <c r="P94" i="11"/>
  <c r="M94" i="11"/>
  <c r="N94" i="11"/>
  <c r="O94" i="11"/>
  <c r="K84" i="11"/>
  <c r="M84" i="11"/>
  <c r="L84" i="11"/>
  <c r="N84" i="11"/>
  <c r="O84" i="11"/>
  <c r="P84" i="11"/>
  <c r="K103" i="11"/>
  <c r="L103" i="11" s="1"/>
  <c r="K78" i="11"/>
  <c r="O90" i="11"/>
  <c r="O223" i="11" s="1"/>
  <c r="L90" i="11"/>
  <c r="L223" i="11" s="1"/>
  <c r="P90" i="11"/>
  <c r="P223" i="11" s="1"/>
  <c r="N90" i="11"/>
  <c r="N223" i="11" s="1"/>
  <c r="M90" i="11"/>
  <c r="M223" i="11" s="1"/>
  <c r="K74" i="11"/>
  <c r="K75" i="11"/>
  <c r="K102" i="11"/>
  <c r="L102" i="11" s="1"/>
  <c r="M102" i="11" s="1"/>
  <c r="N102" i="11" s="1"/>
  <c r="O102" i="11" s="1"/>
  <c r="P102" i="11" s="1"/>
  <c r="K90" i="11"/>
  <c r="K77" i="11"/>
  <c r="K100" i="11"/>
  <c r="L100" i="11" s="1"/>
  <c r="K94" i="11"/>
  <c r="K93" i="11"/>
  <c r="K83" i="11"/>
  <c r="K80" i="11"/>
  <c r="L80" i="11" s="1"/>
  <c r="K88" i="11"/>
  <c r="K79" i="11"/>
  <c r="K72" i="11"/>
  <c r="K123" i="11" s="1"/>
  <c r="K73" i="11"/>
  <c r="K71" i="11"/>
  <c r="G108" i="11"/>
  <c r="G110" i="11" s="1"/>
  <c r="E39" i="11"/>
  <c r="E27" i="17" s="1"/>
  <c r="E38" i="11"/>
  <c r="E26" i="17" s="1"/>
  <c r="E37" i="11"/>
  <c r="E25" i="17" s="1"/>
  <c r="D24" i="11"/>
  <c r="F242" i="11"/>
  <c r="E68" i="11"/>
  <c r="E114" i="11" s="1"/>
  <c r="F210" i="11"/>
  <c r="F138" i="11"/>
  <c r="D17" i="11"/>
  <c r="G242" i="11"/>
  <c r="G138" i="11"/>
  <c r="G210" i="11"/>
  <c r="F68" i="9"/>
  <c r="M68" i="9"/>
  <c r="M69" i="9" s="1"/>
  <c r="M71" i="9" s="1"/>
  <c r="H68" i="9"/>
  <c r="H69" i="9" s="1"/>
  <c r="I68" i="9"/>
  <c r="I69" i="9" s="1"/>
  <c r="F69" i="9"/>
  <c r="L69" i="9"/>
  <c r="L71" i="9" s="1"/>
  <c r="O49" i="9"/>
  <c r="E43" i="9"/>
  <c r="O68" i="9"/>
  <c r="K68" i="9"/>
  <c r="K69" i="9" s="1"/>
  <c r="K71" i="9" s="1"/>
  <c r="G68" i="9"/>
  <c r="G69" i="9" s="1"/>
  <c r="N68" i="9"/>
  <c r="N69" i="9" s="1"/>
  <c r="N71" i="9" s="1"/>
  <c r="J68" i="9"/>
  <c r="J69" i="9" s="1"/>
  <c r="K27" i="15" l="1"/>
  <c r="H24" i="15"/>
  <c r="H39" i="15" s="1"/>
  <c r="D9" i="17"/>
  <c r="G49" i="16"/>
  <c r="K24" i="15"/>
  <c r="F10" i="15"/>
  <c r="G10" i="15" s="1"/>
  <c r="H10" i="15" s="1"/>
  <c r="M103" i="11"/>
  <c r="L215" i="11"/>
  <c r="M100" i="11"/>
  <c r="L217" i="11"/>
  <c r="M99" i="11"/>
  <c r="L214" i="11"/>
  <c r="F189" i="11"/>
  <c r="F190" i="11"/>
  <c r="E190" i="11"/>
  <c r="E189" i="11"/>
  <c r="G190" i="11"/>
  <c r="G189" i="11"/>
  <c r="M80" i="11"/>
  <c r="L174" i="11"/>
  <c r="H56" i="17" s="1"/>
  <c r="Q14" i="11"/>
  <c r="L29" i="17" s="1"/>
  <c r="D58" i="11"/>
  <c r="D277" i="11"/>
  <c r="D278" i="11" s="1"/>
  <c r="O18" i="11"/>
  <c r="P48" i="11"/>
  <c r="D20" i="11"/>
  <c r="D23" i="11" s="1"/>
  <c r="E242" i="11"/>
  <c r="E210" i="11"/>
  <c r="E138" i="11"/>
  <c r="O69" i="9"/>
  <c r="O71" i="9" s="1"/>
  <c r="N103" i="11" l="1"/>
  <c r="M215" i="11"/>
  <c r="N99" i="11"/>
  <c r="M214" i="11"/>
  <c r="N100" i="11"/>
  <c r="M217" i="11"/>
  <c r="N80" i="11"/>
  <c r="M174" i="11"/>
  <c r="I56" i="17" s="1"/>
  <c r="E10" i="14"/>
  <c r="P49" i="11"/>
  <c r="D279" i="11"/>
  <c r="K242" i="11"/>
  <c r="K138" i="11"/>
  <c r="K210" i="11"/>
  <c r="L242" i="11"/>
  <c r="L210" i="11"/>
  <c r="L138" i="11"/>
  <c r="M68" i="11"/>
  <c r="D22" i="8"/>
  <c r="D23" i="8"/>
  <c r="E23" i="8"/>
  <c r="F23" i="8"/>
  <c r="G23" i="8"/>
  <c r="D24" i="8"/>
  <c r="D25" i="8"/>
  <c r="D26" i="8"/>
  <c r="E26" i="8"/>
  <c r="F26" i="8"/>
  <c r="G26" i="8"/>
  <c r="D27" i="8"/>
  <c r="E27" i="8"/>
  <c r="F27" i="8"/>
  <c r="G27" i="8"/>
  <c r="D28" i="8"/>
  <c r="D29" i="8"/>
  <c r="E29" i="8"/>
  <c r="F29" i="8"/>
  <c r="G29" i="8"/>
  <c r="H29" i="8"/>
  <c r="I29" i="8"/>
  <c r="J29" i="8"/>
  <c r="K29" i="8"/>
  <c r="L29" i="8"/>
  <c r="D30" i="8"/>
  <c r="E30" i="8"/>
  <c r="F30" i="8"/>
  <c r="G30" i="8"/>
  <c r="D31" i="8"/>
  <c r="E31" i="8"/>
  <c r="F31" i="8"/>
  <c r="G31" i="8"/>
  <c r="D32" i="8"/>
  <c r="D33" i="8"/>
  <c r="E33" i="8"/>
  <c r="C23" i="8"/>
  <c r="C24" i="8"/>
  <c r="C25" i="8"/>
  <c r="C26" i="8"/>
  <c r="C27" i="8"/>
  <c r="C28" i="8"/>
  <c r="C29" i="8"/>
  <c r="C30" i="8"/>
  <c r="C31" i="8"/>
  <c r="C32" i="8"/>
  <c r="C33" i="8"/>
  <c r="C22" i="8"/>
  <c r="B2" i="8"/>
  <c r="F224" i="7"/>
  <c r="F229" i="7"/>
  <c r="G229" i="7"/>
  <c r="E229" i="7"/>
  <c r="F223" i="7"/>
  <c r="G223" i="7"/>
  <c r="E223" i="7"/>
  <c r="C222" i="7"/>
  <c r="E218" i="7"/>
  <c r="E226" i="7" s="1"/>
  <c r="F218" i="7"/>
  <c r="G218" i="7"/>
  <c r="G185" i="7"/>
  <c r="F185" i="7"/>
  <c r="E185" i="7"/>
  <c r="F206" i="7"/>
  <c r="G206" i="7"/>
  <c r="E206" i="7"/>
  <c r="F202" i="7"/>
  <c r="G202" i="7"/>
  <c r="E202" i="7"/>
  <c r="G183" i="7"/>
  <c r="F183" i="7"/>
  <c r="E183" i="7"/>
  <c r="F178" i="7"/>
  <c r="G178" i="7"/>
  <c r="E178" i="7"/>
  <c r="G173" i="7"/>
  <c r="G171" i="7"/>
  <c r="F173" i="7"/>
  <c r="F171" i="7"/>
  <c r="E173" i="7"/>
  <c r="E171" i="7"/>
  <c r="G168" i="7"/>
  <c r="F168" i="7"/>
  <c r="E168" i="7"/>
  <c r="F161" i="7"/>
  <c r="G161" i="7"/>
  <c r="E161" i="7"/>
  <c r="E155" i="7"/>
  <c r="E152" i="7"/>
  <c r="G132" i="7"/>
  <c r="G134" i="7"/>
  <c r="G131" i="7"/>
  <c r="E132" i="7"/>
  <c r="E149" i="7" s="1"/>
  <c r="E131" i="7"/>
  <c r="E146" i="7" s="1"/>
  <c r="F134" i="7"/>
  <c r="F132" i="7"/>
  <c r="F131" i="7"/>
  <c r="E31" i="7"/>
  <c r="E113" i="7" s="1"/>
  <c r="F140" i="7" s="1"/>
  <c r="E29" i="7"/>
  <c r="E89" i="7" s="1"/>
  <c r="F31" i="7"/>
  <c r="F113" i="7" s="1"/>
  <c r="G140" i="7" s="1"/>
  <c r="F29" i="7"/>
  <c r="F89" i="7" s="1"/>
  <c r="G31" i="7"/>
  <c r="G113" i="7" s="1"/>
  <c r="G29" i="7"/>
  <c r="G89" i="7" s="1"/>
  <c r="E140" i="7"/>
  <c r="G125" i="7"/>
  <c r="G127" i="7" s="1"/>
  <c r="E125" i="7"/>
  <c r="E137" i="7" s="1"/>
  <c r="F125" i="7"/>
  <c r="F127" i="7" s="1"/>
  <c r="F118" i="7"/>
  <c r="G118" i="7"/>
  <c r="F119" i="7"/>
  <c r="G119" i="7"/>
  <c r="F120" i="7"/>
  <c r="G152" i="7" s="1"/>
  <c r="G120" i="7"/>
  <c r="F121" i="7"/>
  <c r="G121" i="7"/>
  <c r="E118" i="7"/>
  <c r="E119" i="7"/>
  <c r="E120" i="7"/>
  <c r="F152" i="7" s="1"/>
  <c r="E121" i="7"/>
  <c r="C118" i="7"/>
  <c r="C119" i="7"/>
  <c r="C120" i="7"/>
  <c r="C121" i="7"/>
  <c r="C114" i="7"/>
  <c r="C113" i="7"/>
  <c r="C112" i="7"/>
  <c r="F109" i="7"/>
  <c r="G109" i="7"/>
  <c r="E109" i="7"/>
  <c r="H58" i="7"/>
  <c r="H48" i="7"/>
  <c r="I48" i="7" s="1"/>
  <c r="J48" i="7" s="1"/>
  <c r="K48" i="7" s="1"/>
  <c r="L48" i="7" s="1"/>
  <c r="L121" i="7" s="1"/>
  <c r="H47" i="7"/>
  <c r="I47" i="7" s="1"/>
  <c r="J47" i="7" s="1"/>
  <c r="K47" i="7" s="1"/>
  <c r="L47" i="7" s="1"/>
  <c r="L120" i="7" s="1"/>
  <c r="I92" i="7"/>
  <c r="J92" i="7" s="1"/>
  <c r="K92" i="7" s="1"/>
  <c r="L92" i="7" s="1"/>
  <c r="F90" i="7"/>
  <c r="G90" i="7"/>
  <c r="E90" i="7"/>
  <c r="E94" i="7"/>
  <c r="E85" i="7"/>
  <c r="E80" i="7"/>
  <c r="E82" i="7" s="1"/>
  <c r="M114" i="11" l="1"/>
  <c r="C14" i="15"/>
  <c r="O99" i="11"/>
  <c r="N214" i="11"/>
  <c r="O100" i="11"/>
  <c r="N217" i="11"/>
  <c r="O103" i="11"/>
  <c r="N215" i="11"/>
  <c r="O80" i="11"/>
  <c r="N174" i="11"/>
  <c r="J56" i="17" s="1"/>
  <c r="F10" i="14"/>
  <c r="I101" i="11"/>
  <c r="I216" i="11" s="1"/>
  <c r="D280" i="11"/>
  <c r="I58" i="7"/>
  <c r="F52" i="9"/>
  <c r="M242" i="11"/>
  <c r="M210" i="11"/>
  <c r="M138" i="11"/>
  <c r="N68" i="11"/>
  <c r="C15" i="15" s="1"/>
  <c r="E86" i="7"/>
  <c r="E264" i="7"/>
  <c r="G24" i="8"/>
  <c r="E22" i="8"/>
  <c r="F24" i="8"/>
  <c r="E24" i="8"/>
  <c r="G22" i="8"/>
  <c r="F22" i="8"/>
  <c r="I229" i="7"/>
  <c r="I223" i="7"/>
  <c r="L229" i="7"/>
  <c r="H229" i="7"/>
  <c r="H223" i="7"/>
  <c r="K229" i="7"/>
  <c r="J229" i="7"/>
  <c r="G226" i="7"/>
  <c r="F226" i="7"/>
  <c r="G187" i="7"/>
  <c r="H206" i="7"/>
  <c r="I206" i="7" s="1"/>
  <c r="J206" i="7" s="1"/>
  <c r="F187" i="7"/>
  <c r="E187" i="7"/>
  <c r="F174" i="7"/>
  <c r="G174" i="7"/>
  <c r="E174" i="7"/>
  <c r="E156" i="7"/>
  <c r="G155" i="7"/>
  <c r="G156" i="7" s="1"/>
  <c r="G153" i="7"/>
  <c r="F155" i="7"/>
  <c r="F156" i="7" s="1"/>
  <c r="F153" i="7"/>
  <c r="E153" i="7"/>
  <c r="E150" i="7"/>
  <c r="F149" i="7"/>
  <c r="F150" i="7" s="1"/>
  <c r="G149" i="7"/>
  <c r="G150" i="7" s="1"/>
  <c r="G141" i="7"/>
  <c r="E138" i="7"/>
  <c r="F141" i="7"/>
  <c r="E141" i="7"/>
  <c r="E147" i="7"/>
  <c r="I120" i="7"/>
  <c r="K120" i="7"/>
  <c r="H121" i="7"/>
  <c r="K121" i="7"/>
  <c r="J120" i="7"/>
  <c r="J121" i="7"/>
  <c r="I121" i="7"/>
  <c r="H120" i="7"/>
  <c r="H90" i="7"/>
  <c r="I90" i="7" s="1"/>
  <c r="C44" i="15" l="1"/>
  <c r="C20" i="15"/>
  <c r="C41" i="15" s="1"/>
  <c r="C45" i="15"/>
  <c r="C19" i="15"/>
  <c r="C42" i="15" s="1"/>
  <c r="P100" i="11"/>
  <c r="P217" i="11" s="1"/>
  <c r="O217" i="11"/>
  <c r="P103" i="11"/>
  <c r="P215" i="11" s="1"/>
  <c r="O215" i="11"/>
  <c r="P99" i="11"/>
  <c r="P214" i="11" s="1"/>
  <c r="O214" i="11"/>
  <c r="O242" i="11"/>
  <c r="P242" i="11"/>
  <c r="O210" i="11"/>
  <c r="P210" i="11"/>
  <c r="P80" i="11"/>
  <c r="O174" i="11"/>
  <c r="K56" i="17" s="1"/>
  <c r="O138" i="11"/>
  <c r="P138" i="11"/>
  <c r="O68" i="11"/>
  <c r="N114" i="11"/>
  <c r="E8" i="14"/>
  <c r="I70" i="11" s="1"/>
  <c r="J101" i="11"/>
  <c r="J58" i="7"/>
  <c r="G52" i="9"/>
  <c r="N242" i="11"/>
  <c r="N210" i="11"/>
  <c r="N138" i="11"/>
  <c r="E188" i="7"/>
  <c r="F188" i="7"/>
  <c r="G188" i="7"/>
  <c r="K206" i="7"/>
  <c r="H153" i="7"/>
  <c r="I153" i="7" s="1"/>
  <c r="H156" i="7"/>
  <c r="I156" i="7" s="1"/>
  <c r="J156" i="7" s="1"/>
  <c r="K156" i="7" s="1"/>
  <c r="L156" i="7" s="1"/>
  <c r="H141" i="7"/>
  <c r="I141" i="7" s="1"/>
  <c r="J141" i="7" s="1"/>
  <c r="H150" i="7"/>
  <c r="I150" i="7" s="1"/>
  <c r="J150" i="7" s="1"/>
  <c r="K150" i="7" s="1"/>
  <c r="L150" i="7" s="1"/>
  <c r="J90" i="7"/>
  <c r="K101" i="11" l="1"/>
  <c r="J216" i="11"/>
  <c r="K216" i="11" s="1"/>
  <c r="P174" i="11"/>
  <c r="L56" i="17" s="1"/>
  <c r="P68" i="11"/>
  <c r="P114" i="11" s="1"/>
  <c r="O114" i="11"/>
  <c r="K58" i="7"/>
  <c r="H52" i="9"/>
  <c r="J223" i="7"/>
  <c r="L206" i="7"/>
  <c r="J153" i="7"/>
  <c r="K141" i="7"/>
  <c r="K90" i="7"/>
  <c r="F32" i="7"/>
  <c r="G32" i="7"/>
  <c r="E32" i="7"/>
  <c r="G72" i="7"/>
  <c r="G71" i="7" s="1"/>
  <c r="E72" i="7"/>
  <c r="E78" i="7" s="1"/>
  <c r="F72" i="7"/>
  <c r="F71" i="7" s="1"/>
  <c r="F73" i="7" s="1"/>
  <c r="F75" i="7" s="1"/>
  <c r="G85" i="7" s="1"/>
  <c r="H85" i="7" s="1"/>
  <c r="I85" i="7" s="1"/>
  <c r="J85" i="7" s="1"/>
  <c r="K85" i="7" s="1"/>
  <c r="L85" i="7" s="1"/>
  <c r="E56" i="7"/>
  <c r="E54" i="7"/>
  <c r="E35" i="7"/>
  <c r="E28" i="8" s="1"/>
  <c r="E39" i="7"/>
  <c r="E32" i="8" s="1"/>
  <c r="E50" i="7"/>
  <c r="F56" i="7"/>
  <c r="F54" i="7"/>
  <c r="F222" i="7" s="1"/>
  <c r="F35" i="7"/>
  <c r="F39" i="7"/>
  <c r="F32" i="8" s="1"/>
  <c r="F50" i="7"/>
  <c r="G56" i="7"/>
  <c r="H56" i="7" s="1"/>
  <c r="I56" i="7" s="1"/>
  <c r="J56" i="7" s="1"/>
  <c r="K56" i="7" s="1"/>
  <c r="L56" i="7" s="1"/>
  <c r="G54" i="7"/>
  <c r="G222" i="7" s="1"/>
  <c r="G39" i="7"/>
  <c r="G50" i="7"/>
  <c r="G35" i="7"/>
  <c r="H61" i="7"/>
  <c r="I61" i="7" s="1"/>
  <c r="J61" i="7" s="1"/>
  <c r="K61" i="7" s="1"/>
  <c r="L61" i="7" s="1"/>
  <c r="H59" i="7"/>
  <c r="I59" i="7" s="1"/>
  <c r="J59" i="7" s="1"/>
  <c r="K59" i="7" s="1"/>
  <c r="L59" i="7" s="1"/>
  <c r="H55" i="7"/>
  <c r="I55" i="7" s="1"/>
  <c r="J55" i="7" s="1"/>
  <c r="K55" i="7" s="1"/>
  <c r="L55" i="7" s="1"/>
  <c r="F40" i="7"/>
  <c r="G40" i="7"/>
  <c r="D12" i="7"/>
  <c r="B3" i="7"/>
  <c r="B3" i="8" s="1"/>
  <c r="B3" i="11" s="1"/>
  <c r="D256" i="7"/>
  <c r="H255" i="7"/>
  <c r="E255" i="7"/>
  <c r="C216" i="7"/>
  <c r="D214" i="7"/>
  <c r="H213" i="7"/>
  <c r="E213" i="7"/>
  <c r="D200" i="7"/>
  <c r="H199" i="7"/>
  <c r="E199" i="7"/>
  <c r="D159" i="7"/>
  <c r="H158" i="7"/>
  <c r="E158" i="7"/>
  <c r="G135" i="7"/>
  <c r="G162" i="7" s="1"/>
  <c r="F135" i="7"/>
  <c r="F162" i="7" s="1"/>
  <c r="E135" i="7"/>
  <c r="E162" i="7" s="1"/>
  <c r="F146" i="7"/>
  <c r="D107" i="7"/>
  <c r="H106" i="7"/>
  <c r="E106" i="7"/>
  <c r="D69" i="7"/>
  <c r="H68" i="7"/>
  <c r="E68" i="7"/>
  <c r="B2" i="7"/>
  <c r="B3" i="14" l="1"/>
  <c r="B3" i="15"/>
  <c r="B3" i="16" s="1"/>
  <c r="B3" i="17" s="1"/>
  <c r="L58" i="7"/>
  <c r="I52" i="9"/>
  <c r="K223" i="7"/>
  <c r="G25" i="8"/>
  <c r="E10" i="8" s="1"/>
  <c r="F10" i="8" s="1"/>
  <c r="H10" i="8" s="1"/>
  <c r="G265" i="7"/>
  <c r="F25" i="8"/>
  <c r="F265" i="7"/>
  <c r="E25" i="8"/>
  <c r="E265" i="7"/>
  <c r="E263" i="7"/>
  <c r="E34" i="8"/>
  <c r="G94" i="7"/>
  <c r="G33" i="8"/>
  <c r="F114" i="7"/>
  <c r="G143" i="7" s="1"/>
  <c r="G144" i="7" s="1"/>
  <c r="F28" i="8"/>
  <c r="F94" i="7"/>
  <c r="F33" i="8"/>
  <c r="G114" i="7"/>
  <c r="G207" i="7" s="1"/>
  <c r="G28" i="8"/>
  <c r="G27" i="7"/>
  <c r="F27" i="7" s="1"/>
  <c r="E27" i="7" s="1"/>
  <c r="G20" i="8"/>
  <c r="H39" i="7"/>
  <c r="G32" i="8"/>
  <c r="E216" i="7"/>
  <c r="E220" i="7" s="1"/>
  <c r="E222" i="7"/>
  <c r="E227" i="7" s="1"/>
  <c r="G216" i="7"/>
  <c r="G220" i="7" s="1"/>
  <c r="F216" i="7"/>
  <c r="F220" i="7" s="1"/>
  <c r="K153" i="7"/>
  <c r="E60" i="7"/>
  <c r="E62" i="7" s="1"/>
  <c r="L141" i="7"/>
  <c r="G112" i="7"/>
  <c r="G93" i="7"/>
  <c r="H93" i="7" s="1"/>
  <c r="I93" i="7" s="1"/>
  <c r="J93" i="7" s="1"/>
  <c r="K93" i="7" s="1"/>
  <c r="L93" i="7" s="1"/>
  <c r="E91" i="7"/>
  <c r="E114" i="7"/>
  <c r="F112" i="7"/>
  <c r="F93" i="7"/>
  <c r="E93" i="7"/>
  <c r="E112" i="7"/>
  <c r="F137" i="7" s="1"/>
  <c r="F138" i="7" s="1"/>
  <c r="G97" i="7"/>
  <c r="G92" i="7"/>
  <c r="F97" i="7"/>
  <c r="F92" i="7"/>
  <c r="E97" i="7"/>
  <c r="E92" i="7"/>
  <c r="G60" i="7"/>
  <c r="G62" i="7" s="1"/>
  <c r="G91" i="7"/>
  <c r="H35" i="7"/>
  <c r="H28" i="8" s="1"/>
  <c r="L90" i="7"/>
  <c r="E51" i="7"/>
  <c r="E260" i="7" s="1"/>
  <c r="E98" i="7"/>
  <c r="G51" i="7"/>
  <c r="G260" i="7" s="1"/>
  <c r="G98" i="7"/>
  <c r="F51" i="7"/>
  <c r="F260" i="7" s="1"/>
  <c r="F98" i="7"/>
  <c r="H71" i="7"/>
  <c r="I71" i="7" s="1"/>
  <c r="J71" i="7" s="1"/>
  <c r="K71" i="7" s="1"/>
  <c r="L71" i="7" s="1"/>
  <c r="G73" i="7"/>
  <c r="G75" i="7" s="1"/>
  <c r="F91" i="7"/>
  <c r="F41" i="7"/>
  <c r="E71" i="7"/>
  <c r="E77" i="7" s="1"/>
  <c r="F60" i="7"/>
  <c r="F62" i="7" s="1"/>
  <c r="E41" i="7"/>
  <c r="G78" i="7"/>
  <c r="F78" i="7"/>
  <c r="G77" i="7"/>
  <c r="G41" i="7"/>
  <c r="E57" i="9" s="1"/>
  <c r="E58" i="9" s="1"/>
  <c r="G146" i="7"/>
  <c r="G147" i="7" s="1"/>
  <c r="F147" i="7"/>
  <c r="F163" i="7"/>
  <c r="G163" i="7"/>
  <c r="F227" i="7"/>
  <c r="G227" i="7"/>
  <c r="E51" i="9" s="1"/>
  <c r="F47" i="9" s="1"/>
  <c r="F80" i="7"/>
  <c r="F82" i="7" s="1"/>
  <c r="G214" i="7" l="1"/>
  <c r="G159" i="7"/>
  <c r="H27" i="7"/>
  <c r="H214" i="7" s="1"/>
  <c r="E16" i="8"/>
  <c r="G256" i="7"/>
  <c r="L223" i="7"/>
  <c r="J52" i="9"/>
  <c r="K52" i="9" s="1"/>
  <c r="L52" i="9" s="1"/>
  <c r="M52" i="9" s="1"/>
  <c r="N52" i="9" s="1"/>
  <c r="O52" i="9" s="1"/>
  <c r="G69" i="7"/>
  <c r="F159" i="7"/>
  <c r="F200" i="7"/>
  <c r="G200" i="7"/>
  <c r="G107" i="7"/>
  <c r="E258" i="7"/>
  <c r="E259" i="7"/>
  <c r="F263" i="7"/>
  <c r="F264" i="7"/>
  <c r="F207" i="7"/>
  <c r="G259" i="7"/>
  <c r="G258" i="7"/>
  <c r="F258" i="7"/>
  <c r="F259" i="7"/>
  <c r="H94" i="7"/>
  <c r="I94" i="7" s="1"/>
  <c r="J94" i="7" s="1"/>
  <c r="K94" i="7" s="1"/>
  <c r="L94" i="7" s="1"/>
  <c r="F214" i="7"/>
  <c r="F69" i="7"/>
  <c r="F256" i="7"/>
  <c r="F107" i="7"/>
  <c r="F34" i="8"/>
  <c r="E9" i="8"/>
  <c r="G34" i="8"/>
  <c r="I39" i="7"/>
  <c r="H32" i="8"/>
  <c r="H20" i="8"/>
  <c r="F20" i="8"/>
  <c r="F236" i="7"/>
  <c r="F235" i="7"/>
  <c r="G235" i="7"/>
  <c r="G236" i="7"/>
  <c r="E236" i="7"/>
  <c r="E235" i="7"/>
  <c r="F210" i="7"/>
  <c r="F209" i="7"/>
  <c r="F211" i="7"/>
  <c r="G208" i="7"/>
  <c r="H208" i="7" s="1"/>
  <c r="I208" i="7" s="1"/>
  <c r="J208" i="7" s="1"/>
  <c r="K208" i="7" s="1"/>
  <c r="L208" i="7" s="1"/>
  <c r="G210" i="7"/>
  <c r="H210" i="7" s="1"/>
  <c r="I210" i="7" s="1"/>
  <c r="J210" i="7" s="1"/>
  <c r="K210" i="7" s="1"/>
  <c r="L210" i="7" s="1"/>
  <c r="G209" i="7"/>
  <c r="H209" i="7" s="1"/>
  <c r="I209" i="7" s="1"/>
  <c r="J209" i="7" s="1"/>
  <c r="K209" i="7" s="1"/>
  <c r="L209" i="7" s="1"/>
  <c r="G211" i="7"/>
  <c r="H211" i="7" s="1"/>
  <c r="I211" i="7" s="1"/>
  <c r="J211" i="7" s="1"/>
  <c r="K211" i="7" s="1"/>
  <c r="L211" i="7" s="1"/>
  <c r="F203" i="7"/>
  <c r="F208" i="7"/>
  <c r="F143" i="7"/>
  <c r="F144" i="7" s="1"/>
  <c r="H144" i="7" s="1"/>
  <c r="I144" i="7" s="1"/>
  <c r="E207" i="7"/>
  <c r="H207" i="7" s="1"/>
  <c r="I207" i="7" s="1"/>
  <c r="J207" i="7" s="1"/>
  <c r="K207" i="7" s="1"/>
  <c r="L207" i="7" s="1"/>
  <c r="G176" i="7"/>
  <c r="G190" i="7" s="1"/>
  <c r="G203" i="7"/>
  <c r="H203" i="7" s="1"/>
  <c r="F176" i="7"/>
  <c r="F190" i="7" s="1"/>
  <c r="F192" i="7" s="1"/>
  <c r="F269" i="7" s="1"/>
  <c r="L153" i="7"/>
  <c r="E64" i="7"/>
  <c r="H147" i="7"/>
  <c r="F115" i="7"/>
  <c r="G137" i="7"/>
  <c r="G138" i="7" s="1"/>
  <c r="H138" i="7" s="1"/>
  <c r="G64" i="7"/>
  <c r="G66" i="7" s="1"/>
  <c r="G122" i="7" s="1"/>
  <c r="G115" i="7"/>
  <c r="I35" i="7"/>
  <c r="I28" i="8" s="1"/>
  <c r="H114" i="7"/>
  <c r="F64" i="7"/>
  <c r="F66" i="7" s="1"/>
  <c r="F122" i="7" s="1"/>
  <c r="G273" i="7" s="1"/>
  <c r="E73" i="7"/>
  <c r="E75" i="7" s="1"/>
  <c r="F85" i="7" s="1"/>
  <c r="H98" i="7"/>
  <c r="F77" i="7"/>
  <c r="H72" i="7"/>
  <c r="I27" i="7"/>
  <c r="I256" i="7" s="1"/>
  <c r="G80" i="7"/>
  <c r="G82" i="7" s="1"/>
  <c r="E115" i="7"/>
  <c r="E230" i="7"/>
  <c r="E238" i="7" s="1"/>
  <c r="E256" i="7"/>
  <c r="E200" i="7"/>
  <c r="E214" i="7"/>
  <c r="E159" i="7"/>
  <c r="E107" i="7"/>
  <c r="E69" i="7"/>
  <c r="H256" i="7" l="1"/>
  <c r="H159" i="7"/>
  <c r="H200" i="7"/>
  <c r="H107" i="7"/>
  <c r="H69" i="7"/>
  <c r="F16" i="8"/>
  <c r="L142" i="11"/>
  <c r="L83" i="11"/>
  <c r="M83" i="11" s="1"/>
  <c r="F276" i="7"/>
  <c r="G272" i="7"/>
  <c r="G276" i="7"/>
  <c r="F272" i="7"/>
  <c r="E272" i="7"/>
  <c r="F271" i="7"/>
  <c r="G271" i="7"/>
  <c r="G86" i="7"/>
  <c r="H86" i="7" s="1"/>
  <c r="G264" i="7"/>
  <c r="G263" i="7"/>
  <c r="H235" i="7"/>
  <c r="I235" i="7" s="1"/>
  <c r="J235" i="7" s="1"/>
  <c r="K235" i="7" s="1"/>
  <c r="L235" i="7" s="1"/>
  <c r="E20" i="8"/>
  <c r="C14" i="8"/>
  <c r="J39" i="7"/>
  <c r="I32" i="8"/>
  <c r="I20" i="8"/>
  <c r="E14" i="8"/>
  <c r="F9" i="8"/>
  <c r="E11" i="8"/>
  <c r="D11" i="8" s="1"/>
  <c r="H236" i="7"/>
  <c r="I236" i="7" s="1"/>
  <c r="J236" i="7" s="1"/>
  <c r="K236" i="7" s="1"/>
  <c r="L236" i="7" s="1"/>
  <c r="E240" i="7"/>
  <c r="E241" i="7" s="1"/>
  <c r="I203" i="7"/>
  <c r="E66" i="7"/>
  <c r="I147" i="7"/>
  <c r="I138" i="7"/>
  <c r="J144" i="7"/>
  <c r="I98" i="7"/>
  <c r="J35" i="7"/>
  <c r="J28" i="8" s="1"/>
  <c r="I114" i="7"/>
  <c r="F86" i="7"/>
  <c r="I72" i="7"/>
  <c r="H73" i="7"/>
  <c r="H89" i="7"/>
  <c r="E122" i="7"/>
  <c r="I69" i="7"/>
  <c r="I159" i="7"/>
  <c r="J27" i="7"/>
  <c r="J200" i="7" s="1"/>
  <c r="I214" i="7"/>
  <c r="I107" i="7"/>
  <c r="I200" i="7"/>
  <c r="H80" i="7"/>
  <c r="G192" i="7"/>
  <c r="G269" i="7" s="1"/>
  <c r="F194" i="7"/>
  <c r="N83" i="11" l="1"/>
  <c r="O83" i="11" s="1"/>
  <c r="P83" i="11" s="1"/>
  <c r="M142" i="11"/>
  <c r="G16" i="8"/>
  <c r="H16" i="8"/>
  <c r="I16" i="8"/>
  <c r="F273" i="7"/>
  <c r="E273" i="7"/>
  <c r="F268" i="7"/>
  <c r="F267" i="7"/>
  <c r="I86" i="7"/>
  <c r="J86" i="7" s="1"/>
  <c r="K86" i="7" s="1"/>
  <c r="L86" i="7" s="1"/>
  <c r="H82" i="7"/>
  <c r="J20" i="8"/>
  <c r="F14" i="8"/>
  <c r="H9" i="8"/>
  <c r="F11" i="8"/>
  <c r="D61" i="11" s="1"/>
  <c r="K39" i="7"/>
  <c r="J32" i="8"/>
  <c r="E243" i="7"/>
  <c r="E244" i="7"/>
  <c r="J203" i="7"/>
  <c r="J147" i="7"/>
  <c r="K144" i="7"/>
  <c r="J138" i="7"/>
  <c r="K35" i="7"/>
  <c r="K28" i="8" s="1"/>
  <c r="J114" i="7"/>
  <c r="J98" i="7"/>
  <c r="I89" i="7"/>
  <c r="J72" i="7"/>
  <c r="I73" i="7"/>
  <c r="J159" i="7"/>
  <c r="J256" i="7"/>
  <c r="J214" i="7"/>
  <c r="J107" i="7"/>
  <c r="J69" i="7"/>
  <c r="K27" i="7"/>
  <c r="K256" i="7" s="1"/>
  <c r="F230" i="7"/>
  <c r="F238" i="7" s="1"/>
  <c r="G194" i="7"/>
  <c r="E40" i="9" s="1"/>
  <c r="F197" i="7"/>
  <c r="G274" i="7"/>
  <c r="P142" i="11" l="1"/>
  <c r="I17" i="8"/>
  <c r="H17" i="8"/>
  <c r="O142" i="11"/>
  <c r="N142" i="11"/>
  <c r="D64" i="11"/>
  <c r="E41" i="9"/>
  <c r="E63" i="9"/>
  <c r="E45" i="9"/>
  <c r="G267" i="7"/>
  <c r="G268" i="7"/>
  <c r="E15" i="8"/>
  <c r="L39" i="7"/>
  <c r="L32" i="8" s="1"/>
  <c r="K32" i="8"/>
  <c r="G14" i="8"/>
  <c r="K20" i="8"/>
  <c r="F240" i="7"/>
  <c r="F244" i="7" s="1"/>
  <c r="H75" i="7"/>
  <c r="H32" i="7" s="1"/>
  <c r="H25" i="8" s="1"/>
  <c r="K203" i="7"/>
  <c r="K147" i="7"/>
  <c r="K138" i="7"/>
  <c r="L144" i="7"/>
  <c r="K98" i="7"/>
  <c r="H37" i="7"/>
  <c r="H30" i="8" s="1"/>
  <c r="L35" i="7"/>
  <c r="K114" i="7"/>
  <c r="J89" i="7"/>
  <c r="K72" i="7"/>
  <c r="J73" i="7"/>
  <c r="F274" i="7"/>
  <c r="L27" i="7"/>
  <c r="L200" i="7" s="1"/>
  <c r="K69" i="7"/>
  <c r="K159" i="7"/>
  <c r="K214" i="7"/>
  <c r="K107" i="7"/>
  <c r="K200" i="7"/>
  <c r="G197" i="7"/>
  <c r="G230" i="7"/>
  <c r="G238" i="7" s="1"/>
  <c r="L20" i="8" l="1"/>
  <c r="I14" i="8" s="1"/>
  <c r="H14" i="8"/>
  <c r="D59" i="11"/>
  <c r="F20" i="14" s="1"/>
  <c r="J105" i="11" s="1"/>
  <c r="J219" i="11" s="1"/>
  <c r="K219" i="11" s="1"/>
  <c r="H50" i="7"/>
  <c r="I82" i="7"/>
  <c r="I75" i="7" s="1"/>
  <c r="I32" i="7" s="1"/>
  <c r="H263" i="7"/>
  <c r="H112" i="7"/>
  <c r="H45" i="7"/>
  <c r="H118" i="7" s="1"/>
  <c r="H38" i="7"/>
  <c r="H31" i="8" s="1"/>
  <c r="L114" i="7"/>
  <c r="L28" i="8"/>
  <c r="H218" i="7"/>
  <c r="H226" i="7" s="1"/>
  <c r="F15" i="8"/>
  <c r="F17" i="8" s="1"/>
  <c r="E17" i="8"/>
  <c r="G240" i="7"/>
  <c r="F243" i="7"/>
  <c r="F241" i="7"/>
  <c r="H81" i="7"/>
  <c r="H83" i="7" s="1"/>
  <c r="L203" i="7"/>
  <c r="L147" i="7"/>
  <c r="L138" i="7"/>
  <c r="L98" i="7"/>
  <c r="K89" i="7"/>
  <c r="L72" i="7"/>
  <c r="L73" i="7" s="1"/>
  <c r="K73" i="7"/>
  <c r="L107" i="7"/>
  <c r="L214" i="7"/>
  <c r="L159" i="7"/>
  <c r="L256" i="7"/>
  <c r="L69" i="7"/>
  <c r="D65" i="11" l="1"/>
  <c r="K105" i="11"/>
  <c r="H166" i="7"/>
  <c r="G244" i="7"/>
  <c r="E59" i="9"/>
  <c r="I25" i="8"/>
  <c r="I37" i="7"/>
  <c r="I30" i="8" s="1"/>
  <c r="I112" i="7"/>
  <c r="H40" i="7"/>
  <c r="H33" i="8" s="1"/>
  <c r="H30" i="7"/>
  <c r="H23" i="8" s="1"/>
  <c r="H29" i="7"/>
  <c r="H22" i="8" s="1"/>
  <c r="H167" i="7"/>
  <c r="H168" i="7" s="1"/>
  <c r="I80" i="7"/>
  <c r="H264" i="7"/>
  <c r="I50" i="7"/>
  <c r="I45" i="7"/>
  <c r="I166" i="7" s="1"/>
  <c r="I38" i="7"/>
  <c r="I31" i="8" s="1"/>
  <c r="I263" i="7"/>
  <c r="I81" i="7"/>
  <c r="I178" i="7" s="1"/>
  <c r="J82" i="7"/>
  <c r="G15" i="8"/>
  <c r="G17" i="8" s="1"/>
  <c r="G243" i="7"/>
  <c r="E55" i="9" s="1"/>
  <c r="G241" i="7"/>
  <c r="H241" i="7" s="1"/>
  <c r="I241" i="7" s="1"/>
  <c r="J241" i="7" s="1"/>
  <c r="K241" i="7" s="1"/>
  <c r="L241" i="7" s="1"/>
  <c r="H178" i="7"/>
  <c r="I167" i="7"/>
  <c r="H33" i="7"/>
  <c r="H265" i="7" s="1"/>
  <c r="L89" i="7"/>
  <c r="E21" i="14" l="1"/>
  <c r="I81" i="11" s="1"/>
  <c r="E61" i="9"/>
  <c r="E60" i="9"/>
  <c r="I40" i="7"/>
  <c r="I33" i="8" s="1"/>
  <c r="I118" i="7"/>
  <c r="I30" i="7"/>
  <c r="I23" i="8" s="1"/>
  <c r="I218" i="7"/>
  <c r="I226" i="7" s="1"/>
  <c r="I29" i="7"/>
  <c r="I22" i="8" s="1"/>
  <c r="J75" i="7"/>
  <c r="J32" i="7" s="1"/>
  <c r="I83" i="7"/>
  <c r="J80" i="7" s="1"/>
  <c r="H34" i="7"/>
  <c r="H261" i="7" s="1"/>
  <c r="H26" i="8"/>
  <c r="I168" i="7"/>
  <c r="K81" i="11" l="1"/>
  <c r="L81" i="11" s="1"/>
  <c r="I218" i="11"/>
  <c r="K218" i="11" s="1"/>
  <c r="K82" i="7"/>
  <c r="K75" i="7" s="1"/>
  <c r="K32" i="7" s="1"/>
  <c r="K263" i="7" s="1"/>
  <c r="J81" i="7"/>
  <c r="J178" i="7" s="1"/>
  <c r="L82" i="7"/>
  <c r="I33" i="7"/>
  <c r="I264" i="7"/>
  <c r="J263" i="7"/>
  <c r="J25" i="8"/>
  <c r="J38" i="7"/>
  <c r="J45" i="7"/>
  <c r="J50" i="7"/>
  <c r="J112" i="7"/>
  <c r="J37" i="7"/>
  <c r="J30" i="8" s="1"/>
  <c r="K81" i="7"/>
  <c r="K178" i="7" s="1"/>
  <c r="H101" i="7"/>
  <c r="H27" i="8"/>
  <c r="J83" i="7"/>
  <c r="L75" i="7"/>
  <c r="L32" i="7" s="1"/>
  <c r="M81" i="11" l="1"/>
  <c r="L263" i="7"/>
  <c r="L37" i="7"/>
  <c r="L30" i="8" s="1"/>
  <c r="L45" i="7"/>
  <c r="L38" i="7"/>
  <c r="L112" i="7"/>
  <c r="L50" i="7"/>
  <c r="L25" i="8"/>
  <c r="I265" i="7"/>
  <c r="I26" i="8"/>
  <c r="I34" i="7"/>
  <c r="J40" i="7"/>
  <c r="J33" i="8" s="1"/>
  <c r="J167" i="7"/>
  <c r="J118" i="7"/>
  <c r="J166" i="7"/>
  <c r="J30" i="7"/>
  <c r="J23" i="8" s="1"/>
  <c r="J29" i="7"/>
  <c r="J22" i="8" s="1"/>
  <c r="K45" i="7"/>
  <c r="K166" i="7" s="1"/>
  <c r="K37" i="7"/>
  <c r="K30" i="8" s="1"/>
  <c r="K50" i="7"/>
  <c r="K25" i="8"/>
  <c r="K38" i="7"/>
  <c r="K112" i="7"/>
  <c r="J33" i="7"/>
  <c r="J265" i="7" s="1"/>
  <c r="J264" i="7"/>
  <c r="J31" i="8"/>
  <c r="J218" i="7"/>
  <c r="J226" i="7" s="1"/>
  <c r="J34" i="7"/>
  <c r="K80" i="7"/>
  <c r="K83" i="7" s="1"/>
  <c r="L81" i="7"/>
  <c r="N81" i="11" l="1"/>
  <c r="J26" i="8"/>
  <c r="J168" i="7"/>
  <c r="K33" i="7"/>
  <c r="K265" i="7" s="1"/>
  <c r="K264" i="7"/>
  <c r="L31" i="8"/>
  <c r="L218" i="7"/>
  <c r="L226" i="7" s="1"/>
  <c r="K218" i="7"/>
  <c r="K226" i="7" s="1"/>
  <c r="K31" i="8"/>
  <c r="L166" i="7"/>
  <c r="K30" i="7"/>
  <c r="K23" i="8" s="1"/>
  <c r="L167" i="7"/>
  <c r="K40" i="7"/>
  <c r="K33" i="8" s="1"/>
  <c r="K29" i="7"/>
  <c r="K22" i="8" s="1"/>
  <c r="K118" i="7"/>
  <c r="K167" i="7"/>
  <c r="K168" i="7" s="1"/>
  <c r="L118" i="7"/>
  <c r="L30" i="7"/>
  <c r="L23" i="8" s="1"/>
  <c r="L40" i="7"/>
  <c r="L33" i="8" s="1"/>
  <c r="L29" i="7"/>
  <c r="L22" i="8" s="1"/>
  <c r="I27" i="8"/>
  <c r="I261" i="7"/>
  <c r="J27" i="8"/>
  <c r="J261" i="7"/>
  <c r="K34" i="7"/>
  <c r="L80" i="7"/>
  <c r="L83" i="7" s="1"/>
  <c r="L178" i="7"/>
  <c r="O81" i="11" l="1"/>
  <c r="K26" i="8"/>
  <c r="L168" i="7"/>
  <c r="L33" i="7"/>
  <c r="L265" i="7" s="1"/>
  <c r="L264" i="7"/>
  <c r="K27" i="8"/>
  <c r="K261" i="7"/>
  <c r="L26" i="8"/>
  <c r="P81" i="11" l="1"/>
  <c r="L34" i="7"/>
  <c r="L27" i="8"/>
  <c r="L261" i="7"/>
  <c r="E59" i="6" l="1"/>
  <c r="E67" i="6" s="1"/>
  <c r="G56" i="6"/>
  <c r="G64" i="6" s="1"/>
  <c r="F56" i="6"/>
  <c r="F64" i="6" s="1"/>
  <c r="E56" i="6"/>
  <c r="E64" i="6" s="1"/>
  <c r="H64" i="6" s="1"/>
  <c r="E55" i="6"/>
  <c r="E63" i="6" s="1"/>
  <c r="G48" i="6"/>
  <c r="F48" i="6"/>
  <c r="E48" i="6"/>
  <c r="E57" i="6" s="1"/>
  <c r="G45" i="6"/>
  <c r="G54" i="6" s="1"/>
  <c r="F45" i="6"/>
  <c r="F54" i="6" s="1"/>
  <c r="E45" i="6"/>
  <c r="E54" i="6" s="1"/>
  <c r="C39" i="6"/>
  <c r="E37" i="6"/>
  <c r="C35" i="6"/>
  <c r="L33" i="6"/>
  <c r="K33" i="6"/>
  <c r="J33" i="6"/>
  <c r="I33" i="6"/>
  <c r="H33" i="6"/>
  <c r="L32" i="6"/>
  <c r="K32" i="6"/>
  <c r="J32" i="6"/>
  <c r="I32" i="6"/>
  <c r="H32" i="6"/>
  <c r="L30" i="6"/>
  <c r="K30" i="6"/>
  <c r="J30" i="6"/>
  <c r="I30" i="6"/>
  <c r="H30" i="6"/>
  <c r="E30" i="6"/>
  <c r="C29" i="6"/>
  <c r="C24" i="6"/>
  <c r="C23" i="6"/>
  <c r="G21" i="6"/>
  <c r="H21" i="6" s="1"/>
  <c r="I21" i="6" s="1"/>
  <c r="J21" i="6" s="1"/>
  <c r="F21" i="6"/>
  <c r="E21" i="6"/>
  <c r="E14" i="6"/>
  <c r="E15" i="6" s="1"/>
  <c r="G13" i="6"/>
  <c r="G59" i="6" s="1"/>
  <c r="G67" i="6" s="1"/>
  <c r="F13" i="6"/>
  <c r="F59" i="6" s="1"/>
  <c r="F67" i="6" s="1"/>
  <c r="H67" i="6" s="1"/>
  <c r="I67" i="6" s="1"/>
  <c r="J67" i="6" s="1"/>
  <c r="K67" i="6" s="1"/>
  <c r="L67" i="6" s="1"/>
  <c r="G12" i="6"/>
  <c r="F12" i="6"/>
  <c r="E12" i="6"/>
  <c r="E58" i="6" s="1"/>
  <c r="E66" i="6" s="1"/>
  <c r="G11" i="6"/>
  <c r="F11" i="6"/>
  <c r="F30" i="6" s="1"/>
  <c r="E11" i="6"/>
  <c r="G9" i="6"/>
  <c r="F9" i="6"/>
  <c r="F55" i="6" s="1"/>
  <c r="F63" i="6" s="1"/>
  <c r="G8" i="6"/>
  <c r="G71" i="6" s="1"/>
  <c r="F8" i="6"/>
  <c r="E8" i="6"/>
  <c r="E36" i="6" s="1"/>
  <c r="B3" i="6"/>
  <c r="B2" i="6"/>
  <c r="G43" i="5"/>
  <c r="F43" i="5"/>
  <c r="H43" i="5" s="1"/>
  <c r="F41" i="5"/>
  <c r="F39" i="5"/>
  <c r="F34" i="5"/>
  <c r="G33" i="5"/>
  <c r="F33" i="5"/>
  <c r="G32" i="5"/>
  <c r="G42" i="5" s="1"/>
  <c r="F32" i="5"/>
  <c r="F42" i="5" s="1"/>
  <c r="F29" i="5"/>
  <c r="G26" i="5"/>
  <c r="G23" i="5"/>
  <c r="G38" i="5" s="1"/>
  <c r="F23" i="5"/>
  <c r="G22" i="5"/>
  <c r="F22" i="5"/>
  <c r="F21" i="5"/>
  <c r="G21" i="5" s="1"/>
  <c r="H21" i="5" s="1"/>
  <c r="G20" i="5"/>
  <c r="F20" i="5"/>
  <c r="G15" i="5"/>
  <c r="F15" i="5"/>
  <c r="F19" i="5" s="1"/>
  <c r="J14" i="5"/>
  <c r="G14" i="5"/>
  <c r="H14" i="5" s="1"/>
  <c r="I14" i="5" s="1"/>
  <c r="F13" i="5"/>
  <c r="G9" i="5"/>
  <c r="I8" i="5"/>
  <c r="H8" i="5"/>
  <c r="G8" i="5"/>
  <c r="B3" i="5"/>
  <c r="B2" i="5"/>
  <c r="E48" i="4"/>
  <c r="F46" i="4"/>
  <c r="E46" i="4"/>
  <c r="G42" i="4"/>
  <c r="F42" i="4"/>
  <c r="E42" i="4"/>
  <c r="G40" i="4"/>
  <c r="F40" i="4"/>
  <c r="E40" i="4"/>
  <c r="G39" i="4"/>
  <c r="F39" i="4"/>
  <c r="E39" i="4"/>
  <c r="G38" i="4"/>
  <c r="F38" i="4"/>
  <c r="E38" i="4"/>
  <c r="G37" i="4"/>
  <c r="F37" i="4"/>
  <c r="E37" i="4"/>
  <c r="G36" i="4"/>
  <c r="F36" i="4"/>
  <c r="E36" i="4"/>
  <c r="G35" i="4"/>
  <c r="F35" i="4"/>
  <c r="E35" i="4"/>
  <c r="L18" i="4"/>
  <c r="L17" i="4" s="1"/>
  <c r="K18" i="4"/>
  <c r="J18" i="4"/>
  <c r="I18" i="4"/>
  <c r="H18" i="4"/>
  <c r="H17" i="4" s="1"/>
  <c r="K17" i="4"/>
  <c r="J17" i="4"/>
  <c r="I17" i="4"/>
  <c r="G9" i="4"/>
  <c r="G46" i="4" s="1"/>
  <c r="F9" i="4"/>
  <c r="E9" i="4"/>
  <c r="B3" i="4"/>
  <c r="B2" i="4"/>
  <c r="C74" i="3"/>
  <c r="C73" i="3"/>
  <c r="C72" i="3"/>
  <c r="C69" i="3"/>
  <c r="C68" i="3"/>
  <c r="C67" i="3"/>
  <c r="H66" i="3"/>
  <c r="G66" i="3"/>
  <c r="F66" i="3"/>
  <c r="E66" i="3"/>
  <c r="H67" i="3" s="1"/>
  <c r="C66" i="3"/>
  <c r="C63" i="3"/>
  <c r="C62" i="3"/>
  <c r="C61" i="3"/>
  <c r="H55" i="3"/>
  <c r="G55" i="3"/>
  <c r="F55" i="3"/>
  <c r="E55" i="3"/>
  <c r="E56" i="3" s="1"/>
  <c r="E51" i="3"/>
  <c r="E52" i="3" s="1"/>
  <c r="E57" i="3" s="1"/>
  <c r="C51" i="3"/>
  <c r="C71" i="3" s="1"/>
  <c r="C50" i="3"/>
  <c r="D48" i="3"/>
  <c r="C45" i="3"/>
  <c r="C44" i="3"/>
  <c r="C43" i="3"/>
  <c r="C42" i="3"/>
  <c r="J40" i="3"/>
  <c r="K40" i="3" s="1"/>
  <c r="C40" i="3"/>
  <c r="C39" i="3"/>
  <c r="C38" i="3"/>
  <c r="G37" i="3"/>
  <c r="F37" i="3"/>
  <c r="E37" i="3"/>
  <c r="C37" i="3"/>
  <c r="C36" i="3"/>
  <c r="L34" i="3"/>
  <c r="K34" i="3"/>
  <c r="J34" i="3"/>
  <c r="G34" i="3"/>
  <c r="J33" i="3"/>
  <c r="I33" i="3"/>
  <c r="G33" i="3"/>
  <c r="H33" i="3" s="1"/>
  <c r="F33" i="3"/>
  <c r="E33" i="3"/>
  <c r="G30" i="3"/>
  <c r="F30" i="3"/>
  <c r="G28" i="3"/>
  <c r="F28" i="3"/>
  <c r="F34" i="3" s="1"/>
  <c r="E28" i="3"/>
  <c r="G23" i="3"/>
  <c r="F23" i="3"/>
  <c r="H22" i="3"/>
  <c r="L19" i="3"/>
  <c r="L23" i="3" s="1"/>
  <c r="K19" i="3"/>
  <c r="K23" i="3" s="1"/>
  <c r="J19" i="3"/>
  <c r="J23" i="3" s="1"/>
  <c r="I19" i="3"/>
  <c r="I23" i="3" s="1"/>
  <c r="H19" i="3"/>
  <c r="H23" i="3" s="1"/>
  <c r="H13" i="3" s="1"/>
  <c r="L18" i="3"/>
  <c r="K18" i="3"/>
  <c r="L17" i="3"/>
  <c r="K17" i="3"/>
  <c r="J17" i="3"/>
  <c r="I17" i="3"/>
  <c r="H16" i="3"/>
  <c r="H17" i="3" s="1"/>
  <c r="G9" i="3"/>
  <c r="G42" i="3" s="1"/>
  <c r="H45" i="3" s="1"/>
  <c r="I45" i="3" s="1"/>
  <c r="J45" i="3" s="1"/>
  <c r="K45" i="3" s="1"/>
  <c r="L45" i="3" s="1"/>
  <c r="F9" i="3"/>
  <c r="E9" i="3"/>
  <c r="E42" i="3" s="1"/>
  <c r="B3" i="3"/>
  <c r="B2" i="3"/>
  <c r="G298" i="2"/>
  <c r="F298" i="2"/>
  <c r="E298" i="2"/>
  <c r="G288" i="2"/>
  <c r="G289" i="2" s="1"/>
  <c r="H279" i="2"/>
  <c r="G279" i="2"/>
  <c r="F279" i="2"/>
  <c r="H278" i="2"/>
  <c r="G278" i="2"/>
  <c r="F278" i="2"/>
  <c r="G276" i="2"/>
  <c r="F276" i="2"/>
  <c r="G275" i="2"/>
  <c r="F275" i="2"/>
  <c r="F270" i="2"/>
  <c r="G268" i="2"/>
  <c r="F268" i="2"/>
  <c r="G267" i="2"/>
  <c r="G270" i="2" s="1"/>
  <c r="F267" i="2"/>
  <c r="G261" i="2"/>
  <c r="F261" i="2"/>
  <c r="G259" i="2"/>
  <c r="F259" i="2"/>
  <c r="G258" i="2"/>
  <c r="G257" i="2"/>
  <c r="F257" i="2"/>
  <c r="G256" i="2"/>
  <c r="F256" i="2"/>
  <c r="G255" i="2"/>
  <c r="F255" i="2"/>
  <c r="G253" i="2"/>
  <c r="F253" i="2"/>
  <c r="G252" i="2"/>
  <c r="F252" i="2"/>
  <c r="G251" i="2"/>
  <c r="G250" i="2"/>
  <c r="F250" i="2"/>
  <c r="G249" i="2"/>
  <c r="F249" i="2"/>
  <c r="F229" i="2"/>
  <c r="E229" i="2"/>
  <c r="G228" i="2"/>
  <c r="G229" i="2" s="1"/>
  <c r="F228" i="2"/>
  <c r="E228" i="2"/>
  <c r="E148" i="2" s="1"/>
  <c r="G219" i="2"/>
  <c r="G51" i="3" s="1"/>
  <c r="F219" i="2"/>
  <c r="F258" i="2" s="1"/>
  <c r="F215" i="2"/>
  <c r="E215" i="2"/>
  <c r="G214" i="2"/>
  <c r="G149" i="2" s="1"/>
  <c r="G212" i="2"/>
  <c r="G215" i="2" s="1"/>
  <c r="F212" i="2"/>
  <c r="E212" i="2"/>
  <c r="G209" i="2"/>
  <c r="F209" i="2"/>
  <c r="E209" i="2"/>
  <c r="G203" i="2"/>
  <c r="F203" i="2"/>
  <c r="E203" i="2"/>
  <c r="G202" i="2"/>
  <c r="G204" i="2" s="1"/>
  <c r="F202" i="2"/>
  <c r="F204" i="2" s="1"/>
  <c r="F217" i="2" s="1"/>
  <c r="F231" i="2" s="1"/>
  <c r="E202" i="2"/>
  <c r="E204" i="2" s="1"/>
  <c r="K192" i="2"/>
  <c r="J192" i="2"/>
  <c r="J40" i="4" s="1"/>
  <c r="I192" i="2"/>
  <c r="H192" i="2"/>
  <c r="H40" i="4" s="1"/>
  <c r="G191" i="2"/>
  <c r="H190" i="2"/>
  <c r="I188" i="2"/>
  <c r="H188" i="2"/>
  <c r="H38" i="4" s="1"/>
  <c r="I187" i="2"/>
  <c r="H187" i="2"/>
  <c r="H35" i="4" s="1"/>
  <c r="G186" i="2"/>
  <c r="G34" i="4" s="1"/>
  <c r="G41" i="4" s="1"/>
  <c r="F186" i="2"/>
  <c r="F34" i="4" s="1"/>
  <c r="F41" i="4" s="1"/>
  <c r="E186" i="2"/>
  <c r="E34" i="4" s="1"/>
  <c r="E41" i="4" s="1"/>
  <c r="G182" i="2"/>
  <c r="F182" i="2"/>
  <c r="G181" i="2"/>
  <c r="G183" i="2" s="1"/>
  <c r="F181" i="2"/>
  <c r="F274" i="2" s="1"/>
  <c r="E181" i="2"/>
  <c r="H180" i="2"/>
  <c r="H97" i="2" s="1"/>
  <c r="H179" i="2"/>
  <c r="I179" i="2" s="1"/>
  <c r="F173" i="2"/>
  <c r="H172" i="2"/>
  <c r="G172" i="2"/>
  <c r="F172" i="2"/>
  <c r="G260" i="2" s="1"/>
  <c r="E172" i="2"/>
  <c r="F260" i="2" s="1"/>
  <c r="G171" i="2"/>
  <c r="F171" i="2"/>
  <c r="G263" i="2" s="1"/>
  <c r="G164" i="2"/>
  <c r="G54" i="2" s="1"/>
  <c r="F164" i="2"/>
  <c r="E164" i="2"/>
  <c r="G163" i="2"/>
  <c r="F163" i="2"/>
  <c r="G273" i="2" s="1"/>
  <c r="E163" i="2"/>
  <c r="F273" i="2" s="1"/>
  <c r="G161" i="2"/>
  <c r="H285" i="2" s="1"/>
  <c r="F161" i="2"/>
  <c r="G285" i="2" s="1"/>
  <c r="E161" i="2"/>
  <c r="F285" i="2" s="1"/>
  <c r="F153" i="2"/>
  <c r="G150" i="2"/>
  <c r="G156" i="2" s="1"/>
  <c r="H156" i="2" s="1"/>
  <c r="F150" i="2"/>
  <c r="F156" i="2" s="1"/>
  <c r="E150" i="2"/>
  <c r="F149" i="2"/>
  <c r="E149" i="2"/>
  <c r="E155" i="2" s="1"/>
  <c r="G148" i="2"/>
  <c r="F148" i="2"/>
  <c r="G147" i="2"/>
  <c r="G153" i="2" s="1"/>
  <c r="H153" i="2" s="1"/>
  <c r="F147" i="2"/>
  <c r="E147" i="2"/>
  <c r="G146" i="2"/>
  <c r="F146" i="2"/>
  <c r="E146" i="2"/>
  <c r="E152" i="2" s="1"/>
  <c r="H144" i="2"/>
  <c r="I144" i="2" s="1"/>
  <c r="G143" i="2"/>
  <c r="G144" i="2" s="1"/>
  <c r="F143" i="2"/>
  <c r="F144" i="2" s="1"/>
  <c r="E143" i="2"/>
  <c r="E144" i="2" s="1"/>
  <c r="E140" i="2"/>
  <c r="H138" i="2"/>
  <c r="E136" i="2"/>
  <c r="D136" i="2"/>
  <c r="G134" i="2"/>
  <c r="G140" i="2" s="1"/>
  <c r="F134" i="2"/>
  <c r="E134" i="2"/>
  <c r="G130" i="2"/>
  <c r="F130" i="2"/>
  <c r="E130" i="2"/>
  <c r="G127" i="2"/>
  <c r="G128" i="2" s="1"/>
  <c r="F127" i="2"/>
  <c r="F128" i="2" s="1"/>
  <c r="H128" i="2" s="1"/>
  <c r="G126" i="2"/>
  <c r="F126" i="2"/>
  <c r="G124" i="2"/>
  <c r="F124" i="2"/>
  <c r="E124" i="2"/>
  <c r="F118" i="2"/>
  <c r="C112" i="2"/>
  <c r="C119" i="2" s="1"/>
  <c r="E111" i="2"/>
  <c r="E118" i="2" s="1"/>
  <c r="F110" i="2"/>
  <c r="F117" i="2" s="1"/>
  <c r="E105" i="2"/>
  <c r="C105" i="2"/>
  <c r="E98" i="2"/>
  <c r="G97" i="2"/>
  <c r="F97" i="2"/>
  <c r="E97" i="2"/>
  <c r="F112" i="2" s="1"/>
  <c r="F119" i="2" s="1"/>
  <c r="C97" i="2"/>
  <c r="H96" i="2"/>
  <c r="G96" i="2"/>
  <c r="F96" i="2"/>
  <c r="E96" i="2"/>
  <c r="F111" i="2" s="1"/>
  <c r="C96" i="2"/>
  <c r="C104" i="2" s="1"/>
  <c r="C111" i="2" s="1"/>
  <c r="C118" i="2" s="1"/>
  <c r="G95" i="2"/>
  <c r="F95" i="2"/>
  <c r="E95" i="2"/>
  <c r="E110" i="2" s="1"/>
  <c r="E117" i="2" s="1"/>
  <c r="C95" i="2"/>
  <c r="C103" i="2" s="1"/>
  <c r="C110" i="2" s="1"/>
  <c r="C117" i="2" s="1"/>
  <c r="E94" i="2"/>
  <c r="E139" i="2" s="1"/>
  <c r="C94" i="2"/>
  <c r="C102" i="2" s="1"/>
  <c r="C109" i="2" s="1"/>
  <c r="C116" i="2" s="1"/>
  <c r="G91" i="2"/>
  <c r="H90" i="2"/>
  <c r="I90" i="2" s="1"/>
  <c r="J90" i="2" s="1"/>
  <c r="K90" i="2" s="1"/>
  <c r="L90" i="2" s="1"/>
  <c r="D90" i="2"/>
  <c r="G78" i="2"/>
  <c r="G87" i="2" s="1"/>
  <c r="G76" i="2"/>
  <c r="G85" i="2" s="1"/>
  <c r="H85" i="2" s="1"/>
  <c r="G71" i="2"/>
  <c r="D71" i="2"/>
  <c r="G70" i="2"/>
  <c r="F70" i="2"/>
  <c r="F79" i="2" s="1"/>
  <c r="F88" i="2" s="1"/>
  <c r="H88" i="2" s="1"/>
  <c r="E70" i="2"/>
  <c r="E79" i="2" s="1"/>
  <c r="E88" i="2" s="1"/>
  <c r="D70" i="2"/>
  <c r="D69" i="2"/>
  <c r="G68" i="2"/>
  <c r="G77" i="2" s="1"/>
  <c r="G86" i="2" s="1"/>
  <c r="E68" i="2"/>
  <c r="E77" i="2" s="1"/>
  <c r="E86" i="2" s="1"/>
  <c r="D68" i="2"/>
  <c r="G67" i="2"/>
  <c r="F67" i="2"/>
  <c r="E67" i="2"/>
  <c r="E76" i="2" s="1"/>
  <c r="E85" i="2" s="1"/>
  <c r="D67" i="2"/>
  <c r="D66" i="2"/>
  <c r="D61" i="2"/>
  <c r="D58" i="2"/>
  <c r="G57" i="2"/>
  <c r="F57" i="2"/>
  <c r="G79" i="2" s="1"/>
  <c r="G88" i="2" s="1"/>
  <c r="E57" i="2"/>
  <c r="D57" i="2"/>
  <c r="C57" i="2"/>
  <c r="G56" i="2"/>
  <c r="F56" i="2"/>
  <c r="E56" i="2"/>
  <c r="D56" i="2"/>
  <c r="G55" i="2"/>
  <c r="G75" i="2" s="1"/>
  <c r="G84" i="2" s="1"/>
  <c r="H84" i="2" s="1"/>
  <c r="F55" i="2"/>
  <c r="E55" i="2"/>
  <c r="F75" i="2" s="1"/>
  <c r="F84" i="2" s="1"/>
  <c r="D55" i="2"/>
  <c r="F54" i="2"/>
  <c r="G138" i="2" s="1"/>
  <c r="E54" i="2"/>
  <c r="D54" i="2"/>
  <c r="C54" i="2"/>
  <c r="G53" i="2"/>
  <c r="G58" i="2" s="1"/>
  <c r="F53" i="2"/>
  <c r="F58" i="2" s="1"/>
  <c r="D53" i="2"/>
  <c r="C53" i="2"/>
  <c r="I51" i="2"/>
  <c r="J51" i="2" s="1"/>
  <c r="K51" i="2" s="1"/>
  <c r="L51" i="2" s="1"/>
  <c r="H51" i="2"/>
  <c r="G51" i="2"/>
  <c r="F51" i="2"/>
  <c r="E51" i="2"/>
  <c r="G48" i="2"/>
  <c r="G46" i="2"/>
  <c r="F46" i="2"/>
  <c r="G45" i="2"/>
  <c r="F45" i="2"/>
  <c r="F48" i="2" s="1"/>
  <c r="G41" i="2"/>
  <c r="F41" i="2"/>
  <c r="G40" i="2"/>
  <c r="F40" i="2"/>
  <c r="H35" i="2"/>
  <c r="I35" i="2" s="1"/>
  <c r="J35" i="2" s="1"/>
  <c r="K35" i="2" s="1"/>
  <c r="L35" i="2" s="1"/>
  <c r="G35" i="2"/>
  <c r="F35" i="2"/>
  <c r="E35" i="2"/>
  <c r="G34" i="2"/>
  <c r="E34" i="2"/>
  <c r="G33" i="2"/>
  <c r="F33" i="2"/>
  <c r="E33" i="2"/>
  <c r="H33" i="2" s="1"/>
  <c r="H32" i="2"/>
  <c r="I32" i="2" s="1"/>
  <c r="J32" i="2" s="1"/>
  <c r="K32" i="2" s="1"/>
  <c r="L32" i="2" s="1"/>
  <c r="G32" i="2"/>
  <c r="F32" i="2"/>
  <c r="E32" i="2"/>
  <c r="L27" i="2"/>
  <c r="K27" i="2"/>
  <c r="J27" i="2"/>
  <c r="I27" i="2"/>
  <c r="H27" i="2"/>
  <c r="L26" i="2"/>
  <c r="K26" i="2"/>
  <c r="J26" i="2"/>
  <c r="I26" i="2"/>
  <c r="H26" i="2"/>
  <c r="L24" i="2"/>
  <c r="L109" i="7" s="1"/>
  <c r="K24" i="2"/>
  <c r="K109" i="7" s="1"/>
  <c r="J24" i="2"/>
  <c r="J109" i="7" s="1"/>
  <c r="I24" i="2"/>
  <c r="I109" i="7" s="1"/>
  <c r="H24" i="2"/>
  <c r="G23" i="2"/>
  <c r="F23" i="2" s="1"/>
  <c r="B2" i="2"/>
  <c r="I152" i="7" l="1"/>
  <c r="I133" i="7" s="1"/>
  <c r="I149" i="7"/>
  <c r="I140" i="7"/>
  <c r="I155" i="7"/>
  <c r="I134" i="7" s="1"/>
  <c r="I143" i="7"/>
  <c r="I127" i="7" s="1"/>
  <c r="I146" i="7"/>
  <c r="I131" i="7" s="1"/>
  <c r="I137" i="7"/>
  <c r="I125" i="7" s="1"/>
  <c r="J140" i="7"/>
  <c r="J149" i="7"/>
  <c r="J152" i="7"/>
  <c r="J133" i="7" s="1"/>
  <c r="J155" i="7"/>
  <c r="J134" i="7" s="1"/>
  <c r="J143" i="7"/>
  <c r="J127" i="7" s="1"/>
  <c r="J137" i="7"/>
  <c r="J125" i="7" s="1"/>
  <c r="J146" i="7"/>
  <c r="J131" i="7" s="1"/>
  <c r="K155" i="7"/>
  <c r="K134" i="7" s="1"/>
  <c r="K140" i="7"/>
  <c r="K149" i="7"/>
  <c r="K152" i="7"/>
  <c r="K133" i="7" s="1"/>
  <c r="K143" i="7"/>
  <c r="K127" i="7" s="1"/>
  <c r="K146" i="7"/>
  <c r="K131" i="7" s="1"/>
  <c r="K137" i="7"/>
  <c r="K125" i="7" s="1"/>
  <c r="H112" i="2"/>
  <c r="H105" i="2" s="1"/>
  <c r="H109" i="7"/>
  <c r="L155" i="7"/>
  <c r="L134" i="7" s="1"/>
  <c r="L140" i="7"/>
  <c r="L149" i="7"/>
  <c r="L152" i="7"/>
  <c r="L133" i="7" s="1"/>
  <c r="L143" i="7"/>
  <c r="L127" i="7" s="1"/>
  <c r="L137" i="7"/>
  <c r="L125" i="7" s="1"/>
  <c r="L146" i="7"/>
  <c r="L131" i="7" s="1"/>
  <c r="H43" i="3"/>
  <c r="I43" i="3" s="1"/>
  <c r="I88" i="2"/>
  <c r="H79" i="2"/>
  <c r="G62" i="2"/>
  <c r="H75" i="2"/>
  <c r="I84" i="2"/>
  <c r="I128" i="2"/>
  <c r="J128" i="2" s="1"/>
  <c r="K128" i="2" s="1"/>
  <c r="L128" i="2" s="1"/>
  <c r="L127" i="2" s="1"/>
  <c r="H127" i="2"/>
  <c r="I156" i="2"/>
  <c r="F6" i="6"/>
  <c r="F43" i="6" s="1"/>
  <c r="F6" i="5"/>
  <c r="F6" i="3"/>
  <c r="F48" i="3" s="1"/>
  <c r="F159" i="2"/>
  <c r="F30" i="2"/>
  <c r="E23" i="2"/>
  <c r="F200" i="2"/>
  <c r="F245" i="2" s="1"/>
  <c r="K127" i="2"/>
  <c r="I33" i="2"/>
  <c r="F233" i="2"/>
  <c r="F247" i="2"/>
  <c r="H76" i="2"/>
  <c r="I85" i="2"/>
  <c r="H23" i="2"/>
  <c r="G30" i="2"/>
  <c r="F140" i="2"/>
  <c r="H140" i="2" s="1"/>
  <c r="F136" i="2"/>
  <c r="I138" i="2"/>
  <c r="G59" i="2"/>
  <c r="G80" i="2" s="1"/>
  <c r="G311" i="2" s="1"/>
  <c r="F138" i="2"/>
  <c r="E138" i="2"/>
  <c r="F62" i="2"/>
  <c r="F76" i="2"/>
  <c r="F85" i="2" s="1"/>
  <c r="F68" i="2"/>
  <c r="E112" i="2"/>
  <c r="E119" i="2" s="1"/>
  <c r="J59" i="6"/>
  <c r="J127" i="2"/>
  <c r="G44" i="2"/>
  <c r="G110" i="2"/>
  <c r="G117" i="2" s="1"/>
  <c r="G111" i="2"/>
  <c r="G118" i="2" s="1"/>
  <c r="G112" i="2"/>
  <c r="G119" i="2" s="1"/>
  <c r="F152" i="2"/>
  <c r="G154" i="2"/>
  <c r="H154" i="2" s="1"/>
  <c r="G173" i="2"/>
  <c r="H260" i="2"/>
  <c r="G155" i="2"/>
  <c r="E316" i="2"/>
  <c r="G6" i="5"/>
  <c r="G6" i="6"/>
  <c r="G43" i="6" s="1"/>
  <c r="G6" i="3"/>
  <c r="G48" i="3" s="1"/>
  <c r="G6" i="4"/>
  <c r="G159" i="2"/>
  <c r="G200" i="2"/>
  <c r="G245" i="2" s="1"/>
  <c r="K59" i="6"/>
  <c r="F44" i="2"/>
  <c r="E71" i="2"/>
  <c r="H104" i="2"/>
  <c r="I153" i="2"/>
  <c r="F155" i="2"/>
  <c r="I172" i="2"/>
  <c r="I260" i="2" s="1"/>
  <c r="I38" i="4"/>
  <c r="I255" i="2"/>
  <c r="J188" i="2"/>
  <c r="G193" i="2"/>
  <c r="E315" i="2"/>
  <c r="E217" i="2"/>
  <c r="E231" i="2" s="1"/>
  <c r="E233" i="2" s="1"/>
  <c r="F316" i="2"/>
  <c r="F50" i="4"/>
  <c r="F52" i="4" s="1"/>
  <c r="F296" i="2"/>
  <c r="I42" i="4"/>
  <c r="J179" i="2"/>
  <c r="I276" i="2"/>
  <c r="I96" i="2"/>
  <c r="I104" i="2" s="1"/>
  <c r="K40" i="4"/>
  <c r="K279" i="2"/>
  <c r="L192" i="2"/>
  <c r="F315" i="2"/>
  <c r="J144" i="2"/>
  <c r="I59" i="6"/>
  <c r="I58" i="6"/>
  <c r="I127" i="2"/>
  <c r="E75" i="2"/>
  <c r="E84" i="2" s="1"/>
  <c r="F154" i="2"/>
  <c r="G262" i="2"/>
  <c r="I35" i="4"/>
  <c r="J187" i="2"/>
  <c r="I278" i="2"/>
  <c r="G310" i="2"/>
  <c r="G217" i="2"/>
  <c r="G231" i="2" s="1"/>
  <c r="G152" i="2"/>
  <c r="H59" i="6"/>
  <c r="H56" i="6"/>
  <c r="L59" i="6"/>
  <c r="F34" i="2"/>
  <c r="H34" i="2" s="1"/>
  <c r="E53" i="2"/>
  <c r="H182" i="2"/>
  <c r="F183" i="2"/>
  <c r="G53" i="4"/>
  <c r="G43" i="4"/>
  <c r="I40" i="4"/>
  <c r="I279" i="2"/>
  <c r="G52" i="3"/>
  <c r="G57" i="3" s="1"/>
  <c r="G56" i="3" s="1"/>
  <c r="G71" i="3"/>
  <c r="F263" i="2"/>
  <c r="G274" i="2"/>
  <c r="F10" i="3"/>
  <c r="F42" i="3"/>
  <c r="G136" i="2"/>
  <c r="E153" i="2"/>
  <c r="E156" i="2"/>
  <c r="H36" i="4"/>
  <c r="H253" i="2"/>
  <c r="I190" i="2"/>
  <c r="F191" i="2"/>
  <c r="F193" i="2" s="1"/>
  <c r="H255" i="2"/>
  <c r="J279" i="2"/>
  <c r="K33" i="3"/>
  <c r="F277" i="2"/>
  <c r="H18" i="6"/>
  <c r="I13" i="3"/>
  <c r="I27" i="3" s="1"/>
  <c r="H42" i="4"/>
  <c r="H276" i="2"/>
  <c r="H275" i="2"/>
  <c r="I180" i="2"/>
  <c r="F53" i="4"/>
  <c r="F43" i="4"/>
  <c r="F51" i="3"/>
  <c r="F251" i="2"/>
  <c r="E154" i="2"/>
  <c r="G277" i="2"/>
  <c r="F288" i="2"/>
  <c r="F289" i="2" s="1"/>
  <c r="E34" i="3"/>
  <c r="E30" i="3"/>
  <c r="H34" i="3"/>
  <c r="H28" i="3" s="1"/>
  <c r="H39" i="3"/>
  <c r="I39" i="3" s="1"/>
  <c r="J39" i="3" s="1"/>
  <c r="K39" i="3" s="1"/>
  <c r="L39" i="3" s="1"/>
  <c r="H38" i="3"/>
  <c r="I38" i="3" s="1"/>
  <c r="J38" i="3" s="1"/>
  <c r="K38" i="3" s="1"/>
  <c r="L38" i="3" s="1"/>
  <c r="L37" i="3" s="1"/>
  <c r="H40" i="3"/>
  <c r="E173" i="2"/>
  <c r="E182" i="2"/>
  <c r="F262" i="2" s="1"/>
  <c r="E43" i="4"/>
  <c r="E53" i="4"/>
  <c r="E191" i="2"/>
  <c r="E193" i="2" s="1"/>
  <c r="E10" i="3"/>
  <c r="H27" i="3"/>
  <c r="I67" i="3"/>
  <c r="H69" i="3"/>
  <c r="H68" i="3"/>
  <c r="E71" i="3"/>
  <c r="E84" i="3"/>
  <c r="E82" i="3"/>
  <c r="E301" i="2" s="1"/>
  <c r="E60" i="3"/>
  <c r="H44" i="3"/>
  <c r="I44" i="3" s="1"/>
  <c r="J44" i="3" s="1"/>
  <c r="K44" i="3" s="1"/>
  <c r="F48" i="4"/>
  <c r="F47" i="4"/>
  <c r="G10" i="3"/>
  <c r="H42" i="5"/>
  <c r="H41" i="5"/>
  <c r="G57" i="6"/>
  <c r="G30" i="6"/>
  <c r="G48" i="4"/>
  <c r="G47" i="4"/>
  <c r="K14" i="5"/>
  <c r="G41" i="5"/>
  <c r="H20" i="5"/>
  <c r="J8" i="5"/>
  <c r="G25" i="5"/>
  <c r="G31" i="5"/>
  <c r="H31" i="5" s="1"/>
  <c r="F40" i="5"/>
  <c r="H9" i="5"/>
  <c r="G13" i="5"/>
  <c r="H15" i="5"/>
  <c r="G19" i="5"/>
  <c r="I43" i="5"/>
  <c r="F38" i="5"/>
  <c r="H38" i="5" s="1"/>
  <c r="I38" i="5" s="1"/>
  <c r="J38" i="5" s="1"/>
  <c r="K38" i="5" s="1"/>
  <c r="L38" i="5" s="1"/>
  <c r="G30" i="5"/>
  <c r="F71" i="6"/>
  <c r="F24" i="6"/>
  <c r="F14" i="6"/>
  <c r="F37" i="6"/>
  <c r="F58" i="6"/>
  <c r="F66" i="6" s="1"/>
  <c r="G24" i="6"/>
  <c r="F57" i="6"/>
  <c r="F35" i="5"/>
  <c r="G58" i="6"/>
  <c r="G66" i="6" s="1"/>
  <c r="H66" i="6" s="1"/>
  <c r="I66" i="6" s="1"/>
  <c r="J66" i="6" s="1"/>
  <c r="K66" i="6" s="1"/>
  <c r="L66" i="6" s="1"/>
  <c r="L58" i="6" s="1"/>
  <c r="G37" i="6"/>
  <c r="H37" i="6" s="1"/>
  <c r="G14" i="6"/>
  <c r="F25" i="5"/>
  <c r="G39" i="5"/>
  <c r="H39" i="5" s="1"/>
  <c r="I39" i="5" s="1"/>
  <c r="J39" i="5" s="1"/>
  <c r="K39" i="5" s="1"/>
  <c r="L39" i="5" s="1"/>
  <c r="G29" i="5"/>
  <c r="H26" i="5" s="1"/>
  <c r="G55" i="6"/>
  <c r="G63" i="6" s="1"/>
  <c r="H63" i="6" s="1"/>
  <c r="I63" i="6" s="1"/>
  <c r="I55" i="6" s="1"/>
  <c r="G36" i="6"/>
  <c r="E24" i="6"/>
  <c r="F36" i="6"/>
  <c r="F51" i="6"/>
  <c r="F102" i="2" s="1"/>
  <c r="E71" i="6"/>
  <c r="G51" i="6"/>
  <c r="G102" i="2" s="1"/>
  <c r="E51" i="6"/>
  <c r="E102" i="2" s="1"/>
  <c r="H42" i="3" l="1"/>
  <c r="H9" i="3" s="1"/>
  <c r="H56" i="2" s="1"/>
  <c r="H67" i="2" s="1"/>
  <c r="H152" i="7"/>
  <c r="H133" i="7" s="1"/>
  <c r="H140" i="7"/>
  <c r="H126" i="7" s="1"/>
  <c r="H149" i="7"/>
  <c r="H132" i="7" s="1"/>
  <c r="H155" i="7"/>
  <c r="H134" i="7" s="1"/>
  <c r="H137" i="7"/>
  <c r="H125" i="7" s="1"/>
  <c r="H143" i="7"/>
  <c r="H127" i="7" s="1"/>
  <c r="H146" i="7"/>
  <c r="H131" i="7" s="1"/>
  <c r="G82" i="3"/>
  <c r="G301" i="2" s="1"/>
  <c r="G60" i="3"/>
  <c r="H61" i="3" s="1"/>
  <c r="I34" i="2"/>
  <c r="F106" i="2"/>
  <c r="G15" i="6"/>
  <c r="G94" i="2"/>
  <c r="G98" i="2" s="1"/>
  <c r="F15" i="6"/>
  <c r="F94" i="2"/>
  <c r="E109" i="2"/>
  <c r="E116" i="2" s="1"/>
  <c r="E106" i="2"/>
  <c r="E113" i="2" s="1"/>
  <c r="I37" i="6"/>
  <c r="J37" i="6" s="1"/>
  <c r="K37" i="6" s="1"/>
  <c r="L37" i="6" s="1"/>
  <c r="H12" i="6"/>
  <c r="H26" i="6"/>
  <c r="I26" i="6" s="1"/>
  <c r="J26" i="6" s="1"/>
  <c r="K26" i="6" s="1"/>
  <c r="L26" i="6" s="1"/>
  <c r="H25" i="6"/>
  <c r="H27" i="6"/>
  <c r="I27" i="6" s="1"/>
  <c r="J27" i="6" s="1"/>
  <c r="K27" i="6" s="1"/>
  <c r="L27" i="6" s="1"/>
  <c r="L14" i="5"/>
  <c r="I42" i="5"/>
  <c r="E40" i="6"/>
  <c r="E76" i="3"/>
  <c r="E77" i="3" s="1"/>
  <c r="E11" i="3"/>
  <c r="E183" i="2"/>
  <c r="I36" i="4"/>
  <c r="I253" i="2"/>
  <c r="J190" i="2"/>
  <c r="F78" i="2"/>
  <c r="F87" i="2" s="1"/>
  <c r="H87" i="2" s="1"/>
  <c r="E78" i="2"/>
  <c r="E87" i="2" s="1"/>
  <c r="E58" i="2"/>
  <c r="H55" i="6"/>
  <c r="G109" i="2"/>
  <c r="G116" i="2" s="1"/>
  <c r="G106" i="2"/>
  <c r="I9" i="5"/>
  <c r="H13" i="5"/>
  <c r="I68" i="3"/>
  <c r="I66" i="3"/>
  <c r="I69" i="3"/>
  <c r="J67" i="3"/>
  <c r="E195" i="2"/>
  <c r="E297" i="2" s="1"/>
  <c r="E50" i="4"/>
  <c r="E52" i="4" s="1"/>
  <c r="E56" i="4" s="1"/>
  <c r="E296" i="2"/>
  <c r="F71" i="3"/>
  <c r="F52" i="3"/>
  <c r="F57" i="3" s="1"/>
  <c r="F56" i="3" s="1"/>
  <c r="I275" i="2"/>
  <c r="J180" i="2"/>
  <c r="I97" i="2"/>
  <c r="I112" i="2" s="1"/>
  <c r="I105" i="2" s="1"/>
  <c r="J43" i="3"/>
  <c r="I42" i="3"/>
  <c r="K37" i="3"/>
  <c r="G315" i="2"/>
  <c r="H71" i="6"/>
  <c r="H30" i="5"/>
  <c r="G40" i="5"/>
  <c r="G35" i="5"/>
  <c r="G40" i="6"/>
  <c r="G76" i="3"/>
  <c r="G77" i="3" s="1"/>
  <c r="G11" i="3"/>
  <c r="H72" i="3"/>
  <c r="F56" i="4"/>
  <c r="F55" i="4"/>
  <c r="F54" i="4"/>
  <c r="F44" i="4"/>
  <c r="G316" i="2"/>
  <c r="I37" i="3"/>
  <c r="I8" i="3" s="1"/>
  <c r="G55" i="4"/>
  <c r="G54" i="4"/>
  <c r="G44" i="4"/>
  <c r="E308" i="2"/>
  <c r="E307" i="2"/>
  <c r="E306" i="2"/>
  <c r="E235" i="2"/>
  <c r="H152" i="2"/>
  <c r="F264" i="2"/>
  <c r="I15" i="5"/>
  <c r="H19" i="5"/>
  <c r="H40" i="5"/>
  <c r="I40" i="5" s="1"/>
  <c r="J40" i="5" s="1"/>
  <c r="K40" i="5" s="1"/>
  <c r="L40" i="5" s="1"/>
  <c r="K8" i="5"/>
  <c r="I41" i="5"/>
  <c r="H30" i="3"/>
  <c r="E44" i="4"/>
  <c r="E55" i="4"/>
  <c r="E54" i="4"/>
  <c r="F195" i="2"/>
  <c r="H37" i="3"/>
  <c r="H8" i="3" s="1"/>
  <c r="F40" i="6"/>
  <c r="F76" i="3"/>
  <c r="F77" i="3" s="1"/>
  <c r="F11" i="3"/>
  <c r="H58" i="6"/>
  <c r="H49" i="6" s="1"/>
  <c r="G247" i="2"/>
  <c r="G264" i="2" s="1"/>
  <c r="G233" i="2"/>
  <c r="J35" i="4"/>
  <c r="J278" i="2"/>
  <c r="K187" i="2"/>
  <c r="K144" i="2"/>
  <c r="L40" i="4"/>
  <c r="L279" i="2"/>
  <c r="J38" i="4"/>
  <c r="K188" i="2"/>
  <c r="J255" i="2"/>
  <c r="J172" i="2"/>
  <c r="J153" i="2"/>
  <c r="K58" i="6"/>
  <c r="G30" i="4"/>
  <c r="F6" i="4"/>
  <c r="H6" i="4"/>
  <c r="G50" i="4"/>
  <c r="G52" i="4" s="1"/>
  <c r="G56" i="4" s="1"/>
  <c r="G296" i="2"/>
  <c r="F77" i="2"/>
  <c r="F86" i="2" s="1"/>
  <c r="F71" i="2"/>
  <c r="F280" i="2"/>
  <c r="F281" i="2" s="1"/>
  <c r="F283" i="2" s="1"/>
  <c r="F286" i="2" s="1"/>
  <c r="F291" i="2" s="1"/>
  <c r="F307" i="2"/>
  <c r="F235" i="2"/>
  <c r="F308" i="2"/>
  <c r="F306" i="2"/>
  <c r="J43" i="5"/>
  <c r="J58" i="6"/>
  <c r="H6" i="6"/>
  <c r="H43" i="6" s="1"/>
  <c r="H6" i="5"/>
  <c r="H6" i="3"/>
  <c r="H48" i="3" s="1"/>
  <c r="H200" i="2"/>
  <c r="H245" i="2" s="1"/>
  <c r="I23" i="2"/>
  <c r="H30" i="2"/>
  <c r="H159" i="2"/>
  <c r="J85" i="2"/>
  <c r="I76" i="2"/>
  <c r="F294" i="2"/>
  <c r="J156" i="2"/>
  <c r="J84" i="2"/>
  <c r="I75" i="2"/>
  <c r="I64" i="6"/>
  <c r="I56" i="6" s="1"/>
  <c r="J63" i="6"/>
  <c r="H28" i="5"/>
  <c r="H13" i="6"/>
  <c r="H50" i="6" s="1"/>
  <c r="J37" i="3"/>
  <c r="H23" i="5"/>
  <c r="I18" i="6"/>
  <c r="J13" i="3"/>
  <c r="I28" i="3"/>
  <c r="I182" i="2"/>
  <c r="J42" i="4"/>
  <c r="J276" i="2"/>
  <c r="K179" i="2"/>
  <c r="J96" i="2"/>
  <c r="J104" i="2" s="1"/>
  <c r="G195" i="2"/>
  <c r="G297" i="2" s="1"/>
  <c r="H155" i="2"/>
  <c r="E80" i="2"/>
  <c r="E311" i="2" s="1"/>
  <c r="G294" i="2"/>
  <c r="I154" i="2"/>
  <c r="J138" i="2"/>
  <c r="I140" i="2"/>
  <c r="J33" i="2"/>
  <c r="E6" i="6"/>
  <c r="E43" i="6" s="1"/>
  <c r="E6" i="5"/>
  <c r="E6" i="3"/>
  <c r="E48" i="3" s="1"/>
  <c r="E200" i="2"/>
  <c r="E245" i="2" s="1"/>
  <c r="E159" i="2"/>
  <c r="E30" i="2"/>
  <c r="J88" i="2"/>
  <c r="I79" i="2"/>
  <c r="I9" i="3" l="1"/>
  <c r="I56" i="2" s="1"/>
  <c r="I67" i="2" s="1"/>
  <c r="H128" i="7"/>
  <c r="H161" i="7" s="1"/>
  <c r="H135" i="7"/>
  <c r="H162" i="7" s="1"/>
  <c r="I55" i="2"/>
  <c r="I66" i="2" s="1"/>
  <c r="H50" i="3"/>
  <c r="H10" i="3"/>
  <c r="H55" i="2"/>
  <c r="H66" i="2" s="1"/>
  <c r="H68" i="2" s="1"/>
  <c r="J18" i="6"/>
  <c r="J28" i="3"/>
  <c r="K13" i="3"/>
  <c r="J27" i="3"/>
  <c r="E294" i="2"/>
  <c r="K33" i="2"/>
  <c r="F30" i="4"/>
  <c r="E6" i="4"/>
  <c r="E30" i="4" s="1"/>
  <c r="K38" i="4"/>
  <c r="K255" i="2"/>
  <c r="L188" i="2"/>
  <c r="H48" i="6"/>
  <c r="J154" i="2"/>
  <c r="I155" i="2"/>
  <c r="K63" i="6"/>
  <c r="J64" i="6"/>
  <c r="J56" i="6" s="1"/>
  <c r="J55" i="6"/>
  <c r="J75" i="2"/>
  <c r="K84" i="2"/>
  <c r="K172" i="2"/>
  <c r="K260" i="2" s="1"/>
  <c r="J41" i="5"/>
  <c r="J140" i="2"/>
  <c r="K42" i="4"/>
  <c r="K276" i="2"/>
  <c r="L179" i="2"/>
  <c r="K96" i="2"/>
  <c r="H226" i="2"/>
  <c r="I21" i="5"/>
  <c r="I6" i="6"/>
  <c r="I43" i="6" s="1"/>
  <c r="I6" i="5"/>
  <c r="I6" i="3"/>
  <c r="I48" i="3" s="1"/>
  <c r="I200" i="2"/>
  <c r="I245" i="2" s="1"/>
  <c r="I159" i="2"/>
  <c r="I30" i="2"/>
  <c r="J23" i="2"/>
  <c r="K43" i="5"/>
  <c r="F305" i="2"/>
  <c r="F304" i="2"/>
  <c r="J260" i="2"/>
  <c r="L144" i="2"/>
  <c r="G308" i="2"/>
  <c r="G306" i="2"/>
  <c r="G307" i="2"/>
  <c r="G280" i="2"/>
  <c r="G235" i="2"/>
  <c r="F297" i="2"/>
  <c r="F197" i="2"/>
  <c r="L8" i="5"/>
  <c r="J15" i="5"/>
  <c r="I19" i="5"/>
  <c r="E305" i="2"/>
  <c r="E304" i="2"/>
  <c r="G83" i="3"/>
  <c r="G302" i="2" s="1"/>
  <c r="H33" i="5"/>
  <c r="E197" i="2"/>
  <c r="I50" i="3"/>
  <c r="G113" i="2"/>
  <c r="E62" i="2"/>
  <c r="F59" i="2"/>
  <c r="F310" i="2" s="1"/>
  <c r="E310" i="2"/>
  <c r="E47" i="4"/>
  <c r="E83" i="3"/>
  <c r="E302" i="2" s="1"/>
  <c r="E78" i="3"/>
  <c r="E81" i="3" s="1"/>
  <c r="E300" i="2" s="1"/>
  <c r="F78" i="3"/>
  <c r="F81" i="3" s="1"/>
  <c r="F300" i="2" s="1"/>
  <c r="G84" i="3"/>
  <c r="J76" i="2"/>
  <c r="K85" i="2"/>
  <c r="H294" i="2"/>
  <c r="H30" i="4"/>
  <c r="I6" i="4"/>
  <c r="K153" i="2"/>
  <c r="K35" i="4"/>
  <c r="K278" i="2"/>
  <c r="L187" i="2"/>
  <c r="G78" i="3"/>
  <c r="G81" i="3" s="1"/>
  <c r="G300" i="2" s="1"/>
  <c r="F83" i="3"/>
  <c r="F302" i="2" s="1"/>
  <c r="I71" i="6"/>
  <c r="K43" i="3"/>
  <c r="J42" i="3"/>
  <c r="F60" i="3"/>
  <c r="F82" i="3"/>
  <c r="F301" i="2" s="1"/>
  <c r="F84" i="3"/>
  <c r="H11" i="6"/>
  <c r="F98" i="2"/>
  <c r="G139" i="2"/>
  <c r="H139" i="2" s="1"/>
  <c r="F139" i="2"/>
  <c r="F109" i="2"/>
  <c r="F116" i="2" s="1"/>
  <c r="H62" i="3"/>
  <c r="H60" i="3"/>
  <c r="H63" i="3"/>
  <c r="I61" i="3"/>
  <c r="H73" i="3"/>
  <c r="I72" i="3"/>
  <c r="H71" i="3"/>
  <c r="H51" i="3" s="1"/>
  <c r="K67" i="3"/>
  <c r="J68" i="3"/>
  <c r="J69" i="3"/>
  <c r="J66" i="3"/>
  <c r="H78" i="2"/>
  <c r="L132" i="11" s="1"/>
  <c r="I87" i="2"/>
  <c r="H117" i="2"/>
  <c r="H110" i="2" s="1"/>
  <c r="L133" i="11" s="1"/>
  <c r="J42" i="5"/>
  <c r="F113" i="2"/>
  <c r="I30" i="3"/>
  <c r="K88" i="2"/>
  <c r="J79" i="2"/>
  <c r="K138" i="2"/>
  <c r="J182" i="2"/>
  <c r="H225" i="2"/>
  <c r="H126" i="2"/>
  <c r="F22" i="4"/>
  <c r="F317" i="2"/>
  <c r="G197" i="2"/>
  <c r="K104" i="2"/>
  <c r="F80" i="2"/>
  <c r="F311" i="2" s="1"/>
  <c r="I152" i="2"/>
  <c r="J275" i="2"/>
  <c r="K180" i="2"/>
  <c r="J97" i="2"/>
  <c r="J112" i="2" s="1"/>
  <c r="J105" i="2" s="1"/>
  <c r="J9" i="5"/>
  <c r="I13" i="5"/>
  <c r="J36" i="4"/>
  <c r="K190" i="2"/>
  <c r="J253" i="2"/>
  <c r="H24" i="6"/>
  <c r="I25" i="6"/>
  <c r="E312" i="2"/>
  <c r="E313" i="2" s="1"/>
  <c r="E120" i="2"/>
  <c r="J34" i="2"/>
  <c r="H56" i="3" l="1"/>
  <c r="I68" i="2"/>
  <c r="I10" i="3"/>
  <c r="H163" i="7"/>
  <c r="H183" i="7" s="1"/>
  <c r="H173" i="7"/>
  <c r="H174" i="7" s="1"/>
  <c r="H176" i="7" s="1"/>
  <c r="L159" i="11" s="1"/>
  <c r="K34" i="2"/>
  <c r="K182" i="2"/>
  <c r="I117" i="2"/>
  <c r="I110" i="2" s="1"/>
  <c r="M133" i="11" s="1"/>
  <c r="I78" i="2"/>
  <c r="M132" i="11" s="1"/>
  <c r="H9" i="6"/>
  <c r="H10" i="6"/>
  <c r="K275" i="2"/>
  <c r="L180" i="2"/>
  <c r="K97" i="2"/>
  <c r="K112" i="2" s="1"/>
  <c r="K105" i="2" s="1"/>
  <c r="K79" i="2"/>
  <c r="L88" i="2"/>
  <c r="L79" i="2" s="1"/>
  <c r="K42" i="5"/>
  <c r="J72" i="3"/>
  <c r="I73" i="3"/>
  <c r="I71" i="3"/>
  <c r="I51" i="3" s="1"/>
  <c r="I52" i="3" s="1"/>
  <c r="I57" i="3" s="1"/>
  <c r="I219" i="2" s="1"/>
  <c r="M162" i="11" s="1"/>
  <c r="K76" i="2"/>
  <c r="L85" i="2"/>
  <c r="L76" i="2" s="1"/>
  <c r="J87" i="2"/>
  <c r="H84" i="3"/>
  <c r="I139" i="2"/>
  <c r="L43" i="3"/>
  <c r="L42" i="3" s="1"/>
  <c r="K42" i="3"/>
  <c r="L153" i="2"/>
  <c r="G22" i="4"/>
  <c r="G317" i="2"/>
  <c r="G281" i="2"/>
  <c r="G283" i="2" s="1"/>
  <c r="G286" i="2" s="1"/>
  <c r="G291" i="2" s="1"/>
  <c r="K36" i="4"/>
  <c r="K253" i="2"/>
  <c r="L190" i="2"/>
  <c r="K9" i="5"/>
  <c r="J13" i="5"/>
  <c r="H249" i="2"/>
  <c r="L138" i="2"/>
  <c r="F312" i="2"/>
  <c r="F120" i="2"/>
  <c r="K69" i="3"/>
  <c r="K68" i="3"/>
  <c r="K66" i="3"/>
  <c r="L67" i="3"/>
  <c r="G99" i="2"/>
  <c r="F99" i="2"/>
  <c r="J71" i="6"/>
  <c r="L35" i="4"/>
  <c r="L278" i="2"/>
  <c r="H227" i="2"/>
  <c r="H250" i="2" s="1"/>
  <c r="I31" i="5"/>
  <c r="J6" i="5"/>
  <c r="J6" i="6"/>
  <c r="J43" i="6" s="1"/>
  <c r="J6" i="3"/>
  <c r="J48" i="3" s="1"/>
  <c r="J200" i="2"/>
  <c r="J245" i="2" s="1"/>
  <c r="J159" i="2"/>
  <c r="J30" i="2"/>
  <c r="K23" i="2"/>
  <c r="L42" i="4"/>
  <c r="L276" i="2"/>
  <c r="L96" i="2"/>
  <c r="L104" i="2" s="1"/>
  <c r="K140" i="2"/>
  <c r="K154" i="2"/>
  <c r="J9" i="3"/>
  <c r="J56" i="2" s="1"/>
  <c r="J67" i="2" s="1"/>
  <c r="H76" i="3"/>
  <c r="H77" i="3" s="1"/>
  <c r="H11" i="3"/>
  <c r="J6" i="4"/>
  <c r="I30" i="4"/>
  <c r="G312" i="2"/>
  <c r="G313" i="2" s="1"/>
  <c r="G120" i="2"/>
  <c r="K15" i="5"/>
  <c r="J19" i="5"/>
  <c r="K75" i="2"/>
  <c r="L84" i="2"/>
  <c r="L75" i="2" s="1"/>
  <c r="K64" i="6"/>
  <c r="K56" i="6" s="1"/>
  <c r="L63" i="6"/>
  <c r="K55" i="6"/>
  <c r="H52" i="3"/>
  <c r="H57" i="3" s="1"/>
  <c r="H219" i="2" s="1"/>
  <c r="L162" i="11" s="1"/>
  <c r="G304" i="2"/>
  <c r="G305" i="2"/>
  <c r="K41" i="5"/>
  <c r="H57" i="6"/>
  <c r="L33" i="2"/>
  <c r="J8" i="3"/>
  <c r="J50" i="3" s="1"/>
  <c r="J30" i="3"/>
  <c r="I24" i="6"/>
  <c r="J25" i="6"/>
  <c r="J152" i="2"/>
  <c r="J61" i="3"/>
  <c r="I62" i="3"/>
  <c r="I60" i="3"/>
  <c r="I63" i="3"/>
  <c r="I12" i="6"/>
  <c r="I13" i="6"/>
  <c r="F313" i="2"/>
  <c r="L43" i="5"/>
  <c r="I294" i="2"/>
  <c r="L172" i="2"/>
  <c r="L260" i="2"/>
  <c r="J155" i="2"/>
  <c r="L38" i="4"/>
  <c r="L255" i="2"/>
  <c r="K18" i="6"/>
  <c r="K28" i="3"/>
  <c r="L13" i="3"/>
  <c r="K27" i="3"/>
  <c r="I76" i="3"/>
  <c r="I11" i="3"/>
  <c r="L173" i="11" l="1"/>
  <c r="H21" i="16" s="1"/>
  <c r="H20" i="16"/>
  <c r="I56" i="3"/>
  <c r="K9" i="3"/>
  <c r="K56" i="2" s="1"/>
  <c r="K67" i="2" s="1"/>
  <c r="H186" i="7"/>
  <c r="L170" i="11" s="1"/>
  <c r="H187" i="7"/>
  <c r="H185" i="7"/>
  <c r="L169" i="11" s="1"/>
  <c r="H276" i="7"/>
  <c r="I251" i="2"/>
  <c r="L87" i="2"/>
  <c r="L18" i="6"/>
  <c r="L27" i="3"/>
  <c r="L28" i="3"/>
  <c r="L9" i="3" s="1"/>
  <c r="L56" i="2" s="1"/>
  <c r="L67" i="2" s="1"/>
  <c r="I84" i="3"/>
  <c r="H251" i="2"/>
  <c r="L64" i="6"/>
  <c r="L56" i="6" s="1"/>
  <c r="L55" i="6"/>
  <c r="L154" i="2"/>
  <c r="K71" i="6"/>
  <c r="K155" i="2"/>
  <c r="I50" i="6"/>
  <c r="I11" i="6"/>
  <c r="I49" i="6"/>
  <c r="J63" i="3"/>
  <c r="J62" i="3"/>
  <c r="J60" i="3"/>
  <c r="K61" i="3"/>
  <c r="K25" i="6"/>
  <c r="J24" i="6"/>
  <c r="L15" i="5"/>
  <c r="L19" i="5" s="1"/>
  <c r="K19" i="5"/>
  <c r="L140" i="2"/>
  <c r="I77" i="3"/>
  <c r="I78" i="3" s="1"/>
  <c r="I81" i="3" s="1"/>
  <c r="I300" i="2" s="1"/>
  <c r="K8" i="3"/>
  <c r="K50" i="3" s="1"/>
  <c r="K30" i="3"/>
  <c r="I10" i="6"/>
  <c r="I47" i="6" s="1"/>
  <c r="I9" i="6"/>
  <c r="I46" i="6" s="1"/>
  <c r="J10" i="3"/>
  <c r="J55" i="2"/>
  <c r="J66" i="2" s="1"/>
  <c r="J68" i="2" s="1"/>
  <c r="L41" i="5"/>
  <c r="K6" i="6"/>
  <c r="K43" i="6" s="1"/>
  <c r="K6" i="5"/>
  <c r="K6" i="3"/>
  <c r="K48" i="3" s="1"/>
  <c r="K159" i="2"/>
  <c r="K30" i="2"/>
  <c r="L23" i="2"/>
  <c r="K200" i="2"/>
  <c r="K245" i="2" s="1"/>
  <c r="L69" i="3"/>
  <c r="L68" i="3"/>
  <c r="L66" i="3"/>
  <c r="L36" i="4"/>
  <c r="L253" i="2"/>
  <c r="H58" i="3"/>
  <c r="K87" i="2"/>
  <c r="L42" i="5"/>
  <c r="L275" i="2"/>
  <c r="L97" i="2"/>
  <c r="L112" i="2" s="1"/>
  <c r="L105" i="2" s="1"/>
  <c r="L182" i="2"/>
  <c r="K152" i="2"/>
  <c r="H164" i="2"/>
  <c r="L73" i="11" s="1"/>
  <c r="H78" i="3"/>
  <c r="H81" i="3" s="1"/>
  <c r="H300" i="2" s="1"/>
  <c r="J117" i="2"/>
  <c r="J110" i="2" s="1"/>
  <c r="N133" i="11" s="1"/>
  <c r="J78" i="2"/>
  <c r="N132" i="11" s="1"/>
  <c r="J73" i="3"/>
  <c r="K72" i="3"/>
  <c r="J71" i="3"/>
  <c r="J51" i="3" s="1"/>
  <c r="J52" i="3" s="1"/>
  <c r="J57" i="3" s="1"/>
  <c r="J219" i="2" s="1"/>
  <c r="N162" i="11" s="1"/>
  <c r="J139" i="2"/>
  <c r="H47" i="6"/>
  <c r="L34" i="2"/>
  <c r="K6" i="4"/>
  <c r="J30" i="4"/>
  <c r="J294" i="2"/>
  <c r="L9" i="5"/>
  <c r="L13" i="5" s="1"/>
  <c r="K13" i="5"/>
  <c r="H8" i="6"/>
  <c r="H46" i="6"/>
  <c r="L249" i="11" l="1"/>
  <c r="H188" i="7"/>
  <c r="L172" i="11" s="1"/>
  <c r="I48" i="6"/>
  <c r="I57" i="6" s="1"/>
  <c r="J56" i="3"/>
  <c r="J84" i="3" s="1"/>
  <c r="H45" i="6"/>
  <c r="H51" i="6" s="1"/>
  <c r="H102" i="2" s="1"/>
  <c r="I45" i="6"/>
  <c r="L152" i="2"/>
  <c r="H83" i="3"/>
  <c r="H302" i="2" s="1"/>
  <c r="I55" i="3"/>
  <c r="I58" i="3" s="1"/>
  <c r="H165" i="2"/>
  <c r="H82" i="3"/>
  <c r="H301" i="2" s="1"/>
  <c r="J76" i="3"/>
  <c r="J77" i="3" s="1"/>
  <c r="J78" i="3" s="1"/>
  <c r="J81" i="3" s="1"/>
  <c r="J300" i="2" s="1"/>
  <c r="J11" i="3"/>
  <c r="L72" i="3"/>
  <c r="K73" i="3"/>
  <c r="K71" i="3"/>
  <c r="K51" i="3" s="1"/>
  <c r="K52" i="3" s="1"/>
  <c r="K57" i="3" s="1"/>
  <c r="K219" i="2" s="1"/>
  <c r="O162" i="11" s="1"/>
  <c r="K78" i="2"/>
  <c r="O132" i="11" s="1"/>
  <c r="K117" i="2"/>
  <c r="K110" i="2" s="1"/>
  <c r="O133" i="11" s="1"/>
  <c r="K294" i="2"/>
  <c r="I8" i="6"/>
  <c r="I70" i="6" s="1"/>
  <c r="I130" i="2" s="1"/>
  <c r="K10" i="3"/>
  <c r="K55" i="2"/>
  <c r="K66" i="2" s="1"/>
  <c r="K68" i="2" s="1"/>
  <c r="L25" i="6"/>
  <c r="L24" i="6" s="1"/>
  <c r="L10" i="6" s="1"/>
  <c r="K24" i="6"/>
  <c r="K30" i="4"/>
  <c r="L6" i="4"/>
  <c r="L30" i="4" s="1"/>
  <c r="I164" i="2"/>
  <c r="M73" i="11" s="1"/>
  <c r="L61" i="3"/>
  <c r="K63" i="3"/>
  <c r="K62" i="3"/>
  <c r="K60" i="3"/>
  <c r="L78" i="2"/>
  <c r="P132" i="11" s="1"/>
  <c r="L117" i="2"/>
  <c r="L110" i="2" s="1"/>
  <c r="P133" i="11" s="1"/>
  <c r="K139" i="2"/>
  <c r="J251" i="2"/>
  <c r="L155" i="2"/>
  <c r="L6" i="5"/>
  <c r="L6" i="6"/>
  <c r="L43" i="6" s="1"/>
  <c r="L6" i="3"/>
  <c r="L48" i="3" s="1"/>
  <c r="L200" i="2"/>
  <c r="L245" i="2" s="1"/>
  <c r="L159" i="2"/>
  <c r="L30" i="2"/>
  <c r="H14" i="6"/>
  <c r="H70" i="6"/>
  <c r="H130" i="2" s="1"/>
  <c r="H54" i="2"/>
  <c r="J9" i="6"/>
  <c r="J46" i="6" s="1"/>
  <c r="J10" i="6"/>
  <c r="J13" i="6"/>
  <c r="J12" i="6"/>
  <c r="L71" i="6"/>
  <c r="L30" i="3"/>
  <c r="L8" i="3"/>
  <c r="I14" i="17" l="1"/>
  <c r="H54" i="17"/>
  <c r="L175" i="11"/>
  <c r="H22" i="16"/>
  <c r="H166" i="2"/>
  <c r="L74" i="11"/>
  <c r="M249" i="11"/>
  <c r="L9" i="6"/>
  <c r="K56" i="3"/>
  <c r="H54" i="6"/>
  <c r="K251" i="2"/>
  <c r="H15" i="6"/>
  <c r="H177" i="2"/>
  <c r="H94" i="2"/>
  <c r="H109" i="2" s="1"/>
  <c r="H40" i="6"/>
  <c r="L10" i="3"/>
  <c r="L55" i="2"/>
  <c r="L66" i="2" s="1"/>
  <c r="L68" i="2" s="1"/>
  <c r="H22" i="5"/>
  <c r="L139" i="2"/>
  <c r="K10" i="6"/>
  <c r="L47" i="6" s="1"/>
  <c r="K9" i="6"/>
  <c r="K46" i="6" s="1"/>
  <c r="J47" i="6"/>
  <c r="J45" i="6" s="1"/>
  <c r="I14" i="6"/>
  <c r="J164" i="2"/>
  <c r="N73" i="11" s="1"/>
  <c r="J50" i="6"/>
  <c r="L294" i="2"/>
  <c r="L62" i="3"/>
  <c r="L60" i="3"/>
  <c r="L63" i="3"/>
  <c r="L73" i="3"/>
  <c r="L71" i="3"/>
  <c r="L51" i="3" s="1"/>
  <c r="H150" i="2"/>
  <c r="H213" i="2" s="1"/>
  <c r="L155" i="11" s="1"/>
  <c r="H133" i="2"/>
  <c r="H77" i="2"/>
  <c r="K84" i="3"/>
  <c r="I54" i="2"/>
  <c r="I150" i="2" s="1"/>
  <c r="I213" i="2" s="1"/>
  <c r="M155" i="11" s="1"/>
  <c r="K76" i="3"/>
  <c r="K11" i="3"/>
  <c r="J55" i="3"/>
  <c r="J58" i="3" s="1"/>
  <c r="I83" i="3"/>
  <c r="I302" i="2" s="1"/>
  <c r="I165" i="2"/>
  <c r="I82" i="3"/>
  <c r="I301" i="2" s="1"/>
  <c r="J8" i="6"/>
  <c r="J70" i="6" s="1"/>
  <c r="J130" i="2" s="1"/>
  <c r="L50" i="3"/>
  <c r="J11" i="6"/>
  <c r="J49" i="6"/>
  <c r="L8" i="6"/>
  <c r="I54" i="6"/>
  <c r="I51" i="6"/>
  <c r="I102" i="2" s="1"/>
  <c r="H23" i="16" l="1"/>
  <c r="H57" i="17"/>
  <c r="H258" i="2"/>
  <c r="H32" i="5"/>
  <c r="H27" i="5"/>
  <c r="H29" i="5" s="1"/>
  <c r="I26" i="5" s="1"/>
  <c r="L251" i="11"/>
  <c r="L250" i="11"/>
  <c r="L75" i="11"/>
  <c r="I166" i="2"/>
  <c r="I27" i="5" s="1"/>
  <c r="I124" i="2" s="1"/>
  <c r="M74" i="11"/>
  <c r="K77" i="3"/>
  <c r="K78" i="3" s="1"/>
  <c r="K81" i="3" s="1"/>
  <c r="K300" i="2" s="1"/>
  <c r="N249" i="11"/>
  <c r="H298" i="2"/>
  <c r="L88" i="11"/>
  <c r="L52" i="3"/>
  <c r="L57" i="3" s="1"/>
  <c r="L219" i="2" s="1"/>
  <c r="P162" i="11" s="1"/>
  <c r="J48" i="6"/>
  <c r="J57" i="6" s="1"/>
  <c r="L56" i="3"/>
  <c r="L84" i="3" s="1"/>
  <c r="J54" i="6"/>
  <c r="I32" i="5"/>
  <c r="J83" i="3"/>
  <c r="J302" i="2" s="1"/>
  <c r="K55" i="3"/>
  <c r="K58" i="3" s="1"/>
  <c r="J165" i="2"/>
  <c r="J82" i="3"/>
  <c r="J301" i="2" s="1"/>
  <c r="H124" i="2"/>
  <c r="H123" i="2" s="1"/>
  <c r="K12" i="6"/>
  <c r="K13" i="6"/>
  <c r="I133" i="2"/>
  <c r="K8" i="6"/>
  <c r="K70" i="6" s="1"/>
  <c r="K130" i="2" s="1"/>
  <c r="L46" i="6"/>
  <c r="L45" i="6" s="1"/>
  <c r="L11" i="3"/>
  <c r="L76" i="3"/>
  <c r="I77" i="2"/>
  <c r="I15" i="6"/>
  <c r="I177" i="2"/>
  <c r="I94" i="2"/>
  <c r="I109" i="2" s="1"/>
  <c r="I40" i="6"/>
  <c r="I20" i="5"/>
  <c r="H25" i="5"/>
  <c r="K47" i="6"/>
  <c r="K45" i="6" s="1"/>
  <c r="J54" i="2"/>
  <c r="J133" i="2" s="1"/>
  <c r="H35" i="5"/>
  <c r="H170" i="2" s="1"/>
  <c r="L79" i="11" s="1"/>
  <c r="L218" i="11" s="1"/>
  <c r="I30" i="5"/>
  <c r="H134" i="2"/>
  <c r="H135" i="2" s="1"/>
  <c r="H261" i="2"/>
  <c r="H162" i="2"/>
  <c r="L71" i="11" s="1"/>
  <c r="H168" i="2"/>
  <c r="L77" i="11" s="1"/>
  <c r="H167" i="2"/>
  <c r="L76" i="11" s="1"/>
  <c r="H161" i="2"/>
  <c r="J14" i="6"/>
  <c r="H169" i="2" l="1"/>
  <c r="L78" i="11" s="1"/>
  <c r="I258" i="2"/>
  <c r="I22" i="5"/>
  <c r="L77" i="3"/>
  <c r="L164" i="2" s="1"/>
  <c r="P73" i="11" s="1"/>
  <c r="K164" i="2"/>
  <c r="O73" i="11" s="1"/>
  <c r="L251" i="2"/>
  <c r="J166" i="2"/>
  <c r="J27" i="5" s="1"/>
  <c r="J124" i="2" s="1"/>
  <c r="N74" i="11"/>
  <c r="M251" i="11"/>
  <c r="M250" i="11"/>
  <c r="M75" i="11"/>
  <c r="I134" i="2"/>
  <c r="I207" i="2" s="1"/>
  <c r="M149" i="11" s="1"/>
  <c r="L247" i="11"/>
  <c r="I298" i="2"/>
  <c r="M88" i="11"/>
  <c r="J51" i="6"/>
  <c r="J102" i="2" s="1"/>
  <c r="H207" i="2"/>
  <c r="L149" i="11" s="1"/>
  <c r="J77" i="2"/>
  <c r="J150" i="2"/>
  <c r="J213" i="2" s="1"/>
  <c r="N155" i="11" s="1"/>
  <c r="K54" i="6"/>
  <c r="H208" i="2"/>
  <c r="L150" i="11" s="1"/>
  <c r="H136" i="2"/>
  <c r="H257" i="2"/>
  <c r="H259" i="2"/>
  <c r="H267" i="2"/>
  <c r="I28" i="5"/>
  <c r="H288" i="2"/>
  <c r="H289" i="2" s="1"/>
  <c r="I285" i="2"/>
  <c r="I23" i="5"/>
  <c r="J20" i="5"/>
  <c r="L54" i="2"/>
  <c r="H181" i="2"/>
  <c r="H129" i="2"/>
  <c r="H125" i="2" s="1"/>
  <c r="J15" i="6"/>
  <c r="J177" i="2"/>
  <c r="J94" i="2"/>
  <c r="J40" i="6"/>
  <c r="H256" i="2"/>
  <c r="H57" i="2"/>
  <c r="L78" i="3"/>
  <c r="L81" i="3" s="1"/>
  <c r="L300" i="2" s="1"/>
  <c r="I135" i="2"/>
  <c r="I208" i="2" s="1"/>
  <c r="M150" i="11" s="1"/>
  <c r="K50" i="6"/>
  <c r="I33" i="5"/>
  <c r="J30" i="5"/>
  <c r="J22" i="5"/>
  <c r="K11" i="6"/>
  <c r="K14" i="6" s="1"/>
  <c r="K49" i="6"/>
  <c r="L54" i="6"/>
  <c r="H39" i="4"/>
  <c r="H268" i="2"/>
  <c r="I168" i="2"/>
  <c r="M77" i="11" s="1"/>
  <c r="I261" i="2"/>
  <c r="I162" i="2"/>
  <c r="M71" i="11" s="1"/>
  <c r="I167" i="2"/>
  <c r="M76" i="11" s="1"/>
  <c r="I161" i="2"/>
  <c r="K83" i="3"/>
  <c r="K302" i="2" s="1"/>
  <c r="L55" i="3"/>
  <c r="L58" i="3" s="1"/>
  <c r="K165" i="2"/>
  <c r="K82" i="3"/>
  <c r="K301" i="2" s="1"/>
  <c r="J258" i="2"/>
  <c r="K54" i="2"/>
  <c r="K77" i="2" s="1"/>
  <c r="L70" i="6"/>
  <c r="L130" i="2" s="1"/>
  <c r="P249" i="11" l="1"/>
  <c r="O249" i="11"/>
  <c r="L151" i="11"/>
  <c r="M247" i="11"/>
  <c r="M151" i="11"/>
  <c r="J32" i="5"/>
  <c r="H274" i="2"/>
  <c r="L93" i="11"/>
  <c r="K166" i="2"/>
  <c r="O74" i="11"/>
  <c r="J298" i="2"/>
  <c r="N88" i="11"/>
  <c r="N251" i="11"/>
  <c r="N250" i="11"/>
  <c r="N75" i="11"/>
  <c r="H209" i="2"/>
  <c r="K48" i="6"/>
  <c r="K57" i="6" s="1"/>
  <c r="K15" i="6"/>
  <c r="K94" i="2"/>
  <c r="K134" i="2" s="1"/>
  <c r="K177" i="2"/>
  <c r="K40" i="6"/>
  <c r="I288" i="2"/>
  <c r="I289" i="2" s="1"/>
  <c r="J285" i="2"/>
  <c r="I57" i="2"/>
  <c r="I70" i="2" s="1"/>
  <c r="J134" i="2"/>
  <c r="L150" i="2"/>
  <c r="L213" i="2" s="1"/>
  <c r="P155" i="11" s="1"/>
  <c r="L133" i="2"/>
  <c r="L77" i="2"/>
  <c r="K150" i="2"/>
  <c r="K213" i="2" s="1"/>
  <c r="O155" i="11" s="1"/>
  <c r="I225" i="2"/>
  <c r="M168" i="11" s="1"/>
  <c r="I126" i="2"/>
  <c r="L83" i="3"/>
  <c r="L302" i="2" s="1"/>
  <c r="L165" i="2"/>
  <c r="L82" i="3"/>
  <c r="L301" i="2" s="1"/>
  <c r="K30" i="5"/>
  <c r="J33" i="5"/>
  <c r="J227" i="2" s="1"/>
  <c r="J250" i="2" s="1"/>
  <c r="K20" i="5"/>
  <c r="I29" i="5"/>
  <c r="J26" i="5" s="1"/>
  <c r="I226" i="2"/>
  <c r="J21" i="5"/>
  <c r="J109" i="2"/>
  <c r="I259" i="2"/>
  <c r="I227" i="2"/>
  <c r="I250" i="2" s="1"/>
  <c r="J31" i="5"/>
  <c r="I35" i="5"/>
  <c r="I170" i="2" s="1"/>
  <c r="M79" i="11" s="1"/>
  <c r="M218" i="11" s="1"/>
  <c r="I209" i="2"/>
  <c r="K133" i="2"/>
  <c r="I256" i="2"/>
  <c r="J168" i="2"/>
  <c r="J162" i="2"/>
  <c r="N71" i="11" s="1"/>
  <c r="J261" i="2"/>
  <c r="J167" i="2"/>
  <c r="J161" i="2"/>
  <c r="K51" i="6"/>
  <c r="K102" i="2" s="1"/>
  <c r="L13" i="6"/>
  <c r="L50" i="6" s="1"/>
  <c r="L12" i="6"/>
  <c r="H70" i="2"/>
  <c r="I136" i="2"/>
  <c r="I25" i="5"/>
  <c r="H270" i="2"/>
  <c r="I257" i="2"/>
  <c r="K32" i="5" l="1"/>
  <c r="K22" i="5"/>
  <c r="L20" i="5" s="1"/>
  <c r="K27" i="5"/>
  <c r="K124" i="2" s="1"/>
  <c r="N247" i="11"/>
  <c r="J256" i="2"/>
  <c r="N76" i="11"/>
  <c r="J259" i="2"/>
  <c r="N77" i="11"/>
  <c r="L166" i="2"/>
  <c r="L258" i="2" s="1"/>
  <c r="P74" i="11"/>
  <c r="K258" i="2"/>
  <c r="O251" i="11"/>
  <c r="O250" i="11"/>
  <c r="O75" i="11"/>
  <c r="K298" i="2"/>
  <c r="O88" i="11"/>
  <c r="I169" i="2"/>
  <c r="K207" i="2"/>
  <c r="O149" i="11" s="1"/>
  <c r="K135" i="2"/>
  <c r="K208" i="2" s="1"/>
  <c r="O150" i="11" s="1"/>
  <c r="L30" i="5"/>
  <c r="K33" i="5"/>
  <c r="K227" i="2" s="1"/>
  <c r="K250" i="2" s="1"/>
  <c r="I123" i="2"/>
  <c r="J135" i="2"/>
  <c r="J208" i="2" s="1"/>
  <c r="N150" i="11" s="1"/>
  <c r="J207" i="2"/>
  <c r="N149" i="11" s="1"/>
  <c r="K285" i="2"/>
  <c r="J288" i="2"/>
  <c r="J289" i="2" s="1"/>
  <c r="J257" i="2"/>
  <c r="I249" i="2"/>
  <c r="L11" i="6"/>
  <c r="L14" i="6" s="1"/>
  <c r="L49" i="6"/>
  <c r="L48" i="6" s="1"/>
  <c r="J57" i="2"/>
  <c r="J70" i="2" s="1"/>
  <c r="K31" i="5"/>
  <c r="J28" i="5"/>
  <c r="J29" i="5" s="1"/>
  <c r="K26" i="5" s="1"/>
  <c r="J35" i="5"/>
  <c r="J170" i="2" s="1"/>
  <c r="L27" i="5"/>
  <c r="L124" i="2" s="1"/>
  <c r="L22" i="5"/>
  <c r="L32" i="5"/>
  <c r="K261" i="2"/>
  <c r="K162" i="2"/>
  <c r="K168" i="2"/>
  <c r="K167" i="2"/>
  <c r="K161" i="2"/>
  <c r="K109" i="2"/>
  <c r="J23" i="5"/>
  <c r="I39" i="4"/>
  <c r="I268" i="2"/>
  <c r="O247" i="11" l="1"/>
  <c r="J268" i="2"/>
  <c r="N79" i="11"/>
  <c r="N218" i="11" s="1"/>
  <c r="K259" i="2"/>
  <c r="O77" i="11"/>
  <c r="K257" i="2"/>
  <c r="O71" i="11"/>
  <c r="N151" i="11"/>
  <c r="I267" i="2"/>
  <c r="I270" i="2" s="1"/>
  <c r="M78" i="11"/>
  <c r="O151" i="11"/>
  <c r="P251" i="11"/>
  <c r="P75" i="11"/>
  <c r="P250" i="11"/>
  <c r="K256" i="2"/>
  <c r="O76" i="11"/>
  <c r="J136" i="2"/>
  <c r="J209" i="2"/>
  <c r="K136" i="2"/>
  <c r="K28" i="5"/>
  <c r="K29" i="5" s="1"/>
  <c r="L26" i="5" s="1"/>
  <c r="J226" i="2"/>
  <c r="J25" i="5"/>
  <c r="J169" i="2" s="1"/>
  <c r="N78" i="11" s="1"/>
  <c r="K21" i="5"/>
  <c r="L285" i="2"/>
  <c r="K288" i="2"/>
  <c r="K289" i="2" s="1"/>
  <c r="L57" i="6"/>
  <c r="L51" i="6"/>
  <c r="L102" i="2" s="1"/>
  <c r="K57" i="2"/>
  <c r="K70" i="2" s="1"/>
  <c r="J39" i="4"/>
  <c r="L15" i="6"/>
  <c r="L177" i="2"/>
  <c r="P88" i="11" s="1"/>
  <c r="L94" i="2"/>
  <c r="L40" i="6"/>
  <c r="I181" i="2"/>
  <c r="I129" i="2"/>
  <c r="I125" i="2" s="1"/>
  <c r="K35" i="5"/>
  <c r="K170" i="2" s="1"/>
  <c r="O79" i="11" s="1"/>
  <c r="O218" i="11" s="1"/>
  <c r="J225" i="2"/>
  <c r="N168" i="11" s="1"/>
  <c r="J126" i="2"/>
  <c r="L31" i="5"/>
  <c r="L33" i="5"/>
  <c r="L227" i="2" s="1"/>
  <c r="L250" i="2" s="1"/>
  <c r="K209" i="2"/>
  <c r="P247" i="11" l="1"/>
  <c r="I274" i="2"/>
  <c r="M93" i="11"/>
  <c r="L35" i="5"/>
  <c r="L170" i="2" s="1"/>
  <c r="K39" i="4"/>
  <c r="K23" i="5"/>
  <c r="L21" i="5" s="1"/>
  <c r="L23" i="5" s="1"/>
  <c r="J249" i="2"/>
  <c r="J267" i="2"/>
  <c r="J270" i="2" s="1"/>
  <c r="L261" i="2"/>
  <c r="L168" i="2"/>
  <c r="L162" i="2"/>
  <c r="L167" i="2"/>
  <c r="P76" i="11" s="1"/>
  <c r="L161" i="2"/>
  <c r="L298" i="2"/>
  <c r="J123" i="2"/>
  <c r="L134" i="2"/>
  <c r="K268" i="2"/>
  <c r="L109" i="2"/>
  <c r="K225" i="2"/>
  <c r="O168" i="11" s="1"/>
  <c r="K126" i="2"/>
  <c r="L28" i="5"/>
  <c r="L29" i="5" s="1"/>
  <c r="L39" i="4" l="1"/>
  <c r="P79" i="11"/>
  <c r="P218" i="11" s="1"/>
  <c r="L257" i="2"/>
  <c r="P71" i="11"/>
  <c r="L259" i="2"/>
  <c r="P77" i="11"/>
  <c r="L268" i="2"/>
  <c r="J181" i="2"/>
  <c r="K123" i="2"/>
  <c r="K129" i="2" s="1"/>
  <c r="K125" i="2" s="1"/>
  <c r="J129" i="2"/>
  <c r="J125" i="2" s="1"/>
  <c r="L57" i="2"/>
  <c r="L70" i="2" s="1"/>
  <c r="L256" i="2"/>
  <c r="L225" i="2"/>
  <c r="P168" i="11" s="1"/>
  <c r="L126" i="2"/>
  <c r="L135" i="2"/>
  <c r="L208" i="2" s="1"/>
  <c r="P150" i="11" s="1"/>
  <c r="L207" i="2"/>
  <c r="P149" i="11" s="1"/>
  <c r="L288" i="2"/>
  <c r="L289" i="2" s="1"/>
  <c r="K226" i="2"/>
  <c r="K249" i="2" s="1"/>
  <c r="K25" i="5"/>
  <c r="K169" i="2" s="1"/>
  <c r="O78" i="11" s="1"/>
  <c r="L226" i="2"/>
  <c r="L25" i="5"/>
  <c r="L169" i="2" s="1"/>
  <c r="P78" i="11" s="1"/>
  <c r="P151" i="11" l="1"/>
  <c r="J274" i="2"/>
  <c r="N93" i="11"/>
  <c r="L209" i="2"/>
  <c r="L267" i="2"/>
  <c r="L270" i="2" s="1"/>
  <c r="K267" i="2"/>
  <c r="K270" i="2" s="1"/>
  <c r="L136" i="2"/>
  <c r="K181" i="2"/>
  <c r="L123" i="2"/>
  <c r="L181" i="2" s="1"/>
  <c r="P93" i="11" s="1"/>
  <c r="L249" i="2"/>
  <c r="K274" i="2" l="1"/>
  <c r="O93" i="11"/>
  <c r="L129" i="2"/>
  <c r="L125" i="2" s="1"/>
  <c r="L274" i="2"/>
  <c r="E127" i="7" l="1"/>
  <c r="E143" i="7" s="1"/>
  <c r="E144" i="7" s="1"/>
  <c r="E163" i="7"/>
  <c r="E271" i="7" l="1"/>
  <c r="E208" i="7"/>
  <c r="E210" i="7"/>
  <c r="E209" i="7"/>
  <c r="E211" i="7"/>
  <c r="E176" i="7"/>
  <c r="E190" i="7" s="1"/>
  <c r="E192" i="7" s="1"/>
  <c r="E269" i="7" s="1"/>
  <c r="E203" i="7"/>
  <c r="E274" i="7"/>
  <c r="E276" i="7" l="1"/>
  <c r="E194" i="7"/>
  <c r="E267" i="7" l="1"/>
  <c r="E268" i="7"/>
  <c r="E197" i="7"/>
  <c r="O9" i="11" l="1"/>
  <c r="J25" i="17" s="1"/>
  <c r="F22" i="14" l="1"/>
  <c r="D48" i="11"/>
  <c r="H38" i="2"/>
  <c r="I38" i="2"/>
  <c r="J38" i="2"/>
  <c r="K38" i="2"/>
  <c r="L38" i="2"/>
  <c r="H39" i="2"/>
  <c r="I39" i="2"/>
  <c r="J39" i="2"/>
  <c r="K39" i="2"/>
  <c r="L39" i="2"/>
  <c r="H40" i="2"/>
  <c r="I40" i="2"/>
  <c r="J40" i="2"/>
  <c r="K40" i="2"/>
  <c r="L40" i="2"/>
  <c r="H41" i="2"/>
  <c r="I41" i="2"/>
  <c r="J41" i="2"/>
  <c r="K41" i="2"/>
  <c r="L41" i="2"/>
  <c r="H44" i="2"/>
  <c r="I44" i="2"/>
  <c r="J44" i="2"/>
  <c r="K44" i="2"/>
  <c r="L44" i="2"/>
  <c r="H45" i="2"/>
  <c r="I45" i="2"/>
  <c r="J45" i="2"/>
  <c r="K45" i="2"/>
  <c r="L45" i="2"/>
  <c r="H46" i="2"/>
  <c r="I46" i="2"/>
  <c r="J46" i="2"/>
  <c r="K46" i="2"/>
  <c r="L46" i="2"/>
  <c r="H53" i="2"/>
  <c r="I53" i="2"/>
  <c r="J53" i="2"/>
  <c r="K53" i="2"/>
  <c r="L53" i="2"/>
  <c r="H58" i="2"/>
  <c r="I58" i="2"/>
  <c r="J58" i="2"/>
  <c r="K58" i="2"/>
  <c r="L58" i="2"/>
  <c r="H59" i="2"/>
  <c r="I59" i="2"/>
  <c r="J59" i="2"/>
  <c r="K59" i="2"/>
  <c r="L59" i="2"/>
  <c r="H61" i="2"/>
  <c r="I61" i="2"/>
  <c r="J61" i="2"/>
  <c r="K61" i="2"/>
  <c r="L61" i="2"/>
  <c r="H69" i="2"/>
  <c r="I69" i="2"/>
  <c r="J69" i="2"/>
  <c r="K69" i="2"/>
  <c r="L69" i="2"/>
  <c r="H71" i="2"/>
  <c r="I71" i="2"/>
  <c r="J71" i="2"/>
  <c r="K71" i="2"/>
  <c r="L71" i="2"/>
  <c r="H80" i="2"/>
  <c r="I80" i="2"/>
  <c r="J80" i="2"/>
  <c r="K80" i="2"/>
  <c r="L80" i="2"/>
  <c r="H95" i="2"/>
  <c r="I95" i="2"/>
  <c r="J95" i="2"/>
  <c r="K95" i="2"/>
  <c r="L95" i="2"/>
  <c r="H98" i="2"/>
  <c r="I98" i="2"/>
  <c r="J98" i="2"/>
  <c r="K98" i="2"/>
  <c r="L98" i="2"/>
  <c r="H99" i="2"/>
  <c r="I99" i="2"/>
  <c r="J99" i="2"/>
  <c r="K99" i="2"/>
  <c r="L99" i="2"/>
  <c r="H103" i="2"/>
  <c r="I103" i="2"/>
  <c r="J103" i="2"/>
  <c r="K103" i="2"/>
  <c r="L103" i="2"/>
  <c r="H106" i="2"/>
  <c r="I106" i="2"/>
  <c r="J106" i="2"/>
  <c r="K106" i="2"/>
  <c r="L106" i="2"/>
  <c r="H113" i="2"/>
  <c r="I113" i="2"/>
  <c r="J113" i="2"/>
  <c r="K113" i="2"/>
  <c r="L113" i="2"/>
  <c r="H120" i="2"/>
  <c r="I120" i="2"/>
  <c r="J120" i="2"/>
  <c r="K120" i="2"/>
  <c r="L120" i="2"/>
  <c r="H143" i="2"/>
  <c r="I143" i="2"/>
  <c r="J143" i="2"/>
  <c r="K143" i="2"/>
  <c r="L143" i="2"/>
  <c r="H146" i="2"/>
  <c r="I146" i="2"/>
  <c r="J146" i="2"/>
  <c r="K146" i="2"/>
  <c r="L146" i="2"/>
  <c r="H147" i="2"/>
  <c r="I147" i="2"/>
  <c r="J147" i="2"/>
  <c r="K147" i="2"/>
  <c r="L147" i="2"/>
  <c r="H148" i="2"/>
  <c r="I148" i="2"/>
  <c r="J148" i="2"/>
  <c r="K148" i="2"/>
  <c r="L148" i="2"/>
  <c r="H149" i="2"/>
  <c r="I149" i="2"/>
  <c r="J149" i="2"/>
  <c r="K149" i="2"/>
  <c r="L149" i="2"/>
  <c r="H163" i="2"/>
  <c r="I163" i="2"/>
  <c r="J163" i="2"/>
  <c r="K163" i="2"/>
  <c r="L163" i="2"/>
  <c r="H171" i="2"/>
  <c r="I171" i="2"/>
  <c r="J171" i="2"/>
  <c r="K171" i="2"/>
  <c r="L171" i="2"/>
  <c r="H173" i="2"/>
  <c r="I173" i="2"/>
  <c r="J173" i="2"/>
  <c r="K173" i="2"/>
  <c r="L173" i="2"/>
  <c r="H178" i="2"/>
  <c r="I178" i="2"/>
  <c r="J178" i="2"/>
  <c r="K178" i="2"/>
  <c r="L178" i="2"/>
  <c r="H183" i="2"/>
  <c r="I183" i="2"/>
  <c r="J183" i="2"/>
  <c r="K183" i="2"/>
  <c r="L183" i="2"/>
  <c r="H186" i="2"/>
  <c r="I186" i="2"/>
  <c r="J186" i="2"/>
  <c r="K186" i="2"/>
  <c r="L186" i="2"/>
  <c r="H189" i="2"/>
  <c r="I189" i="2"/>
  <c r="J189" i="2"/>
  <c r="K189" i="2"/>
  <c r="L189" i="2"/>
  <c r="H191" i="2"/>
  <c r="I191" i="2"/>
  <c r="J191" i="2"/>
  <c r="K191" i="2"/>
  <c r="L191" i="2"/>
  <c r="H193" i="2"/>
  <c r="I193" i="2"/>
  <c r="J193" i="2"/>
  <c r="K193" i="2"/>
  <c r="L193" i="2"/>
  <c r="H195" i="2"/>
  <c r="I195" i="2"/>
  <c r="J195" i="2"/>
  <c r="K195" i="2"/>
  <c r="L195" i="2"/>
  <c r="H197" i="2"/>
  <c r="I197" i="2"/>
  <c r="J197" i="2"/>
  <c r="K197" i="2"/>
  <c r="L197" i="2"/>
  <c r="H202" i="2"/>
  <c r="I202" i="2"/>
  <c r="J202" i="2"/>
  <c r="K202" i="2"/>
  <c r="L202" i="2"/>
  <c r="H203" i="2"/>
  <c r="I203" i="2"/>
  <c r="J203" i="2"/>
  <c r="K203" i="2"/>
  <c r="L203" i="2"/>
  <c r="H204" i="2"/>
  <c r="I204" i="2"/>
  <c r="J204" i="2"/>
  <c r="K204" i="2"/>
  <c r="L204" i="2"/>
  <c r="H214" i="2"/>
  <c r="I214" i="2"/>
  <c r="J214" i="2"/>
  <c r="K214" i="2"/>
  <c r="L214" i="2"/>
  <c r="H215" i="2"/>
  <c r="I215" i="2"/>
  <c r="J215" i="2"/>
  <c r="K215" i="2"/>
  <c r="L215" i="2"/>
  <c r="H217" i="2"/>
  <c r="I217" i="2"/>
  <c r="J217" i="2"/>
  <c r="K217" i="2"/>
  <c r="L217" i="2"/>
  <c r="H220" i="2"/>
  <c r="I220" i="2"/>
  <c r="J220" i="2"/>
  <c r="K220" i="2"/>
  <c r="L220" i="2"/>
  <c r="H223" i="2"/>
  <c r="I223" i="2"/>
  <c r="J223" i="2"/>
  <c r="K223" i="2"/>
  <c r="L223" i="2"/>
  <c r="H224" i="2"/>
  <c r="I224" i="2"/>
  <c r="J224" i="2"/>
  <c r="K224" i="2"/>
  <c r="L224" i="2"/>
  <c r="H228" i="2"/>
  <c r="I228" i="2"/>
  <c r="J228" i="2"/>
  <c r="K228" i="2"/>
  <c r="L228" i="2"/>
  <c r="H229" i="2"/>
  <c r="I229" i="2"/>
  <c r="J229" i="2"/>
  <c r="K229" i="2"/>
  <c r="L229" i="2"/>
  <c r="H231" i="2"/>
  <c r="I231" i="2"/>
  <c r="J231" i="2"/>
  <c r="K231" i="2"/>
  <c r="L231" i="2"/>
  <c r="H232" i="2"/>
  <c r="I232" i="2"/>
  <c r="J232" i="2"/>
  <c r="K232" i="2"/>
  <c r="L232" i="2"/>
  <c r="H233" i="2"/>
  <c r="I233" i="2"/>
  <c r="J233" i="2"/>
  <c r="K233" i="2"/>
  <c r="L233" i="2"/>
  <c r="H235" i="2"/>
  <c r="I235" i="2"/>
  <c r="J235" i="2"/>
  <c r="K235" i="2"/>
  <c r="L235" i="2"/>
  <c r="H238" i="2"/>
  <c r="I238" i="2"/>
  <c r="J238" i="2"/>
  <c r="K238" i="2"/>
  <c r="L238" i="2"/>
  <c r="H239" i="2"/>
  <c r="I239" i="2"/>
  <c r="J239" i="2"/>
  <c r="K239" i="2"/>
  <c r="L239" i="2"/>
  <c r="H240" i="2"/>
  <c r="I240" i="2"/>
  <c r="J240" i="2"/>
  <c r="K240" i="2"/>
  <c r="L240" i="2"/>
  <c r="H242" i="2"/>
  <c r="I242" i="2"/>
  <c r="J242" i="2"/>
  <c r="K242" i="2"/>
  <c r="L242" i="2"/>
  <c r="H247" i="2"/>
  <c r="I247" i="2"/>
  <c r="J247" i="2"/>
  <c r="K247" i="2"/>
  <c r="L247" i="2"/>
  <c r="H252" i="2"/>
  <c r="I252" i="2"/>
  <c r="J252" i="2"/>
  <c r="K252" i="2"/>
  <c r="L252" i="2"/>
  <c r="H262" i="2"/>
  <c r="I262" i="2"/>
  <c r="J262" i="2"/>
  <c r="K262" i="2"/>
  <c r="L262" i="2"/>
  <c r="H263" i="2"/>
  <c r="I263" i="2"/>
  <c r="J263" i="2"/>
  <c r="K263" i="2"/>
  <c r="L263" i="2"/>
  <c r="H264" i="2"/>
  <c r="I264" i="2"/>
  <c r="J264" i="2"/>
  <c r="K264" i="2"/>
  <c r="L264" i="2"/>
  <c r="H273" i="2"/>
  <c r="I273" i="2"/>
  <c r="J273" i="2"/>
  <c r="K273" i="2"/>
  <c r="L273" i="2"/>
  <c r="H277" i="2"/>
  <c r="I277" i="2"/>
  <c r="J277" i="2"/>
  <c r="K277" i="2"/>
  <c r="L277" i="2"/>
  <c r="H280" i="2"/>
  <c r="I280" i="2"/>
  <c r="J280" i="2"/>
  <c r="K280" i="2"/>
  <c r="L280" i="2"/>
  <c r="H281" i="2"/>
  <c r="I281" i="2"/>
  <c r="J281" i="2"/>
  <c r="K281" i="2"/>
  <c r="L281" i="2"/>
  <c r="H283" i="2"/>
  <c r="I283" i="2"/>
  <c r="J283" i="2"/>
  <c r="K283" i="2"/>
  <c r="L283" i="2"/>
  <c r="H286" i="2"/>
  <c r="I286" i="2"/>
  <c r="J286" i="2"/>
  <c r="K286" i="2"/>
  <c r="L286" i="2"/>
  <c r="H291" i="2"/>
  <c r="I291" i="2"/>
  <c r="J291" i="2"/>
  <c r="K291" i="2"/>
  <c r="L291" i="2"/>
  <c r="H296" i="2"/>
  <c r="I296" i="2"/>
  <c r="J296" i="2"/>
  <c r="K296" i="2"/>
  <c r="L296" i="2"/>
  <c r="H297" i="2"/>
  <c r="I297" i="2"/>
  <c r="J297" i="2"/>
  <c r="K297" i="2"/>
  <c r="L297" i="2"/>
  <c r="H304" i="2"/>
  <c r="I304" i="2"/>
  <c r="J304" i="2"/>
  <c r="K304" i="2"/>
  <c r="L304" i="2"/>
  <c r="H305" i="2"/>
  <c r="I305" i="2"/>
  <c r="J305" i="2"/>
  <c r="K305" i="2"/>
  <c r="L305" i="2"/>
  <c r="H306" i="2"/>
  <c r="I306" i="2"/>
  <c r="J306" i="2"/>
  <c r="K306" i="2"/>
  <c r="L306" i="2"/>
  <c r="H307" i="2"/>
  <c r="I307" i="2"/>
  <c r="J307" i="2"/>
  <c r="K307" i="2"/>
  <c r="L307" i="2"/>
  <c r="H308" i="2"/>
  <c r="I308" i="2"/>
  <c r="J308" i="2"/>
  <c r="K308" i="2"/>
  <c r="L308" i="2"/>
  <c r="H310" i="2"/>
  <c r="I310" i="2"/>
  <c r="J310" i="2"/>
  <c r="K310" i="2"/>
  <c r="L310" i="2"/>
  <c r="H311" i="2"/>
  <c r="I311" i="2"/>
  <c r="J311" i="2"/>
  <c r="K311" i="2"/>
  <c r="L311" i="2"/>
  <c r="H312" i="2"/>
  <c r="I312" i="2"/>
  <c r="J312" i="2"/>
  <c r="K312" i="2"/>
  <c r="L312" i="2"/>
  <c r="H313" i="2"/>
  <c r="I313" i="2"/>
  <c r="J313" i="2"/>
  <c r="K313" i="2"/>
  <c r="L313" i="2"/>
  <c r="H315" i="2"/>
  <c r="I315" i="2"/>
  <c r="J315" i="2"/>
  <c r="K315" i="2"/>
  <c r="L315" i="2"/>
  <c r="H316" i="2"/>
  <c r="I316" i="2"/>
  <c r="J316" i="2"/>
  <c r="K316" i="2"/>
  <c r="L316" i="2"/>
  <c r="H317" i="2"/>
  <c r="I317" i="2"/>
  <c r="J317" i="2"/>
  <c r="K317" i="2"/>
  <c r="L317" i="2"/>
  <c r="H8" i="4"/>
  <c r="I8" i="4"/>
  <c r="J8" i="4"/>
  <c r="K8" i="4"/>
  <c r="L8" i="4"/>
  <c r="H9" i="4"/>
  <c r="I9" i="4"/>
  <c r="J9" i="4"/>
  <c r="K9" i="4"/>
  <c r="L9" i="4"/>
  <c r="H19" i="4"/>
  <c r="I19" i="4"/>
  <c r="J19" i="4"/>
  <c r="K19" i="4"/>
  <c r="L19" i="4"/>
  <c r="H20" i="4"/>
  <c r="I20" i="4"/>
  <c r="J20" i="4"/>
  <c r="K20" i="4"/>
  <c r="L20" i="4"/>
  <c r="H23" i="4"/>
  <c r="I23" i="4"/>
  <c r="J23" i="4"/>
  <c r="K23" i="4"/>
  <c r="L23" i="4"/>
  <c r="H24" i="4"/>
  <c r="I24" i="4"/>
  <c r="J24" i="4"/>
  <c r="K24" i="4"/>
  <c r="L24" i="4"/>
  <c r="H26" i="4"/>
  <c r="I26" i="4"/>
  <c r="J26" i="4"/>
  <c r="K26" i="4"/>
  <c r="L26" i="4"/>
  <c r="H27" i="4"/>
  <c r="I27" i="4"/>
  <c r="J27" i="4"/>
  <c r="K27" i="4"/>
  <c r="L27" i="4"/>
  <c r="H34" i="4"/>
  <c r="I34" i="4"/>
  <c r="J34" i="4"/>
  <c r="K34" i="4"/>
  <c r="L34" i="4"/>
  <c r="H37" i="4"/>
  <c r="I37" i="4"/>
  <c r="J37" i="4"/>
  <c r="K37" i="4"/>
  <c r="L37" i="4"/>
  <c r="H41" i="4"/>
  <c r="I41" i="4"/>
  <c r="J41" i="4"/>
  <c r="K41" i="4"/>
  <c r="L41" i="4"/>
  <c r="H43" i="4"/>
  <c r="I43" i="4"/>
  <c r="J43" i="4"/>
  <c r="K43" i="4"/>
  <c r="L43" i="4"/>
  <c r="H44" i="4"/>
  <c r="I44" i="4"/>
  <c r="J44" i="4"/>
  <c r="K44" i="4"/>
  <c r="L44" i="4"/>
  <c r="H46" i="4"/>
  <c r="I46" i="4"/>
  <c r="J46" i="4"/>
  <c r="K46" i="4"/>
  <c r="L46" i="4"/>
  <c r="H47" i="4"/>
  <c r="I47" i="4"/>
  <c r="J47" i="4"/>
  <c r="K47" i="4"/>
  <c r="L47" i="4"/>
  <c r="H48" i="4"/>
  <c r="I48" i="4"/>
  <c r="J48" i="4"/>
  <c r="K48" i="4"/>
  <c r="L48" i="4"/>
  <c r="H50" i="4"/>
  <c r="I50" i="4"/>
  <c r="J50" i="4"/>
  <c r="K50" i="4"/>
  <c r="L50" i="4"/>
  <c r="H52" i="4"/>
  <c r="I52" i="4"/>
  <c r="J52" i="4"/>
  <c r="K52" i="4"/>
  <c r="L52" i="4"/>
  <c r="H53" i="4"/>
  <c r="I53" i="4"/>
  <c r="J53" i="4"/>
  <c r="K53" i="4"/>
  <c r="L53" i="4"/>
  <c r="H54" i="4"/>
  <c r="I54" i="4"/>
  <c r="J54" i="4"/>
  <c r="K54" i="4"/>
  <c r="L54" i="4"/>
  <c r="H55" i="4"/>
  <c r="I55" i="4"/>
  <c r="J55" i="4"/>
  <c r="K55" i="4"/>
  <c r="L55" i="4"/>
  <c r="H56" i="4"/>
  <c r="I56" i="4"/>
  <c r="J56" i="4"/>
  <c r="K56" i="4"/>
  <c r="L56" i="4"/>
  <c r="F8" i="14"/>
  <c r="E9" i="14"/>
  <c r="F18" i="14"/>
  <c r="F19" i="14"/>
  <c r="F27" i="14"/>
  <c r="D13" i="15" a="1"/>
  <c r="D13" i="15"/>
  <c r="E13" i="15" a="1"/>
  <c r="E13" i="15"/>
  <c r="F13" i="15"/>
  <c r="G13" i="15"/>
  <c r="H13" i="15"/>
  <c r="I13" i="15"/>
  <c r="J13" i="15"/>
  <c r="K13" i="15"/>
  <c r="F14" i="15"/>
  <c r="G14" i="15"/>
  <c r="H14" i="15"/>
  <c r="I14" i="15"/>
  <c r="J14" i="15"/>
  <c r="K14" i="15"/>
  <c r="F15" i="15"/>
  <c r="G15" i="15"/>
  <c r="H15" i="15"/>
  <c r="I15" i="15"/>
  <c r="J15" i="15"/>
  <c r="K15" i="15"/>
  <c r="D18" i="15"/>
  <c r="E18" i="15"/>
  <c r="F18" i="15"/>
  <c r="G18" i="15"/>
  <c r="H18" i="15"/>
  <c r="I18" i="15"/>
  <c r="J18" i="15"/>
  <c r="K18" i="15"/>
  <c r="D19" i="15"/>
  <c r="E19" i="15"/>
  <c r="F19" i="15"/>
  <c r="G19" i="15"/>
  <c r="H19" i="15"/>
  <c r="I19" i="15"/>
  <c r="J19" i="15"/>
  <c r="K19" i="15"/>
  <c r="D20" i="15"/>
  <c r="E20" i="15"/>
  <c r="F20" i="15"/>
  <c r="G20" i="15"/>
  <c r="H20" i="15"/>
  <c r="I20" i="15"/>
  <c r="J20" i="15"/>
  <c r="K20" i="15"/>
  <c r="G41" i="15"/>
  <c r="H41" i="15"/>
  <c r="J41" i="15"/>
  <c r="G42" i="15"/>
  <c r="H42" i="15"/>
  <c r="J42" i="15"/>
  <c r="G43" i="15"/>
  <c r="H43" i="15"/>
  <c r="J43" i="15"/>
  <c r="G44" i="15"/>
  <c r="H44" i="15"/>
  <c r="J44" i="15"/>
  <c r="G45" i="15"/>
  <c r="H45" i="15"/>
  <c r="J45" i="15"/>
  <c r="G46" i="15"/>
  <c r="H46" i="15"/>
  <c r="J46" i="15"/>
  <c r="D12" i="9"/>
  <c r="D13" i="9"/>
  <c r="D14" i="9"/>
  <c r="D17" i="9"/>
  <c r="D22" i="9"/>
  <c r="D23" i="9"/>
  <c r="D25" i="9"/>
  <c r="D27" i="9"/>
  <c r="D28" i="9"/>
  <c r="D30" i="9"/>
  <c r="D32" i="9"/>
  <c r="D35" i="9"/>
  <c r="F40" i="9"/>
  <c r="G40" i="9"/>
  <c r="H40" i="9"/>
  <c r="I40" i="9"/>
  <c r="J40" i="9"/>
  <c r="K40" i="9"/>
  <c r="L40" i="9"/>
  <c r="M40" i="9"/>
  <c r="N40" i="9"/>
  <c r="O40" i="9"/>
  <c r="F41" i="9"/>
  <c r="G41" i="9"/>
  <c r="H41" i="9"/>
  <c r="I41" i="9"/>
  <c r="J41" i="9"/>
  <c r="K41" i="9"/>
  <c r="L41" i="9"/>
  <c r="M41" i="9"/>
  <c r="N41" i="9"/>
  <c r="O41" i="9"/>
  <c r="F42" i="9"/>
  <c r="G42" i="9"/>
  <c r="H42" i="9"/>
  <c r="I42" i="9"/>
  <c r="J42" i="9"/>
  <c r="K42" i="9"/>
  <c r="L42" i="9"/>
  <c r="M42" i="9"/>
  <c r="N42" i="9"/>
  <c r="O42" i="9"/>
  <c r="F43" i="9"/>
  <c r="G43" i="9"/>
  <c r="H43" i="9"/>
  <c r="I43" i="9"/>
  <c r="J43" i="9"/>
  <c r="K43" i="9"/>
  <c r="L43" i="9"/>
  <c r="M43" i="9"/>
  <c r="N43" i="9"/>
  <c r="O43" i="9"/>
  <c r="F45" i="9"/>
  <c r="G45" i="9"/>
  <c r="H45" i="9"/>
  <c r="I45" i="9"/>
  <c r="J45" i="9"/>
  <c r="K45" i="9"/>
  <c r="L45" i="9"/>
  <c r="M45" i="9"/>
  <c r="N45" i="9"/>
  <c r="O45" i="9"/>
  <c r="G47" i="9"/>
  <c r="H47" i="9"/>
  <c r="I47" i="9"/>
  <c r="J47" i="9"/>
  <c r="K47" i="9"/>
  <c r="L47" i="9"/>
  <c r="M47" i="9"/>
  <c r="N47" i="9"/>
  <c r="O47" i="9"/>
  <c r="F48" i="9"/>
  <c r="G48" i="9"/>
  <c r="H48" i="9"/>
  <c r="I48" i="9"/>
  <c r="J48" i="9"/>
  <c r="K48" i="9"/>
  <c r="L48" i="9"/>
  <c r="M48" i="9"/>
  <c r="N48" i="9"/>
  <c r="O48" i="9"/>
  <c r="F49" i="9"/>
  <c r="G49" i="9"/>
  <c r="H49" i="9"/>
  <c r="I49" i="9"/>
  <c r="J49" i="9"/>
  <c r="F50" i="9"/>
  <c r="G50" i="9"/>
  <c r="H50" i="9"/>
  <c r="I50" i="9"/>
  <c r="J50" i="9"/>
  <c r="K50" i="9"/>
  <c r="L50" i="9"/>
  <c r="M50" i="9"/>
  <c r="N50" i="9"/>
  <c r="O50" i="9"/>
  <c r="F51" i="9"/>
  <c r="G51" i="9"/>
  <c r="H51" i="9"/>
  <c r="I51" i="9"/>
  <c r="J51" i="9"/>
  <c r="K51" i="9"/>
  <c r="L51" i="9"/>
  <c r="M51" i="9"/>
  <c r="N51" i="9"/>
  <c r="O51" i="9"/>
  <c r="F55" i="9"/>
  <c r="G55" i="9"/>
  <c r="H55" i="9"/>
  <c r="I55" i="9"/>
  <c r="J55" i="9"/>
  <c r="K55" i="9"/>
  <c r="L55" i="9"/>
  <c r="M55" i="9"/>
  <c r="N55" i="9"/>
  <c r="O55" i="9"/>
  <c r="F57" i="9"/>
  <c r="G57" i="9"/>
  <c r="H57" i="9"/>
  <c r="I57" i="9"/>
  <c r="J57" i="9"/>
  <c r="K57" i="9"/>
  <c r="L57" i="9"/>
  <c r="M57" i="9"/>
  <c r="N57" i="9"/>
  <c r="O57" i="9"/>
  <c r="F58" i="9"/>
  <c r="G58" i="9"/>
  <c r="H58" i="9"/>
  <c r="I58" i="9"/>
  <c r="J58" i="9"/>
  <c r="K58" i="9"/>
  <c r="L58" i="9"/>
  <c r="M58" i="9"/>
  <c r="N58" i="9"/>
  <c r="O58" i="9"/>
  <c r="F59" i="9"/>
  <c r="G59" i="9"/>
  <c r="H59" i="9"/>
  <c r="I59" i="9"/>
  <c r="J59" i="9"/>
  <c r="K59" i="9"/>
  <c r="L59" i="9"/>
  <c r="M59" i="9"/>
  <c r="N59" i="9"/>
  <c r="O59" i="9"/>
  <c r="F60" i="9"/>
  <c r="G60" i="9"/>
  <c r="H60" i="9"/>
  <c r="I60" i="9"/>
  <c r="J60" i="9"/>
  <c r="K60" i="9"/>
  <c r="L60" i="9"/>
  <c r="M60" i="9"/>
  <c r="N60" i="9"/>
  <c r="O60" i="9"/>
  <c r="F61" i="9"/>
  <c r="G61" i="9"/>
  <c r="H61" i="9"/>
  <c r="I61" i="9"/>
  <c r="J61" i="9"/>
  <c r="K61" i="9"/>
  <c r="L61" i="9"/>
  <c r="M61" i="9"/>
  <c r="N61" i="9"/>
  <c r="O61" i="9"/>
  <c r="F63" i="9"/>
  <c r="G63" i="9"/>
  <c r="H63" i="9"/>
  <c r="I63" i="9"/>
  <c r="J63" i="9"/>
  <c r="K63" i="9"/>
  <c r="L63" i="9"/>
  <c r="M63" i="9"/>
  <c r="N63" i="9"/>
  <c r="O63" i="9"/>
  <c r="F66" i="9"/>
  <c r="G66" i="9"/>
  <c r="H66" i="9"/>
  <c r="I66" i="9"/>
  <c r="J66" i="9"/>
  <c r="K66" i="9"/>
  <c r="L66" i="9"/>
  <c r="M66" i="9"/>
  <c r="N66" i="9"/>
  <c r="O66" i="9"/>
  <c r="F71" i="9"/>
  <c r="G71" i="9"/>
  <c r="H71" i="9"/>
  <c r="I71" i="9"/>
  <c r="J71" i="9"/>
  <c r="D8" i="16"/>
  <c r="H19" i="16"/>
  <c r="I19" i="16"/>
  <c r="J19" i="16"/>
  <c r="K19" i="16"/>
  <c r="L19" i="16"/>
  <c r="M19" i="16"/>
  <c r="N19" i="16"/>
  <c r="O19" i="16"/>
  <c r="P19" i="16"/>
  <c r="Q19" i="16"/>
  <c r="I20" i="16"/>
  <c r="J20" i="16"/>
  <c r="K20" i="16"/>
  <c r="L20" i="16"/>
  <c r="M20" i="16"/>
  <c r="N20" i="16"/>
  <c r="O20" i="16"/>
  <c r="P20" i="16"/>
  <c r="Q20" i="16"/>
  <c r="I21" i="16"/>
  <c r="J21" i="16"/>
  <c r="K21" i="16"/>
  <c r="L21" i="16"/>
  <c r="M21" i="16"/>
  <c r="N21" i="16"/>
  <c r="O21" i="16"/>
  <c r="P21" i="16"/>
  <c r="Q21" i="16"/>
  <c r="I22" i="16"/>
  <c r="J22" i="16"/>
  <c r="K22" i="16"/>
  <c r="L22" i="16"/>
  <c r="M22" i="16"/>
  <c r="N22" i="16"/>
  <c r="O22" i="16"/>
  <c r="P22" i="16"/>
  <c r="Q22" i="16"/>
  <c r="H24" i="16"/>
  <c r="I24" i="16"/>
  <c r="J24" i="16"/>
  <c r="K24" i="16"/>
  <c r="L24" i="16"/>
  <c r="M24" i="16"/>
  <c r="N24" i="16"/>
  <c r="O24" i="16"/>
  <c r="P24" i="16"/>
  <c r="Q24" i="16"/>
  <c r="H25" i="16"/>
  <c r="I25" i="16"/>
  <c r="J25" i="16"/>
  <c r="K25" i="16"/>
  <c r="L25" i="16"/>
  <c r="M25" i="16"/>
  <c r="N25" i="16"/>
  <c r="O25" i="16"/>
  <c r="P25" i="16"/>
  <c r="Q25" i="16"/>
  <c r="H26" i="16"/>
  <c r="I26" i="16"/>
  <c r="J26" i="16"/>
  <c r="K26" i="16"/>
  <c r="L26" i="16"/>
  <c r="M26" i="16"/>
  <c r="N26" i="16"/>
  <c r="O26" i="16"/>
  <c r="P26" i="16"/>
  <c r="Q26" i="16"/>
  <c r="Q27" i="16"/>
  <c r="H28" i="16"/>
  <c r="I28" i="16"/>
  <c r="J28" i="16"/>
  <c r="K28" i="16"/>
  <c r="L28" i="16"/>
  <c r="M28" i="16"/>
  <c r="N28" i="16"/>
  <c r="O28" i="16"/>
  <c r="P28" i="16"/>
  <c r="Q28" i="16"/>
  <c r="Q29" i="16"/>
  <c r="I30" i="16"/>
  <c r="I31" i="16"/>
  <c r="H36" i="16"/>
  <c r="I36" i="16"/>
  <c r="J36" i="16"/>
  <c r="K36" i="16"/>
  <c r="L36" i="16"/>
  <c r="M36" i="16"/>
  <c r="N36" i="16"/>
  <c r="O36" i="16"/>
  <c r="P36" i="16"/>
  <c r="Q36" i="16"/>
  <c r="H37" i="16"/>
  <c r="I37" i="16"/>
  <c r="J37" i="16"/>
  <c r="K37" i="16"/>
  <c r="L37" i="16"/>
  <c r="M37" i="16"/>
  <c r="N37" i="16"/>
  <c r="O37" i="16"/>
  <c r="P37" i="16"/>
  <c r="Q37" i="16"/>
  <c r="H38" i="16"/>
  <c r="I38" i="16"/>
  <c r="J38" i="16"/>
  <c r="K38" i="16"/>
  <c r="L38" i="16"/>
  <c r="M38" i="16"/>
  <c r="N38" i="16"/>
  <c r="O38" i="16"/>
  <c r="P38" i="16"/>
  <c r="Q38" i="16"/>
  <c r="Q39" i="16"/>
  <c r="I40" i="16"/>
  <c r="J40" i="16"/>
  <c r="K40" i="16"/>
  <c r="L40" i="16"/>
  <c r="I41" i="16"/>
  <c r="J41" i="16"/>
  <c r="K41" i="16"/>
  <c r="L41" i="16"/>
  <c r="H45" i="16"/>
  <c r="I45" i="16"/>
  <c r="J45" i="16"/>
  <c r="K45" i="16"/>
  <c r="L45" i="16"/>
  <c r="H46" i="16"/>
  <c r="I46" i="16"/>
  <c r="J46" i="16"/>
  <c r="K46" i="16"/>
  <c r="L46" i="16"/>
  <c r="M46" i="16"/>
  <c r="N46" i="16"/>
  <c r="O46" i="16"/>
  <c r="P46" i="16"/>
  <c r="Q46" i="16"/>
  <c r="H47" i="16"/>
  <c r="I47" i="16"/>
  <c r="J47" i="16"/>
  <c r="K47" i="16"/>
  <c r="L47" i="16"/>
  <c r="M47" i="16"/>
  <c r="N47" i="16"/>
  <c r="O47" i="16"/>
  <c r="P47" i="16"/>
  <c r="Q47" i="16"/>
  <c r="Q48" i="16"/>
  <c r="H49" i="16"/>
  <c r="I49" i="16"/>
  <c r="J49" i="16"/>
  <c r="K49" i="16"/>
  <c r="L49" i="16"/>
  <c r="M49" i="16"/>
  <c r="N49" i="16"/>
  <c r="O49" i="16"/>
  <c r="P49" i="16"/>
  <c r="Q49" i="16"/>
  <c r="I51" i="16"/>
  <c r="D56" i="16"/>
  <c r="D68" i="16"/>
  <c r="H24" i="8"/>
  <c r="I24" i="8"/>
  <c r="J24" i="8"/>
  <c r="K24" i="8"/>
  <c r="L24" i="8"/>
  <c r="H34" i="8"/>
  <c r="I34" i="8"/>
  <c r="J34" i="8"/>
  <c r="K34" i="8"/>
  <c r="L34" i="8"/>
  <c r="Q9" i="11"/>
  <c r="N10" i="11"/>
  <c r="O10" i="11"/>
  <c r="N11" i="11"/>
  <c r="O11" i="11"/>
  <c r="Q11" i="11"/>
  <c r="O12" i="11"/>
  <c r="Q13" i="11"/>
  <c r="D19" i="11"/>
  <c r="O19" i="11"/>
  <c r="D21" i="11"/>
  <c r="O21" i="11"/>
  <c r="D41" i="11"/>
  <c r="E41" i="11"/>
  <c r="F41" i="11"/>
  <c r="D42" i="11"/>
  <c r="E42" i="11"/>
  <c r="F42" i="11"/>
  <c r="D43" i="11"/>
  <c r="E43" i="11"/>
  <c r="F43" i="11"/>
  <c r="D49" i="11"/>
  <c r="D50" i="11"/>
  <c r="P50" i="11"/>
  <c r="D51" i="11"/>
  <c r="P51" i="11"/>
  <c r="D52" i="11"/>
  <c r="P53" i="11"/>
  <c r="J70" i="11"/>
  <c r="K70" i="11"/>
  <c r="L70" i="11"/>
  <c r="M70" i="11"/>
  <c r="N70" i="11"/>
  <c r="O70" i="11"/>
  <c r="P70" i="11"/>
  <c r="L72" i="11"/>
  <c r="M72" i="11"/>
  <c r="N72" i="11"/>
  <c r="O72" i="11"/>
  <c r="P72" i="11"/>
  <c r="L82" i="11"/>
  <c r="M82" i="11"/>
  <c r="N82" i="11"/>
  <c r="O82" i="11"/>
  <c r="P82" i="11"/>
  <c r="K85" i="11"/>
  <c r="L85" i="11"/>
  <c r="M85" i="11"/>
  <c r="N85" i="11"/>
  <c r="O85" i="11"/>
  <c r="P85" i="11"/>
  <c r="L89" i="11"/>
  <c r="M89" i="11"/>
  <c r="N89" i="11"/>
  <c r="O89" i="11"/>
  <c r="P89" i="11"/>
  <c r="I92" i="11"/>
  <c r="J92" i="11"/>
  <c r="K92" i="11"/>
  <c r="L92" i="11"/>
  <c r="M92" i="11"/>
  <c r="N92" i="11"/>
  <c r="O92" i="11"/>
  <c r="P92" i="11"/>
  <c r="K95" i="11"/>
  <c r="L95" i="11"/>
  <c r="M95" i="11"/>
  <c r="N95" i="11"/>
  <c r="O95" i="11"/>
  <c r="P95" i="11"/>
  <c r="J98" i="11"/>
  <c r="K98" i="11"/>
  <c r="L98" i="11"/>
  <c r="M98" i="11"/>
  <c r="N98" i="11"/>
  <c r="O98" i="11"/>
  <c r="P98" i="11"/>
  <c r="L101" i="11"/>
  <c r="M101" i="11"/>
  <c r="N101" i="11"/>
  <c r="O101" i="11"/>
  <c r="P101" i="11"/>
  <c r="K104" i="11"/>
  <c r="L104" i="11"/>
  <c r="M104" i="11"/>
  <c r="N104" i="11"/>
  <c r="O104" i="11"/>
  <c r="P104" i="11"/>
  <c r="L105" i="11"/>
  <c r="M105" i="11"/>
  <c r="N105" i="11"/>
  <c r="O105" i="11"/>
  <c r="P105" i="11"/>
  <c r="K106" i="11"/>
  <c r="L106" i="11"/>
  <c r="M106" i="11"/>
  <c r="N106" i="11"/>
  <c r="O106" i="11"/>
  <c r="P106" i="11"/>
  <c r="K108" i="11"/>
  <c r="L108" i="11"/>
  <c r="M108" i="11"/>
  <c r="N108" i="11"/>
  <c r="O108" i="11"/>
  <c r="P108" i="11"/>
  <c r="K110" i="11"/>
  <c r="L110" i="11"/>
  <c r="M110" i="11"/>
  <c r="N110" i="11"/>
  <c r="O110" i="11"/>
  <c r="P110" i="11"/>
  <c r="L116" i="11"/>
  <c r="M116" i="11"/>
  <c r="N116" i="11"/>
  <c r="O116" i="11"/>
  <c r="P116" i="11"/>
  <c r="L117" i="11"/>
  <c r="M117" i="11"/>
  <c r="N117" i="11"/>
  <c r="O117" i="11"/>
  <c r="P117" i="11"/>
  <c r="L118" i="11"/>
  <c r="M118" i="11"/>
  <c r="N118" i="11"/>
  <c r="O118" i="11"/>
  <c r="P118" i="11"/>
  <c r="L119" i="11"/>
  <c r="M119" i="11"/>
  <c r="N119" i="11"/>
  <c r="O119" i="11"/>
  <c r="P119" i="11"/>
  <c r="L121" i="11"/>
  <c r="M121" i="11"/>
  <c r="N121" i="11"/>
  <c r="O121" i="11"/>
  <c r="P121" i="11"/>
  <c r="L122" i="11"/>
  <c r="M122" i="11"/>
  <c r="N122" i="11"/>
  <c r="O122" i="11"/>
  <c r="P122" i="11"/>
  <c r="L123" i="11"/>
  <c r="M123" i="11"/>
  <c r="N123" i="11"/>
  <c r="O123" i="11"/>
  <c r="P123" i="11"/>
  <c r="L125" i="11"/>
  <c r="M125" i="11"/>
  <c r="N125" i="11"/>
  <c r="O125" i="11"/>
  <c r="P125" i="11"/>
  <c r="L126" i="11"/>
  <c r="M126" i="11"/>
  <c r="N126" i="11"/>
  <c r="O126" i="11"/>
  <c r="P126" i="11"/>
  <c r="L127" i="11"/>
  <c r="M127" i="11"/>
  <c r="N127" i="11"/>
  <c r="O127" i="11"/>
  <c r="P127" i="11"/>
  <c r="L129" i="11"/>
  <c r="M129" i="11"/>
  <c r="N129" i="11"/>
  <c r="O129" i="11"/>
  <c r="P129" i="11"/>
  <c r="L130" i="11"/>
  <c r="M130" i="11"/>
  <c r="N130" i="11"/>
  <c r="O130" i="11"/>
  <c r="P130" i="11"/>
  <c r="L135" i="11"/>
  <c r="M135" i="11"/>
  <c r="N135" i="11"/>
  <c r="O135" i="11"/>
  <c r="P135" i="11"/>
  <c r="L140" i="11"/>
  <c r="M140" i="11"/>
  <c r="N140" i="11"/>
  <c r="O140" i="11"/>
  <c r="P140" i="11"/>
  <c r="L141" i="11"/>
  <c r="M141" i="11"/>
  <c r="N141" i="11"/>
  <c r="O141" i="11"/>
  <c r="P141" i="11"/>
  <c r="L144" i="11"/>
  <c r="M144" i="11"/>
  <c r="N144" i="11"/>
  <c r="O144" i="11"/>
  <c r="P144" i="11"/>
  <c r="L145" i="11"/>
  <c r="M145" i="11"/>
  <c r="N145" i="11"/>
  <c r="O145" i="11"/>
  <c r="P145" i="11"/>
  <c r="L146" i="11"/>
  <c r="M146" i="11"/>
  <c r="N146" i="11"/>
  <c r="O146" i="11"/>
  <c r="P146" i="11"/>
  <c r="L156" i="11"/>
  <c r="M156" i="11"/>
  <c r="N156" i="11"/>
  <c r="O156" i="11"/>
  <c r="P156" i="11"/>
  <c r="L157" i="11"/>
  <c r="M157" i="11"/>
  <c r="N157" i="11"/>
  <c r="O157" i="11"/>
  <c r="P157" i="11"/>
  <c r="M159" i="11"/>
  <c r="N159" i="11"/>
  <c r="O159" i="11"/>
  <c r="P159" i="11"/>
  <c r="L160" i="11"/>
  <c r="M160" i="11"/>
  <c r="N160" i="11"/>
  <c r="O160" i="11"/>
  <c r="P160" i="11"/>
  <c r="L163" i="11"/>
  <c r="M163" i="11"/>
  <c r="N163" i="11"/>
  <c r="O163" i="11"/>
  <c r="P163" i="11"/>
  <c r="L166" i="11"/>
  <c r="M166" i="11"/>
  <c r="N166" i="11"/>
  <c r="O166" i="11"/>
  <c r="P166" i="11"/>
  <c r="L167" i="11"/>
  <c r="M167" i="11"/>
  <c r="N167" i="11"/>
  <c r="O167" i="11"/>
  <c r="P167" i="11"/>
  <c r="M169" i="11"/>
  <c r="N169" i="11"/>
  <c r="O169" i="11"/>
  <c r="P169" i="11"/>
  <c r="M170" i="11"/>
  <c r="N170" i="11"/>
  <c r="O170" i="11"/>
  <c r="P170" i="11"/>
  <c r="L171" i="11"/>
  <c r="M171" i="11"/>
  <c r="N171" i="11"/>
  <c r="O171" i="11"/>
  <c r="P171" i="11"/>
  <c r="M172" i="11"/>
  <c r="N172" i="11"/>
  <c r="O172" i="11"/>
  <c r="P172" i="11"/>
  <c r="M173" i="11"/>
  <c r="N173" i="11"/>
  <c r="O173" i="11"/>
  <c r="P173" i="11"/>
  <c r="L176" i="11"/>
  <c r="M176" i="11"/>
  <c r="N176" i="11"/>
  <c r="O176" i="11"/>
  <c r="P176" i="11"/>
  <c r="L178" i="11"/>
  <c r="M178" i="11"/>
  <c r="N178" i="11"/>
  <c r="O178" i="11"/>
  <c r="P178" i="11"/>
  <c r="L179" i="11"/>
  <c r="M179" i="11"/>
  <c r="N179" i="11"/>
  <c r="O179" i="11"/>
  <c r="P179" i="11"/>
  <c r="L180" i="11"/>
  <c r="M180" i="11"/>
  <c r="N180" i="11"/>
  <c r="O180" i="11"/>
  <c r="P180" i="11"/>
  <c r="L181" i="11"/>
  <c r="M181" i="11"/>
  <c r="N181" i="11"/>
  <c r="O181" i="11"/>
  <c r="P181" i="11"/>
  <c r="L182" i="11"/>
  <c r="M182" i="11"/>
  <c r="N182" i="11"/>
  <c r="O182" i="11"/>
  <c r="P182" i="11"/>
  <c r="L184" i="11"/>
  <c r="M184" i="11"/>
  <c r="N184" i="11"/>
  <c r="O184" i="11"/>
  <c r="P184" i="11"/>
  <c r="K185" i="11"/>
  <c r="L186" i="11"/>
  <c r="M186" i="11"/>
  <c r="N186" i="11"/>
  <c r="O186" i="11"/>
  <c r="P186" i="11"/>
  <c r="K187" i="11"/>
  <c r="L187" i="11"/>
  <c r="M187" i="11"/>
  <c r="N187" i="11"/>
  <c r="O187" i="11"/>
  <c r="P187" i="11"/>
  <c r="L189" i="11"/>
  <c r="M189" i="11"/>
  <c r="N189" i="11"/>
  <c r="O189" i="11"/>
  <c r="P189" i="11"/>
  <c r="L190" i="11"/>
  <c r="M190" i="11"/>
  <c r="N190" i="11"/>
  <c r="O190" i="11"/>
  <c r="P190" i="11"/>
  <c r="L191" i="11"/>
  <c r="M191" i="11"/>
  <c r="N191" i="11"/>
  <c r="O191" i="11"/>
  <c r="P191" i="11"/>
  <c r="L192" i="11"/>
  <c r="M192" i="11"/>
  <c r="N192" i="11"/>
  <c r="O192" i="11"/>
  <c r="P192" i="11"/>
  <c r="L194" i="11"/>
  <c r="M194" i="11"/>
  <c r="N194" i="11"/>
  <c r="O194" i="11"/>
  <c r="P194" i="11"/>
  <c r="L195" i="11"/>
  <c r="M195" i="11"/>
  <c r="N195" i="11"/>
  <c r="O195" i="11"/>
  <c r="P195" i="11"/>
  <c r="L196" i="11"/>
  <c r="M196" i="11"/>
  <c r="N196" i="11"/>
  <c r="O196" i="11"/>
  <c r="P196" i="11"/>
  <c r="L197" i="11"/>
  <c r="M197" i="11"/>
  <c r="N197" i="11"/>
  <c r="O197" i="11"/>
  <c r="P197" i="11"/>
  <c r="L199" i="11"/>
  <c r="M199" i="11"/>
  <c r="N199" i="11"/>
  <c r="O199" i="11"/>
  <c r="P199" i="11"/>
  <c r="L200" i="11"/>
  <c r="M200" i="11"/>
  <c r="N200" i="11"/>
  <c r="O200" i="11"/>
  <c r="P200" i="11"/>
  <c r="L201" i="11"/>
  <c r="M201" i="11"/>
  <c r="N201" i="11"/>
  <c r="O201" i="11"/>
  <c r="P201" i="11"/>
  <c r="L202" i="11"/>
  <c r="M202" i="11"/>
  <c r="N202" i="11"/>
  <c r="O202" i="11"/>
  <c r="P202" i="11"/>
  <c r="L204" i="11"/>
  <c r="M204" i="11"/>
  <c r="N204" i="11"/>
  <c r="O204" i="11"/>
  <c r="P204" i="11"/>
  <c r="L205" i="11"/>
  <c r="M205" i="11"/>
  <c r="N205" i="11"/>
  <c r="O205" i="11"/>
  <c r="P205" i="11"/>
  <c r="L206" i="11"/>
  <c r="M206" i="11"/>
  <c r="N206" i="11"/>
  <c r="O206" i="11"/>
  <c r="P206" i="11"/>
  <c r="L207" i="11"/>
  <c r="M207" i="11"/>
  <c r="N207" i="11"/>
  <c r="O207" i="11"/>
  <c r="P207" i="11"/>
  <c r="J212" i="11"/>
  <c r="K212" i="11"/>
  <c r="L212" i="11"/>
  <c r="M212" i="11"/>
  <c r="N212" i="11"/>
  <c r="O212" i="11"/>
  <c r="P212" i="11"/>
  <c r="L216" i="11"/>
  <c r="M216" i="11"/>
  <c r="N216" i="11"/>
  <c r="O216" i="11"/>
  <c r="P216" i="11"/>
  <c r="L219" i="11"/>
  <c r="M219" i="11"/>
  <c r="N219" i="11"/>
  <c r="O219" i="11"/>
  <c r="P219" i="11"/>
  <c r="K220" i="11"/>
  <c r="L220" i="11"/>
  <c r="M220" i="11"/>
  <c r="N220" i="11"/>
  <c r="O220" i="11"/>
  <c r="P220" i="11"/>
  <c r="K222" i="11"/>
  <c r="L222" i="11"/>
  <c r="M222" i="11"/>
  <c r="N222" i="11"/>
  <c r="O222" i="11"/>
  <c r="P222" i="11"/>
  <c r="K224" i="11"/>
  <c r="L224" i="11"/>
  <c r="M224" i="11"/>
  <c r="N224" i="11"/>
  <c r="O224" i="11"/>
  <c r="P224" i="11"/>
  <c r="L226" i="11"/>
  <c r="M226" i="11"/>
  <c r="N226" i="11"/>
  <c r="O226" i="11"/>
  <c r="P226" i="11"/>
  <c r="K228" i="11"/>
  <c r="L228" i="11"/>
  <c r="M228" i="11"/>
  <c r="N228" i="11"/>
  <c r="O228" i="11"/>
  <c r="P228" i="11"/>
  <c r="K229" i="11"/>
  <c r="L229" i="11"/>
  <c r="M229" i="11"/>
  <c r="N229" i="11"/>
  <c r="O229" i="11"/>
  <c r="P229" i="11"/>
  <c r="K230" i="11"/>
  <c r="L230" i="11"/>
  <c r="M230" i="11"/>
  <c r="N230" i="11"/>
  <c r="O230" i="11"/>
  <c r="P230" i="11"/>
  <c r="L232" i="11"/>
  <c r="M232" i="11"/>
  <c r="N232" i="11"/>
  <c r="O232" i="11"/>
  <c r="P232" i="11"/>
  <c r="L234" i="11"/>
  <c r="M234" i="11"/>
  <c r="N234" i="11"/>
  <c r="O234" i="11"/>
  <c r="P234" i="11"/>
  <c r="L235" i="11"/>
  <c r="M235" i="11"/>
  <c r="N235" i="11"/>
  <c r="O235" i="11"/>
  <c r="P235" i="11"/>
  <c r="L236" i="11"/>
  <c r="M236" i="11"/>
  <c r="N236" i="11"/>
  <c r="O236" i="11"/>
  <c r="P236" i="11"/>
  <c r="L237" i="11"/>
  <c r="M237" i="11"/>
  <c r="N237" i="11"/>
  <c r="O237" i="11"/>
  <c r="P237" i="11"/>
  <c r="L238" i="11"/>
  <c r="M238" i="11"/>
  <c r="N238" i="11"/>
  <c r="O238" i="11"/>
  <c r="P238" i="11"/>
  <c r="L239" i="11"/>
  <c r="M239" i="11"/>
  <c r="N239" i="11"/>
  <c r="O239" i="11"/>
  <c r="P239" i="11"/>
  <c r="L244" i="11"/>
  <c r="M244" i="11"/>
  <c r="N244" i="11"/>
  <c r="O244" i="11"/>
  <c r="P244" i="11"/>
  <c r="L245" i="11"/>
  <c r="M245" i="11"/>
  <c r="N245" i="11"/>
  <c r="O245" i="11"/>
  <c r="P245" i="11"/>
  <c r="L246" i="11"/>
  <c r="M246" i="11"/>
  <c r="N246" i="11"/>
  <c r="O246" i="11"/>
  <c r="P246" i="11"/>
  <c r="L253" i="11"/>
  <c r="M253" i="11"/>
  <c r="N253" i="11"/>
  <c r="O253" i="11"/>
  <c r="P253" i="11"/>
  <c r="L254" i="11"/>
  <c r="M254" i="11"/>
  <c r="N254" i="11"/>
  <c r="O254" i="11"/>
  <c r="P254" i="11"/>
  <c r="L255" i="11"/>
  <c r="M255" i="11"/>
  <c r="N255" i="11"/>
  <c r="O255" i="11"/>
  <c r="P255" i="11"/>
  <c r="L256" i="11"/>
  <c r="M256" i="11"/>
  <c r="N256" i="11"/>
  <c r="O256" i="11"/>
  <c r="P256" i="11"/>
  <c r="L257" i="11"/>
  <c r="M257" i="11"/>
  <c r="N257" i="11"/>
  <c r="O257" i="11"/>
  <c r="P257" i="11"/>
  <c r="L259" i="11"/>
  <c r="M259" i="11"/>
  <c r="N259" i="11"/>
  <c r="O259" i="11"/>
  <c r="P259" i="11"/>
  <c r="L260" i="11"/>
  <c r="M260" i="11"/>
  <c r="N260" i="11"/>
  <c r="O260" i="11"/>
  <c r="P260" i="11"/>
  <c r="L261" i="11"/>
  <c r="M261" i="11"/>
  <c r="N261" i="11"/>
  <c r="O261" i="11"/>
  <c r="P261" i="11"/>
  <c r="L262" i="11"/>
  <c r="M262" i="11"/>
  <c r="N262" i="11"/>
  <c r="O262" i="11"/>
  <c r="P262" i="11"/>
  <c r="L264" i="11"/>
  <c r="M264" i="11"/>
  <c r="N264" i="11"/>
  <c r="O264" i="11"/>
  <c r="P264" i="11"/>
  <c r="L265" i="11"/>
  <c r="M265" i="11"/>
  <c r="N265" i="11"/>
  <c r="O265" i="11"/>
  <c r="P265" i="11"/>
  <c r="L266" i="11"/>
  <c r="M266" i="11"/>
  <c r="N266" i="11"/>
  <c r="O266" i="11"/>
  <c r="P266" i="11"/>
  <c r="D271" i="11"/>
  <c r="D283" i="11"/>
  <c r="H31" i="7"/>
  <c r="I31" i="7"/>
  <c r="J31" i="7"/>
  <c r="K31" i="7"/>
  <c r="L31" i="7"/>
  <c r="H41" i="7"/>
  <c r="I41" i="7"/>
  <c r="J41" i="7"/>
  <c r="K41" i="7"/>
  <c r="L41" i="7"/>
  <c r="H46" i="7"/>
  <c r="I46" i="7"/>
  <c r="J46" i="7"/>
  <c r="K46" i="7"/>
  <c r="L46" i="7"/>
  <c r="H51" i="7"/>
  <c r="I51" i="7"/>
  <c r="J51" i="7"/>
  <c r="K51" i="7"/>
  <c r="L51" i="7"/>
  <c r="H54" i="7"/>
  <c r="I54" i="7"/>
  <c r="J54" i="7"/>
  <c r="K54" i="7"/>
  <c r="L54" i="7"/>
  <c r="H57" i="7"/>
  <c r="I57" i="7"/>
  <c r="J57" i="7"/>
  <c r="K57" i="7"/>
  <c r="L57" i="7"/>
  <c r="H60" i="7"/>
  <c r="I60" i="7"/>
  <c r="J60" i="7"/>
  <c r="K60" i="7"/>
  <c r="L60" i="7"/>
  <c r="H62" i="7"/>
  <c r="I62" i="7"/>
  <c r="J62" i="7"/>
  <c r="K62" i="7"/>
  <c r="L62" i="7"/>
  <c r="H64" i="7"/>
  <c r="I64" i="7"/>
  <c r="J64" i="7"/>
  <c r="K64" i="7"/>
  <c r="L64" i="7"/>
  <c r="H66" i="7"/>
  <c r="I66" i="7"/>
  <c r="J66" i="7"/>
  <c r="K66" i="7"/>
  <c r="L66" i="7"/>
  <c r="I101" i="7"/>
  <c r="J101" i="7"/>
  <c r="K101" i="7"/>
  <c r="L101" i="7"/>
  <c r="H102" i="7"/>
  <c r="I102" i="7"/>
  <c r="J102" i="7"/>
  <c r="K102" i="7"/>
  <c r="L102" i="7"/>
  <c r="H103" i="7"/>
  <c r="I103" i="7"/>
  <c r="J103" i="7"/>
  <c r="K103" i="7"/>
  <c r="L103" i="7"/>
  <c r="H104" i="7"/>
  <c r="I104" i="7"/>
  <c r="J104" i="7"/>
  <c r="K104" i="7"/>
  <c r="L104" i="7"/>
  <c r="H113" i="7"/>
  <c r="I113" i="7"/>
  <c r="J113" i="7"/>
  <c r="K113" i="7"/>
  <c r="L113" i="7"/>
  <c r="H115" i="7"/>
  <c r="I115" i="7"/>
  <c r="J115" i="7"/>
  <c r="K115" i="7"/>
  <c r="L115" i="7"/>
  <c r="H119" i="7"/>
  <c r="I119" i="7"/>
  <c r="J119" i="7"/>
  <c r="K119" i="7"/>
  <c r="L119" i="7"/>
  <c r="H122" i="7"/>
  <c r="I122" i="7"/>
  <c r="J122" i="7"/>
  <c r="K122" i="7"/>
  <c r="L122" i="7"/>
  <c r="I126" i="7"/>
  <c r="J126" i="7"/>
  <c r="K126" i="7"/>
  <c r="L126" i="7"/>
  <c r="I128" i="7"/>
  <c r="J128" i="7"/>
  <c r="K128" i="7"/>
  <c r="L128" i="7"/>
  <c r="I132" i="7"/>
  <c r="J132" i="7"/>
  <c r="K132" i="7"/>
  <c r="L132" i="7"/>
  <c r="I135" i="7"/>
  <c r="J135" i="7"/>
  <c r="K135" i="7"/>
  <c r="L135" i="7"/>
  <c r="I161" i="7"/>
  <c r="J161" i="7"/>
  <c r="K161" i="7"/>
  <c r="L161" i="7"/>
  <c r="I162" i="7"/>
  <c r="J162" i="7"/>
  <c r="K162" i="7"/>
  <c r="L162" i="7"/>
  <c r="I163" i="7"/>
  <c r="J163" i="7"/>
  <c r="K163" i="7"/>
  <c r="L163" i="7"/>
  <c r="I173" i="7"/>
  <c r="J173" i="7"/>
  <c r="K173" i="7"/>
  <c r="L173" i="7"/>
  <c r="I174" i="7"/>
  <c r="J174" i="7"/>
  <c r="K174" i="7"/>
  <c r="L174" i="7"/>
  <c r="I176" i="7"/>
  <c r="J176" i="7"/>
  <c r="K176" i="7"/>
  <c r="L176" i="7"/>
  <c r="H179" i="7"/>
  <c r="I179" i="7"/>
  <c r="J179" i="7"/>
  <c r="K179" i="7"/>
  <c r="L179" i="7"/>
  <c r="I183" i="7"/>
  <c r="J183" i="7"/>
  <c r="K183" i="7"/>
  <c r="L183" i="7"/>
  <c r="I185" i="7"/>
  <c r="J185" i="7"/>
  <c r="K185" i="7"/>
  <c r="L185" i="7"/>
  <c r="I186" i="7"/>
  <c r="J186" i="7"/>
  <c r="K186" i="7"/>
  <c r="L186" i="7"/>
  <c r="I187" i="7"/>
  <c r="J187" i="7"/>
  <c r="K187" i="7"/>
  <c r="L187" i="7"/>
  <c r="I188" i="7"/>
  <c r="J188" i="7"/>
  <c r="K188" i="7"/>
  <c r="L188" i="7"/>
  <c r="H190" i="7"/>
  <c r="I190" i="7"/>
  <c r="J190" i="7"/>
  <c r="K190" i="7"/>
  <c r="L190" i="7"/>
  <c r="H191" i="7"/>
  <c r="I191" i="7"/>
  <c r="J191" i="7"/>
  <c r="K191" i="7"/>
  <c r="L191" i="7"/>
  <c r="H192" i="7"/>
  <c r="I192" i="7"/>
  <c r="J192" i="7"/>
  <c r="K192" i="7"/>
  <c r="L192" i="7"/>
  <c r="H194" i="7"/>
  <c r="I194" i="7"/>
  <c r="J194" i="7"/>
  <c r="K194" i="7"/>
  <c r="L194" i="7"/>
  <c r="H196" i="7"/>
  <c r="I196" i="7"/>
  <c r="J196" i="7"/>
  <c r="K196" i="7"/>
  <c r="L196" i="7"/>
  <c r="H197" i="7"/>
  <c r="I197" i="7"/>
  <c r="J197" i="7"/>
  <c r="K197" i="7"/>
  <c r="L197" i="7"/>
  <c r="H216" i="7"/>
  <c r="I216" i="7"/>
  <c r="J216" i="7"/>
  <c r="K216" i="7"/>
  <c r="L216" i="7"/>
  <c r="H220" i="7"/>
  <c r="I220" i="7"/>
  <c r="J220" i="7"/>
  <c r="K220" i="7"/>
  <c r="L220" i="7"/>
  <c r="H222" i="7"/>
  <c r="I222" i="7"/>
  <c r="J222" i="7"/>
  <c r="K222" i="7"/>
  <c r="L222" i="7"/>
  <c r="H224" i="7"/>
  <c r="I224" i="7"/>
  <c r="J224" i="7"/>
  <c r="K224" i="7"/>
  <c r="L224" i="7"/>
  <c r="H227" i="7"/>
  <c r="I227" i="7"/>
  <c r="J227" i="7"/>
  <c r="K227" i="7"/>
  <c r="L227" i="7"/>
  <c r="H228" i="7"/>
  <c r="I228" i="7"/>
  <c r="J228" i="7"/>
  <c r="K228" i="7"/>
  <c r="L228" i="7"/>
  <c r="H230" i="7"/>
  <c r="I230" i="7"/>
  <c r="J230" i="7"/>
  <c r="K230" i="7"/>
  <c r="L230" i="7"/>
  <c r="H238" i="7"/>
  <c r="I238" i="7"/>
  <c r="J238" i="7"/>
  <c r="K238" i="7"/>
  <c r="L238" i="7"/>
  <c r="H240" i="7"/>
  <c r="I240" i="7"/>
  <c r="J240" i="7"/>
  <c r="K240" i="7"/>
  <c r="L240" i="7"/>
  <c r="H243" i="7"/>
  <c r="I243" i="7"/>
  <c r="J243" i="7"/>
  <c r="K243" i="7"/>
  <c r="L243" i="7"/>
  <c r="H244" i="7"/>
  <c r="I244" i="7"/>
  <c r="J244" i="7"/>
  <c r="K244" i="7"/>
  <c r="L244" i="7"/>
  <c r="H246" i="7"/>
  <c r="I246" i="7"/>
  <c r="J246" i="7"/>
  <c r="K246" i="7"/>
  <c r="L246" i="7"/>
  <c r="H249" i="7"/>
  <c r="I249" i="7"/>
  <c r="J249" i="7"/>
  <c r="K249" i="7"/>
  <c r="L249" i="7"/>
  <c r="H250" i="7"/>
  <c r="I250" i="7"/>
  <c r="J250" i="7"/>
  <c r="K250" i="7"/>
  <c r="L250" i="7"/>
  <c r="H251" i="7"/>
  <c r="I251" i="7"/>
  <c r="J251" i="7"/>
  <c r="K251" i="7"/>
  <c r="L251" i="7"/>
  <c r="H252" i="7"/>
  <c r="I252" i="7"/>
  <c r="J252" i="7"/>
  <c r="K252" i="7"/>
  <c r="L252" i="7"/>
  <c r="H258" i="7"/>
  <c r="I258" i="7"/>
  <c r="J258" i="7"/>
  <c r="K258" i="7"/>
  <c r="L258" i="7"/>
  <c r="H259" i="7"/>
  <c r="I259" i="7"/>
  <c r="J259" i="7"/>
  <c r="K259" i="7"/>
  <c r="L259" i="7"/>
  <c r="H260" i="7"/>
  <c r="I260" i="7"/>
  <c r="J260" i="7"/>
  <c r="K260" i="7"/>
  <c r="L260" i="7"/>
  <c r="H267" i="7"/>
  <c r="I267" i="7"/>
  <c r="J267" i="7"/>
  <c r="K267" i="7"/>
  <c r="L267" i="7"/>
  <c r="H268" i="7"/>
  <c r="I268" i="7"/>
  <c r="J268" i="7"/>
  <c r="K268" i="7"/>
  <c r="L268" i="7"/>
  <c r="H269" i="7"/>
  <c r="I269" i="7"/>
  <c r="J269" i="7"/>
  <c r="K269" i="7"/>
  <c r="L269" i="7"/>
  <c r="H271" i="7"/>
  <c r="I271" i="7"/>
  <c r="J271" i="7"/>
  <c r="K271" i="7"/>
  <c r="L271" i="7"/>
  <c r="H272" i="7"/>
  <c r="I272" i="7"/>
  <c r="J272" i="7"/>
  <c r="K272" i="7"/>
  <c r="L272" i="7"/>
  <c r="H273" i="7"/>
  <c r="I273" i="7"/>
  <c r="J273" i="7"/>
  <c r="K273" i="7"/>
  <c r="L273" i="7"/>
  <c r="H274" i="7"/>
  <c r="I274" i="7"/>
  <c r="J274" i="7"/>
  <c r="K274" i="7"/>
  <c r="L274" i="7"/>
  <c r="I276" i="7"/>
  <c r="J276" i="7"/>
  <c r="K276" i="7"/>
  <c r="L276" i="7"/>
  <c r="D11" i="17"/>
  <c r="D12" i="17"/>
  <c r="L25" i="17"/>
  <c r="I26" i="17"/>
  <c r="J26" i="17"/>
  <c r="I27" i="17"/>
  <c r="J27" i="17"/>
  <c r="L27" i="17"/>
  <c r="L28" i="17"/>
  <c r="D29" i="17"/>
  <c r="E29" i="17"/>
  <c r="D30" i="17"/>
  <c r="E30" i="17"/>
  <c r="D31" i="17"/>
  <c r="E31" i="17"/>
  <c r="H36" i="17"/>
  <c r="I36" i="17"/>
  <c r="J36" i="17"/>
  <c r="K36" i="17"/>
  <c r="L36" i="17"/>
  <c r="H37" i="17"/>
  <c r="I37" i="17"/>
  <c r="J37" i="17"/>
  <c r="K37" i="17"/>
  <c r="L37" i="17"/>
  <c r="H38" i="17"/>
  <c r="I38" i="17"/>
  <c r="J38" i="17"/>
  <c r="K38" i="17"/>
  <c r="L38" i="17"/>
  <c r="H41" i="17"/>
  <c r="I41" i="17"/>
  <c r="J41" i="17"/>
  <c r="K41" i="17"/>
  <c r="L41" i="17"/>
  <c r="H42" i="17"/>
  <c r="I42" i="17"/>
  <c r="J42" i="17"/>
  <c r="K42" i="17"/>
  <c r="L42" i="17"/>
  <c r="H43" i="17"/>
  <c r="I43" i="17"/>
  <c r="J43" i="17"/>
  <c r="K43" i="17"/>
  <c r="L43" i="17"/>
  <c r="H46" i="17"/>
  <c r="I46" i="17"/>
  <c r="J46" i="17"/>
  <c r="K46" i="17"/>
  <c r="L46" i="17"/>
  <c r="H47" i="17"/>
  <c r="I47" i="17"/>
  <c r="J47" i="17"/>
  <c r="K47" i="17"/>
  <c r="L47" i="17"/>
  <c r="H48" i="17"/>
  <c r="I48" i="17"/>
  <c r="J48" i="17"/>
  <c r="K48" i="17"/>
  <c r="L48" i="17"/>
  <c r="H51" i="17"/>
  <c r="I51" i="17"/>
  <c r="J51" i="17"/>
  <c r="K51" i="17"/>
  <c r="L51" i="17"/>
  <c r="H52" i="17"/>
  <c r="I52" i="17"/>
  <c r="J52" i="17"/>
  <c r="K52" i="17"/>
  <c r="L52" i="17"/>
  <c r="I53" i="17"/>
  <c r="J53" i="17"/>
  <c r="K53" i="17"/>
  <c r="L53" i="17"/>
  <c r="I54" i="17"/>
  <c r="J54" i="17"/>
  <c r="K54" i="17"/>
  <c r="L54" i="17"/>
  <c r="I55" i="17"/>
  <c r="J55" i="17"/>
  <c r="K55" i="17"/>
  <c r="L55" i="17"/>
  <c r="H59" i="17"/>
  <c r="I59" i="17"/>
  <c r="J59" i="17"/>
  <c r="K59" i="17"/>
  <c r="L59" i="17"/>
  <c r="H62" i="17"/>
  <c r="I62" i="17"/>
  <c r="J62" i="17"/>
  <c r="K62" i="17"/>
  <c r="L62" i="17"/>
  <c r="H63" i="17"/>
  <c r="I63" i="17"/>
  <c r="J63" i="17"/>
  <c r="K63" i="17"/>
  <c r="L63" i="17"/>
  <c r="H64" i="17"/>
  <c r="I64" i="17"/>
  <c r="J64" i="17"/>
  <c r="K64" i="17"/>
  <c r="L64" i="17"/>
  <c r="H65" i="17"/>
  <c r="I65" i="17"/>
  <c r="J65" i="17"/>
  <c r="K65" i="17"/>
  <c r="L65" i="17"/>
  <c r="H68" i="17"/>
  <c r="I68" i="17"/>
  <c r="J68" i="17"/>
  <c r="K68" i="17"/>
  <c r="L68" i="17"/>
  <c r="H69" i="17"/>
  <c r="I69" i="17"/>
  <c r="J69" i="17"/>
  <c r="K69" i="17"/>
  <c r="L69" i="17"/>
  <c r="H70" i="17"/>
  <c r="I70" i="17"/>
  <c r="J70" i="17"/>
  <c r="K70" i="17"/>
  <c r="L7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<sst xmlns="http://schemas.openxmlformats.org/spreadsheetml/2006/main" count="1849" uniqueCount="715">
  <si>
    <t>Projected</t>
  </si>
  <si>
    <t>Units:</t>
  </si>
  <si>
    <t>Net Interest Income:</t>
  </si>
  <si>
    <t>₽ M</t>
  </si>
  <si>
    <t>Provisions for Credit Losses:</t>
  </si>
  <si>
    <t>Net Income to Common:</t>
  </si>
  <si>
    <t>₽ / Share</t>
  </si>
  <si>
    <t>Total Assets:</t>
  </si>
  <si>
    <t>Deposits:</t>
  </si>
  <si>
    <t>Risk-Weighted Assets (RWA):</t>
  </si>
  <si>
    <t>Return on Common Equity:</t>
  </si>
  <si>
    <t>%</t>
  </si>
  <si>
    <t>Return on Tangible Common Equity:</t>
  </si>
  <si>
    <t>Return on Equity:</t>
  </si>
  <si>
    <t>Return on Assets:</t>
  </si>
  <si>
    <t>Return on Tangible Assets:</t>
  </si>
  <si>
    <t>Net Charge-Off Ratio:</t>
  </si>
  <si>
    <t>Net Charge-Offs / Reserves:</t>
  </si>
  <si>
    <t>Reserve Ratio:</t>
  </si>
  <si>
    <t>Net Loans / Deposits:</t>
  </si>
  <si>
    <t>Net Interest Margin:</t>
  </si>
  <si>
    <t>Spread Between IEA and IBL Rates:</t>
  </si>
  <si>
    <t>Net Interest Income / Revenue:</t>
  </si>
  <si>
    <t>Overhead Ratio:</t>
  </si>
  <si>
    <t>Dividend Payout Ratio:</t>
  </si>
  <si>
    <t>Regulatory Capital:</t>
  </si>
  <si>
    <t>Common Equity Tier 1 (CET1) Ratio:</t>
  </si>
  <si>
    <t>Tier 1 Capital Ratio:</t>
  </si>
  <si>
    <t>Total Capital Ratio:</t>
  </si>
  <si>
    <t>Leverage Ratio:</t>
  </si>
  <si>
    <r>
      <t>(RUB</t>
    </r>
    <r>
      <rPr>
        <sz val="11"/>
        <color indexed="8"/>
        <rFont val="Calibri"/>
        <family val="2"/>
      </rPr>
      <t xml:space="preserve"> in Millions Except Per Share and Per Unit Data)</t>
    </r>
  </si>
  <si>
    <t>General Assumptions:</t>
  </si>
  <si>
    <t>Company Name:</t>
  </si>
  <si>
    <t>TCS Group Holding PLC</t>
  </si>
  <si>
    <t>Stock Information:</t>
  </si>
  <si>
    <t>Ticker:</t>
  </si>
  <si>
    <t>TCSG</t>
  </si>
  <si>
    <t>Basic/Diluted Shares Outstanding:</t>
  </si>
  <si>
    <t>Current Share Price:</t>
  </si>
  <si>
    <t>Last Historical Year:</t>
  </si>
  <si>
    <t>Last Twelve Months (LTM) Period:</t>
  </si>
  <si>
    <t>Valuation Date:</t>
  </si>
  <si>
    <t>Total Capital Target:</t>
  </si>
  <si>
    <t>Tax Rate:</t>
  </si>
  <si>
    <t>Conversion Units:</t>
  </si>
  <si>
    <t>Selected Scenario</t>
  </si>
  <si>
    <t>Base</t>
  </si>
  <si>
    <t>Enable Circular References?</t>
  </si>
  <si>
    <t xml:space="preserve">Interest-Earning Assets (IEA) and </t>
  </si>
  <si>
    <t>Interest-Bearing Liabilities (IBL):</t>
  </si>
  <si>
    <t>CBR rate</t>
  </si>
  <si>
    <t>source: основные направления ДКП 2022</t>
  </si>
  <si>
    <t>Upside</t>
  </si>
  <si>
    <t>Downside</t>
  </si>
  <si>
    <t>Drivers</t>
  </si>
  <si>
    <t>Historical</t>
  </si>
  <si>
    <t>Balance Sheet:</t>
  </si>
  <si>
    <t>ASSETS:</t>
  </si>
  <si>
    <t>Guarantee deposit % of deposits</t>
  </si>
  <si>
    <t>Securities% of deposits</t>
  </si>
  <si>
    <t>Cash % of deposits</t>
  </si>
  <si>
    <t>Due from CBRF</t>
  </si>
  <si>
    <t>Balancers: Loans and Advances to Banks and Amounts Due to Banks:</t>
  </si>
  <si>
    <t>Total Assets + Prior Loans and Adv. to Banks:</t>
  </si>
  <si>
    <t>Total L&amp;E + Prior Due to Banks:</t>
  </si>
  <si>
    <t>Increase in Loans and Advances to Banks:</t>
  </si>
  <si>
    <t>Increase in Due to Banks:</t>
  </si>
  <si>
    <t>Cash Taxes</t>
  </si>
  <si>
    <t>Deferred taxes</t>
  </si>
  <si>
    <t>Total Taxes I/S</t>
  </si>
  <si>
    <t>Deferred Tax % IS Tax</t>
  </si>
  <si>
    <t>Income statement:</t>
  </si>
  <si>
    <t>IEA:</t>
  </si>
  <si>
    <t>SME Loans</t>
  </si>
  <si>
    <t>Loans to Individuals</t>
  </si>
  <si>
    <t>Total Interest-Earning Assets (IEA)</t>
  </si>
  <si>
    <t>Average Interest-Earning Assets (IEA)</t>
  </si>
  <si>
    <t>RWA % IEA:</t>
  </si>
  <si>
    <t>Interest Income Earned On:</t>
  </si>
  <si>
    <t>Gross Loans:</t>
  </si>
  <si>
    <t>Total Gross Loans:</t>
  </si>
  <si>
    <t>Due From Banks</t>
  </si>
  <si>
    <t>Securities</t>
  </si>
  <si>
    <t>Total Interest-Earning Assets (IEA):</t>
  </si>
  <si>
    <t>Average Yield Earned On:</t>
  </si>
  <si>
    <t>LIBOR Spread on Yield Earned On:</t>
  </si>
  <si>
    <t>Brokerage interest</t>
  </si>
  <si>
    <t>Growth rate</t>
  </si>
  <si>
    <t>IBL:</t>
  </si>
  <si>
    <t>Total Interest-Bearing Liabilities (IBL):</t>
  </si>
  <si>
    <t>Avg. Interest-Bearing Liabilities (IBL):</t>
  </si>
  <si>
    <t>Interest Expense Paid On:</t>
  </si>
  <si>
    <t>Average Interest Rate Paid On:</t>
  </si>
  <si>
    <t>source: Note 16 IFRS FY2020</t>
  </si>
  <si>
    <t>source: Note 15 IFRS FY2020</t>
  </si>
  <si>
    <t>LIBOR Spread on Interest Paid On:</t>
  </si>
  <si>
    <t>N/A</t>
  </si>
  <si>
    <t>Other interest expenses:</t>
  </si>
  <si>
    <t>Lease liabilities</t>
  </si>
  <si>
    <t>Additions</t>
  </si>
  <si>
    <t>Cash Payment</t>
  </si>
  <si>
    <t>Principal Repayment</t>
  </si>
  <si>
    <t>Lease Yield</t>
  </si>
  <si>
    <t>Lease Spread</t>
  </si>
  <si>
    <t>Lease Expenses</t>
  </si>
  <si>
    <t>Deposit Insurance Expense</t>
  </si>
  <si>
    <t>Fee &amp; comission</t>
  </si>
  <si>
    <t>Credit Protection</t>
  </si>
  <si>
    <t>Other</t>
  </si>
  <si>
    <t>Expenses</t>
  </si>
  <si>
    <t>Net Fee &amp; Commission Income</t>
  </si>
  <si>
    <t>Credit  Protection Yield</t>
  </si>
  <si>
    <t>Other Fees % of Deposits</t>
  </si>
  <si>
    <t>Expenses % of Income</t>
  </si>
  <si>
    <t>Other Items</t>
  </si>
  <si>
    <t>Other Provisions</t>
  </si>
  <si>
    <t>Other Provisions % RWA</t>
  </si>
  <si>
    <t>Acquisition Costs</t>
  </si>
  <si>
    <t>Staff Costs</t>
  </si>
  <si>
    <t>Other Expenses</t>
  </si>
  <si>
    <t>Other Income</t>
  </si>
  <si>
    <t>Net Insurance Premiums Earned</t>
  </si>
  <si>
    <t>Acquisition Costs % Revenue</t>
  </si>
  <si>
    <t>Staff Costs % Revenue</t>
  </si>
  <si>
    <t>Other Expenses % Revenue</t>
  </si>
  <si>
    <t>Other Income % Revenue</t>
  </si>
  <si>
    <t>Net Insurance Premiums Earned % Gross Loans</t>
  </si>
  <si>
    <t>Cash and Balances at Central Banks:</t>
  </si>
  <si>
    <t>Due from Banks</t>
  </si>
  <si>
    <t>(-) Allowance for Loan Losses:</t>
  </si>
  <si>
    <t>Loans to customers</t>
  </si>
  <si>
    <t>Guarantee deposit</t>
  </si>
  <si>
    <t>PPE</t>
  </si>
  <si>
    <t>Intangible assets</t>
  </si>
  <si>
    <t>Deferred tax</t>
  </si>
  <si>
    <t>Other assets</t>
  </si>
  <si>
    <t>LIABILITIES &amp; EQUITY:</t>
  </si>
  <si>
    <t>Liabilities:</t>
  </si>
  <si>
    <t>Due to Banks:</t>
  </si>
  <si>
    <t>Subordinated Notes:</t>
  </si>
  <si>
    <t>Debt securities</t>
  </si>
  <si>
    <t>Lease Liability</t>
  </si>
  <si>
    <t>Other Liabilities:</t>
  </si>
  <si>
    <t>Total Liabilities:</t>
  </si>
  <si>
    <t>Equity:</t>
  </si>
  <si>
    <t>Share Capital &amp; Share Premium:</t>
  </si>
  <si>
    <t>Treasury shares</t>
  </si>
  <si>
    <t>Reserves:</t>
  </si>
  <si>
    <t>Retained Earnings:</t>
  </si>
  <si>
    <t>Share based payment reserve</t>
  </si>
  <si>
    <t>Common equity</t>
  </si>
  <si>
    <t>NCI</t>
  </si>
  <si>
    <t>Total Equity:</t>
  </si>
  <si>
    <t>Total Liabilities &amp; Equity:</t>
  </si>
  <si>
    <t>Balance Check:</t>
  </si>
  <si>
    <t>Income Statement:</t>
  </si>
  <si>
    <t>(+) Interest Income:</t>
  </si>
  <si>
    <t>(-) Interest Expense:</t>
  </si>
  <si>
    <t>Total Net Interest Income:</t>
  </si>
  <si>
    <t>Net Fee and Commission Income:</t>
  </si>
  <si>
    <t>(+) Fee and Commission Income:</t>
  </si>
  <si>
    <t>(-) Fee and Commission Expense:</t>
  </si>
  <si>
    <t>Other operating income</t>
  </si>
  <si>
    <t>(+) Gains from Financial Instruments and FX</t>
  </si>
  <si>
    <t>(+) Net Insurance Premium Earned</t>
  </si>
  <si>
    <t>(+) Other Operating Income</t>
  </si>
  <si>
    <t>Revenue (Net Operating Income):</t>
  </si>
  <si>
    <t>(-) Provisions for Credit Losses:</t>
  </si>
  <si>
    <t>(-) Provision for Liabilities and Charges:</t>
  </si>
  <si>
    <t>Non-Interest Expenses:</t>
  </si>
  <si>
    <t>(-) Acquisition Costs:</t>
  </si>
  <si>
    <t>(-) Staff Costs:</t>
  </si>
  <si>
    <t>(-) Depreciation of right-of-use asset</t>
  </si>
  <si>
    <t>(-) Depreciation (Excluding Operating Leases):</t>
  </si>
  <si>
    <t>(-) Amortization of Intangible Assets:</t>
  </si>
  <si>
    <t>(-) Other Administrative Expenses:</t>
  </si>
  <si>
    <t>Total Non-Interest Expenses:</t>
  </si>
  <si>
    <t>Pre-Tax Income:</t>
  </si>
  <si>
    <t>(-) Income Tax Expense / (+) Tax Benefit:</t>
  </si>
  <si>
    <t>Net Income</t>
  </si>
  <si>
    <t>(-) Attributable to NCI</t>
  </si>
  <si>
    <t>Net income to common</t>
  </si>
  <si>
    <t>Weighted Average Shares:</t>
  </si>
  <si>
    <t>M Shares</t>
  </si>
  <si>
    <t>Ending Shares</t>
  </si>
  <si>
    <t>Dillutaed average shares</t>
  </si>
  <si>
    <t>Earnings Per Share (EPS):</t>
  </si>
  <si>
    <t>Cash Flow Statement:</t>
  </si>
  <si>
    <t>Operating Activities:</t>
  </si>
  <si>
    <t>Profit Before Tax</t>
  </si>
  <si>
    <t>Adjustments for Non-Cash Items:</t>
  </si>
  <si>
    <t>(+) Depreciation:</t>
  </si>
  <si>
    <t>(+) Amortization of Intangible Assets:</t>
  </si>
  <si>
    <t>(+) Provisions for Credit Losses:</t>
  </si>
  <si>
    <t>(+) Provisions for Other Losses:</t>
  </si>
  <si>
    <t>(+) Shares based expense</t>
  </si>
  <si>
    <t>Changes in Operating Assets and Liabilities:</t>
  </si>
  <si>
    <t>(-) Change due to revaluation</t>
  </si>
  <si>
    <t>(-) Securities:</t>
  </si>
  <si>
    <t>(-) Mandatory Balances with Central Banks:</t>
  </si>
  <si>
    <t>(-) Loans and Advances to Customers:</t>
  </si>
  <si>
    <t>(-) Guarantee deposit</t>
  </si>
  <si>
    <t>(-) Other Assets:</t>
  </si>
  <si>
    <t>(+) Customer Deposits:</t>
  </si>
  <si>
    <t>(+) Other Liabilities:</t>
  </si>
  <si>
    <t>(-) Tax Paid</t>
  </si>
  <si>
    <t>Net Cash Flow from Operations:</t>
  </si>
  <si>
    <t>Investing Activities:</t>
  </si>
  <si>
    <t>(-) Net Purchases of PP&amp;E (CapEx):</t>
  </si>
  <si>
    <t>(-) Purchases of Intangible Assets:</t>
  </si>
  <si>
    <t>(-) Investments in Subsidiaries, Net of Cash:</t>
  </si>
  <si>
    <t>Net Cash Flow from Investing:</t>
  </si>
  <si>
    <t>Financing Activities:</t>
  </si>
  <si>
    <t>(+) Increase in Amounts Due to Banks:</t>
  </si>
  <si>
    <t>(-) Repayment of Lease Principal</t>
  </si>
  <si>
    <t>(+) Increase in Debt issuance:</t>
  </si>
  <si>
    <t>(+) Increase in Subordinated Notes:</t>
  </si>
  <si>
    <t>(+) Proceeds from Common Share Issuances:</t>
  </si>
  <si>
    <t>(-) Common Share repurchase:</t>
  </si>
  <si>
    <t>(+) Dividends to NCI</t>
  </si>
  <si>
    <t>(-) Dividends Paid:</t>
  </si>
  <si>
    <t>Net Cash Flow from Financing:</t>
  </si>
  <si>
    <t>Net Change in Cash:</t>
  </si>
  <si>
    <t>Beginning Cash Balance:</t>
  </si>
  <si>
    <t>Ending Cash Balance:</t>
  </si>
  <si>
    <t>Ending Cash on Balance Sheet:</t>
  </si>
  <si>
    <t>Cash &amp; Cash-Equivalents:</t>
  </si>
  <si>
    <t>Matching Cash Check:</t>
  </si>
  <si>
    <t>Operating Metrics and Ratios:</t>
  </si>
  <si>
    <t>Net Loans / Total Assets:</t>
  </si>
  <si>
    <t>Deposits / Total Liabilities &amp; Equity:</t>
  </si>
  <si>
    <t>Average Interest Rate on IEA:</t>
  </si>
  <si>
    <t>Average Interest on IBL:</t>
  </si>
  <si>
    <t>Projected - Prior to Charge-Offs</t>
  </si>
  <si>
    <t>Loan Portfolio Projections:</t>
  </si>
  <si>
    <t>SME loans</t>
  </si>
  <si>
    <t>Loans to individuals</t>
  </si>
  <si>
    <t>Total Loans and Advances to Customers:</t>
  </si>
  <si>
    <t>Total Loan Portfolio Growth Rate:</t>
  </si>
  <si>
    <t>Russia Nominal GDP:</t>
  </si>
  <si>
    <t>₽ B</t>
  </si>
  <si>
    <t>source: росстат</t>
  </si>
  <si>
    <t>RU GDP Growth Rates:</t>
  </si>
  <si>
    <t>Selected Real GDP Growth Rate:</t>
  </si>
  <si>
    <t>RU CPI:</t>
  </si>
  <si>
    <t>Selected Nominal GDP Growth Rate:</t>
  </si>
  <si>
    <t>Total Addressable Loan Markets by Segment:</t>
  </si>
  <si>
    <t>source: cbr</t>
  </si>
  <si>
    <t>Mortgage</t>
  </si>
  <si>
    <t>Total Addressable Lending Market:</t>
  </si>
  <si>
    <t>Addressable Lending Market Sizes as %'s of Nominal GDP:</t>
  </si>
  <si>
    <t>Charge-Offs &amp; Loan Loss Reserves:</t>
  </si>
  <si>
    <t>Total Provisions for Credit Losses:</t>
  </si>
  <si>
    <t>Allowance for Loan Losses:</t>
  </si>
  <si>
    <t>Beginning Allowance for Loan Losses:</t>
  </si>
  <si>
    <t>(-) Net Charge-Offs:</t>
  </si>
  <si>
    <t>Ending Allowance for Loan Losses:</t>
  </si>
  <si>
    <t>Net Charge-Offs % Average Gross Loans:</t>
  </si>
  <si>
    <t>Provisions for Credit Losses % Average Loan Balances:</t>
  </si>
  <si>
    <t>Gross Loan Balance:</t>
  </si>
  <si>
    <t>Gross Loans, Net of Charge-Offs:</t>
  </si>
  <si>
    <t>Average Loan Balance:</t>
  </si>
  <si>
    <t>Key Metrics &amp; Ratios:</t>
  </si>
  <si>
    <t>Net Charge-Offs  / Reserves:</t>
  </si>
  <si>
    <t>NCO / Prior Year Provision:</t>
  </si>
  <si>
    <t>Dividends and Stock Issuances:</t>
  </si>
  <si>
    <t>Pre-Dividend and Stock Repurchase CET 1:</t>
  </si>
  <si>
    <t>Required CET 1 Capital %:</t>
  </si>
  <si>
    <t>Tier 1 Capital %</t>
  </si>
  <si>
    <t>Total Capital</t>
  </si>
  <si>
    <t>Capital Conservation Buffer:</t>
  </si>
  <si>
    <t>Countercyclical Buffer:</t>
  </si>
  <si>
    <t>Systemically Important Financial Inst. Buffer:</t>
  </si>
  <si>
    <t>Bank's Discretionary Buffer:</t>
  </si>
  <si>
    <t>Targeted  Ratio:</t>
  </si>
  <si>
    <t>Minimum Capital Required:</t>
  </si>
  <si>
    <t>Capital Available for Dividends:</t>
  </si>
  <si>
    <t>Targeted Dividend Payout Ratio:</t>
  </si>
  <si>
    <t>Targeted Dividends:</t>
  </si>
  <si>
    <t>Issued Dividends:</t>
  </si>
  <si>
    <t>Capital Infusion:</t>
  </si>
  <si>
    <t># Shares Issued:</t>
  </si>
  <si>
    <t>Regulatory Capital Calculations:</t>
  </si>
  <si>
    <t>(+) Share Capital</t>
  </si>
  <si>
    <t>(+) Share Premium</t>
  </si>
  <si>
    <t>(-) Treasury Shares</t>
  </si>
  <si>
    <t>(+) Share-Based Premium Reserve</t>
  </si>
  <si>
    <t>(+) Retained Earnings</t>
  </si>
  <si>
    <t>(+) Revaluation reserve</t>
  </si>
  <si>
    <t>(-) Goodwill &amp; Other Intangible Assets:</t>
  </si>
  <si>
    <t>(+) NCI:</t>
  </si>
  <si>
    <t>Common Equity Tier 1 (CET 1):</t>
  </si>
  <si>
    <t>(+) Additional Tier 1 Capital:</t>
  </si>
  <si>
    <t>Tier 1 Capital:</t>
  </si>
  <si>
    <t>% Growth:</t>
  </si>
  <si>
    <t>RWA % Interest-Earning Assets:</t>
  </si>
  <si>
    <t>RWA % Growth:</t>
  </si>
  <si>
    <t>Tangible Assets:</t>
  </si>
  <si>
    <t>PPE, RoUA, Int Assets Projections:</t>
  </si>
  <si>
    <t>Land @ cost</t>
  </si>
  <si>
    <t>(-) Depreciation</t>
  </si>
  <si>
    <t>(+) Net additions</t>
  </si>
  <si>
    <t>(-) Depreciation charge</t>
  </si>
  <si>
    <t>(+) Depreciation on disposed assets</t>
  </si>
  <si>
    <t>Land NBV</t>
  </si>
  <si>
    <t>Building @ cost</t>
  </si>
  <si>
    <t>Building NBV</t>
  </si>
  <si>
    <t>Other Equipment @ cost</t>
  </si>
  <si>
    <t>Other Equipment NBV</t>
  </si>
  <si>
    <t>Right of Use assets b/f</t>
  </si>
  <si>
    <t>(+) Additions</t>
  </si>
  <si>
    <t>Right of Use assets NBV</t>
  </si>
  <si>
    <t>Intangible assets @ cost</t>
  </si>
  <si>
    <t>Intangible assets NBV</t>
  </si>
  <si>
    <t>PPE Drivers</t>
  </si>
  <si>
    <t>Equipment Depreciation %</t>
  </si>
  <si>
    <t>RoU Depreciation %</t>
  </si>
  <si>
    <t>Intangible Depreciation %</t>
  </si>
  <si>
    <t>Equipment Additions % Loans</t>
  </si>
  <si>
    <t>Intangible Additions % Loans</t>
  </si>
  <si>
    <t>RoUI Additions % Loans</t>
  </si>
  <si>
    <t>Deposits Projections:</t>
  </si>
  <si>
    <t>Deposits</t>
  </si>
  <si>
    <t>Individuals</t>
  </si>
  <si>
    <t>Demand deposits</t>
  </si>
  <si>
    <t>Term deposits</t>
  </si>
  <si>
    <t>Legal entities</t>
  </si>
  <si>
    <t>Total Deposits</t>
  </si>
  <si>
    <t>Total Deposits Growth Rate:</t>
  </si>
  <si>
    <t>Total Addressable Deposits Market:</t>
  </si>
  <si>
    <t>Addressable Deposits Market Sizes as %'s of Nominal GDP:</t>
  </si>
  <si>
    <t>Legal Entities</t>
  </si>
  <si>
    <t>LDR</t>
  </si>
  <si>
    <t>Interest expense Projections:</t>
  </si>
  <si>
    <t>Average CBR Rate Spread:</t>
  </si>
  <si>
    <t>Expense</t>
  </si>
  <si>
    <t>% of deposits of individuals</t>
  </si>
  <si>
    <t>Assumptions &amp; Model Output:</t>
  </si>
  <si>
    <t>Undisturbed Share Price:</t>
  </si>
  <si>
    <t>Common Equity Tier 1 (CET 1) Target:</t>
  </si>
  <si>
    <t>Basic Shares Outstanding (Millions):</t>
  </si>
  <si>
    <t>Total:</t>
  </si>
  <si>
    <t>Balance Sheet Drivers:</t>
  </si>
  <si>
    <t>Consumer Loans:</t>
  </si>
  <si>
    <t>Gross Loans Net of Charge-Offs:</t>
  </si>
  <si>
    <t>Growth in Commercial Loans:</t>
  </si>
  <si>
    <t>Growth in Consumer Loans:</t>
  </si>
  <si>
    <t>(+) Provision for Credit Losses:</t>
  </si>
  <si>
    <t>(-) Charge-Offs:</t>
  </si>
  <si>
    <t>(+/-) Other Adjustments:</t>
  </si>
  <si>
    <t>Provision for CLs % Prior Year Gross Loans:</t>
  </si>
  <si>
    <t>Charge-Offs % Prior Year Gross Loans:</t>
  </si>
  <si>
    <t>Assets:</t>
  </si>
  <si>
    <t>Cash % Deposits:</t>
  </si>
  <si>
    <t>Other Assets % Deposits:</t>
  </si>
  <si>
    <t>Other Liabilities % Gross Loans:</t>
  </si>
  <si>
    <t>Federal Funds Calculations:</t>
  </si>
  <si>
    <t>Total Assets + Prior Fed Funds Sold:</t>
  </si>
  <si>
    <t>Total L&amp;E + Prior Fed Funds Purchased:</t>
  </si>
  <si>
    <t>IEA and IBL:</t>
  </si>
  <si>
    <t>Interest-Earning Assets:</t>
  </si>
  <si>
    <t>Total Interest-Earning Assets:</t>
  </si>
  <si>
    <t>Interest-Bearing Liabilities:</t>
  </si>
  <si>
    <t>Total Interest-Bearing Liabilities:</t>
  </si>
  <si>
    <t>Interest Income:</t>
  </si>
  <si>
    <t>(+) Interest Income on Loans:</t>
  </si>
  <si>
    <t>(+) Interest Income on Other Securities:</t>
  </si>
  <si>
    <t>Total Interest Income:</t>
  </si>
  <si>
    <t>Interest Expense:</t>
  </si>
  <si>
    <t>(+) Interest Expense on Deposits:</t>
  </si>
  <si>
    <t>Total Interest Expense:</t>
  </si>
  <si>
    <t>Yield on Prior Year Loans:</t>
  </si>
  <si>
    <t>LIBOR Spread - Yield on Loans:</t>
  </si>
  <si>
    <t>Yield on Prior Year Other Securities:</t>
  </si>
  <si>
    <t>LIBOR Spread - Yield on Other Securities:</t>
  </si>
  <si>
    <t>Interest on Prior Year Deposits:</t>
  </si>
  <si>
    <t>LIBOR Spread - Interest on Deposits:</t>
  </si>
  <si>
    <t>Non-Interest Revenue:</t>
  </si>
  <si>
    <t>(-) Income Tax Provision:</t>
  </si>
  <si>
    <t>Net Income:</t>
  </si>
  <si>
    <t>Weighted Average Common Shares Outstanding:</t>
  </si>
  <si>
    <t>Diluted EPS to Common:</t>
  </si>
  <si>
    <t>$ as Stated</t>
  </si>
  <si>
    <t>#</t>
  </si>
  <si>
    <t>Other Expenses % Revenue:</t>
  </si>
  <si>
    <t>(-) Goodwill:</t>
  </si>
  <si>
    <t>(-) Portion of Intangible Assets:</t>
  </si>
  <si>
    <t>(-) Preferred Stock:</t>
  </si>
  <si>
    <t>Tangible Common Equity:</t>
  </si>
  <si>
    <t>(+) Qualifying Capital Securities:</t>
  </si>
  <si>
    <t>(-) Disallowed Other Intangibles:</t>
  </si>
  <si>
    <t>(+) Qualifying Long-Term Debt:</t>
  </si>
  <si>
    <t>Tier 2 Capital:</t>
  </si>
  <si>
    <t>Total Capital:</t>
  </si>
  <si>
    <t>Risk-Weighted Assets:</t>
  </si>
  <si>
    <t>Allowed Dividends:</t>
  </si>
  <si>
    <t xml:space="preserve"> </t>
  </si>
  <si>
    <t>Asset Growth:</t>
  </si>
  <si>
    <t>Spread:</t>
  </si>
  <si>
    <t>Rosbank Group</t>
  </si>
  <si>
    <t>Subordinated Debt</t>
  </si>
  <si>
    <t>Corporate Loans:</t>
  </si>
  <si>
    <t>Securities % Growth:</t>
  </si>
  <si>
    <t>Gross Loans % Deposits:</t>
  </si>
  <si>
    <t>Due from CBR:</t>
  </si>
  <si>
    <t>PPE % Gross Loans</t>
  </si>
  <si>
    <t>Intangibles % Gross Loans</t>
  </si>
  <si>
    <t>Increase in Due From Banks:</t>
  </si>
  <si>
    <t>Increase in Due To Banks:</t>
  </si>
  <si>
    <t>(+) Interest Income on Banks:</t>
  </si>
  <si>
    <t>Yield on Prior Year Banks:</t>
  </si>
  <si>
    <t>(+) Interest Expense on Banks:</t>
  </si>
  <si>
    <t>(+) Interest Expense on Subordinated Debt:</t>
  </si>
  <si>
    <t>(+) Interest Expense on Debt:</t>
  </si>
  <si>
    <t>Interest on Prior Year Banks:</t>
  </si>
  <si>
    <t>LIBOR Spread - Interest on Banks:</t>
  </si>
  <si>
    <t>Interest on Prior Year Subordinated Debt:</t>
  </si>
  <si>
    <t>LIBOR Spread - Interest on Subordinated Debt:</t>
  </si>
  <si>
    <t>Interest on Prior Year Debt:</t>
  </si>
  <si>
    <t>LIBOR Spread - Interest on Debt:</t>
  </si>
  <si>
    <t>(-) NCI:</t>
  </si>
  <si>
    <t>IS Drivers:</t>
  </si>
  <si>
    <t>Fee and Commission Income % Average Deposits:</t>
  </si>
  <si>
    <t>Other Income % Revenue:</t>
  </si>
  <si>
    <t>Fee and Commission Expense % Average Deposits:</t>
  </si>
  <si>
    <t>Other Provisions % IEA excl Loans:</t>
  </si>
  <si>
    <t>Staff Costs % Revenue:</t>
  </si>
  <si>
    <t>Depreciation % Revenue:</t>
  </si>
  <si>
    <t>Amortization % Revenue:</t>
  </si>
  <si>
    <t>Tier 1 per FS</t>
  </si>
  <si>
    <t>Tier 2 per FS</t>
  </si>
  <si>
    <t>T1 Adj % TCE</t>
  </si>
  <si>
    <t>T2 Adj % TCE</t>
  </si>
  <si>
    <t>Assumptions:</t>
  </si>
  <si>
    <t>Market</t>
  </si>
  <si>
    <t>Adj. Value</t>
  </si>
  <si>
    <t xml:space="preserve">Increase / </t>
  </si>
  <si>
    <t>Amort.</t>
  </si>
  <si>
    <t>Amortization:</t>
  </si>
  <si>
    <t>Balance Sheet Item:</t>
  </si>
  <si>
    <t>Value:</t>
  </si>
  <si>
    <t>at Close:</t>
  </si>
  <si>
    <t>(Decrease):</t>
  </si>
  <si>
    <t>Period:</t>
  </si>
  <si>
    <t>Amount:</t>
  </si>
  <si>
    <t>Gross Loans</t>
  </si>
  <si>
    <t>Targeted Tier 1:</t>
  </si>
  <si>
    <t>CBR Rate:</t>
  </si>
  <si>
    <t>Dividend Discount Model (DDM) - Key Assumptions:</t>
  </si>
  <si>
    <t>Model Assumptions:</t>
  </si>
  <si>
    <t>Cost of Equity:</t>
  </si>
  <si>
    <t>PV of Future Stock Issuances:</t>
  </si>
  <si>
    <t>Estimated # of Future Shares to Be Issued:</t>
  </si>
  <si>
    <t>Total Shares Outstanding:</t>
  </si>
  <si>
    <t>Stub Period Fraction:</t>
  </si>
  <si>
    <t>Terminal Return on TC</t>
  </si>
  <si>
    <t>Terminal Growth Rate</t>
  </si>
  <si>
    <t>Terminal Value - Perpetuity Growth Rate Method:</t>
  </si>
  <si>
    <t>Terminal P / TBV Multiple by ROTCE:</t>
  </si>
  <si>
    <t>Terminal Value:</t>
  </si>
  <si>
    <t>(+) PV of Terminal Value:</t>
  </si>
  <si>
    <t>(-) Additional Tier 1 capital</t>
  </si>
  <si>
    <t>(+) Sum of PV of Dividends:</t>
  </si>
  <si>
    <t>Implied Equity Value:</t>
  </si>
  <si>
    <t>% of Implied Value from PV of TV:</t>
  </si>
  <si>
    <t>Implied Share Price:</t>
  </si>
  <si>
    <t>Bank's Current Share Price:</t>
  </si>
  <si>
    <t>Premium / (Discount) to Current:</t>
  </si>
  <si>
    <t>Dividend Discount Model:</t>
  </si>
  <si>
    <t>Model Phases:</t>
  </si>
  <si>
    <t>Phase 1 - Model Period</t>
  </si>
  <si>
    <t>Phase 2 - Post Model Period</t>
  </si>
  <si>
    <t>Full-Year Dividends:</t>
  </si>
  <si>
    <t>Targeted Payout Ratio:</t>
  </si>
  <si>
    <t>Actual Payout Ratio:</t>
  </si>
  <si>
    <t>Beginning Capital:</t>
  </si>
  <si>
    <t>(+) Net Income to Common:</t>
  </si>
  <si>
    <t>(+) Stock Issuances:</t>
  </si>
  <si>
    <t>(-) Common Dividends:</t>
  </si>
  <si>
    <t>Ending Capital:</t>
  </si>
  <si>
    <t>Targeted Capital Ratio:</t>
  </si>
  <si>
    <t>RWA % Total Assets:</t>
  </si>
  <si>
    <t>Return on Regulatory Capital</t>
  </si>
  <si>
    <t>Discount Period (With Stub Period):</t>
  </si>
  <si>
    <t>Year Frac.</t>
  </si>
  <si>
    <t>PV of Dividends:</t>
  </si>
  <si>
    <t>Cumulative Discount Factor:</t>
  </si>
  <si>
    <t>Actual Tier 1 Ratio:</t>
  </si>
  <si>
    <t>Transaction Assumptions:</t>
  </si>
  <si>
    <t>Seller's Undisturbed Share Price:</t>
  </si>
  <si>
    <t xml:space="preserve">Pre-Tax </t>
  </si>
  <si>
    <t xml:space="preserve">After-Tax </t>
  </si>
  <si>
    <t>Premium Paid to Target's Share Price:</t>
  </si>
  <si>
    <t>Acquisition Funding:</t>
  </si>
  <si>
    <t>%:</t>
  </si>
  <si>
    <t>Cost:</t>
  </si>
  <si>
    <t>Offer Price per Share:</t>
  </si>
  <si>
    <t>Equity Purchase Price:</t>
  </si>
  <si>
    <t>Common Equity:</t>
  </si>
  <si>
    <t>Acquisition Close Date:</t>
  </si>
  <si>
    <t>New Shares Issued (Millions):</t>
  </si>
  <si>
    <t>Weighted Average Acquisition Cost:</t>
  </si>
  <si>
    <t>Target's "Yield":</t>
  </si>
  <si>
    <t>% Cash Consideration:</t>
  </si>
  <si>
    <t>Cash Consideration per Share:</t>
  </si>
  <si>
    <t>Fees:</t>
  </si>
  <si>
    <t>Treatment:</t>
  </si>
  <si>
    <t>Advisory Fee %:</t>
  </si>
  <si>
    <t>Stock Consideration per Share:</t>
  </si>
  <si>
    <t>Debt Issuance Fee %:</t>
  </si>
  <si>
    <t>Total Stock Consideration:</t>
  </si>
  <si>
    <t>Legal and Other Fees:</t>
  </si>
  <si>
    <t>Total Fees:</t>
  </si>
  <si>
    <t>Implied Exchange Ratio:</t>
  </si>
  <si>
    <t>Exchange Ratio @ 100.0% Common Equity Funding:</t>
  </si>
  <si>
    <t>Synergy Assumptions:</t>
  </si>
  <si>
    <t>Revenue Synergies % Seller's Net Revenue:</t>
  </si>
  <si>
    <t>Revenue Synergy Pre-Tax Margin:</t>
  </si>
  <si>
    <t>Cost Synergies % Seller's Non-Interest Expense:</t>
  </si>
  <si>
    <t>% Cost Synergies Realized in Year 1:</t>
  </si>
  <si>
    <t>% Cost Synergies Realized in Year 2:</t>
  </si>
  <si>
    <t>% Cost Synergies Realized in Year 3:</t>
  </si>
  <si>
    <t>Merger &amp; Integration Costs % Cost Synergies:</t>
  </si>
  <si>
    <t>Current</t>
  </si>
  <si>
    <t>Offer</t>
  </si>
  <si>
    <t>Valuation Multiples:</t>
  </si>
  <si>
    <t>Price:</t>
  </si>
  <si>
    <t>Buyer:</t>
  </si>
  <si>
    <t>Sources &amp; Uses of Funds:</t>
  </si>
  <si>
    <t>Sources:</t>
  </si>
  <si>
    <t>Uses:</t>
  </si>
  <si>
    <t>Equity Purchase Price of Target:</t>
  </si>
  <si>
    <t>Transaction Fees:</t>
  </si>
  <si>
    <t>Common Stock Issued:</t>
  </si>
  <si>
    <t>Financing Fees:</t>
  </si>
  <si>
    <t>Cash for Transaction Fees:</t>
  </si>
  <si>
    <t>Total Uses:</t>
  </si>
  <si>
    <t>Total Sources:</t>
  </si>
  <si>
    <t>CHECK:</t>
  </si>
  <si>
    <t>Purchase Price Allocation:</t>
  </si>
  <si>
    <t>Goodwill Calculation:</t>
  </si>
  <si>
    <t>Core Deposit Intangibles:</t>
  </si>
  <si>
    <t>Total Goodwill Created:</t>
  </si>
  <si>
    <t>Transaction Adjustments</t>
  </si>
  <si>
    <t>Pro-Forma</t>
  </si>
  <si>
    <t>Seller:</t>
  </si>
  <si>
    <t>Debit:</t>
  </si>
  <si>
    <t>Credit:</t>
  </si>
  <si>
    <t>Combined Company - Federal Funds Calculations:</t>
  </si>
  <si>
    <t>(+/-) Impact of Federal Funding Differential:</t>
  </si>
  <si>
    <t>(+) Revenue Synergies:</t>
  </si>
  <si>
    <t>(+) Expense Synergies:</t>
  </si>
  <si>
    <t>(-) Expenses Associated with Revenue Synergies:</t>
  </si>
  <si>
    <t>(-) New CDI Amortization:</t>
  </si>
  <si>
    <t>(-) Restructuring and Merger Integration Costs:</t>
  </si>
  <si>
    <t>(+/-) Amortization of Mark-to-Market Adjustments:</t>
  </si>
  <si>
    <t>Buyer - Weighted Average Shares Outstanding:</t>
  </si>
  <si>
    <t>New Shares Issued in Deal:</t>
  </si>
  <si>
    <t>New Shares Issued from Capital Infusion:</t>
  </si>
  <si>
    <t>Weighted Average Common Shares Post-Deal:</t>
  </si>
  <si>
    <t>Buyer's Standalone EPS to Common:</t>
  </si>
  <si>
    <t>EPS Accretion / (Dilution) - %:</t>
  </si>
  <si>
    <t>Dividends per Share:</t>
  </si>
  <si>
    <t>Buyer's Standalone Dividends per Share:</t>
  </si>
  <si>
    <t>DPS Accretion / (Dilution) - %:</t>
  </si>
  <si>
    <t>Diluted BV per Share:</t>
  </si>
  <si>
    <t>Buyer's Standalone BV per Share:</t>
  </si>
  <si>
    <t>BVPS Accretion / (Dilution) - %:</t>
  </si>
  <si>
    <t>Diluted TBV per Share:</t>
  </si>
  <si>
    <t>Buyer's Standalone TBV per Share:</t>
  </si>
  <si>
    <t>TBVPS Accretion / (Dilution) - %:</t>
  </si>
  <si>
    <t>Common Equity Tier 1 Ratio:</t>
  </si>
  <si>
    <t>Targeted CET 1:</t>
  </si>
  <si>
    <t>Sensitivity Analyses - Year 2 EPS Accretion / (Dilution):</t>
  </si>
  <si>
    <t>Purchase Premium to Seller's Undisturbed Share Price:</t>
  </si>
  <si>
    <t>(RUB in Millions Except Per Share and Per Unit Data)</t>
  </si>
  <si>
    <t>Targeted Dividends</t>
  </si>
  <si>
    <t>No</t>
  </si>
  <si>
    <t>Yes</t>
  </si>
  <si>
    <t>Tier 1 Target:</t>
  </si>
  <si>
    <t xml:space="preserve"> - incl preffered stock</t>
  </si>
  <si>
    <t>Pref dividends @ 7%</t>
  </si>
  <si>
    <t>Share Purchased</t>
  </si>
  <si>
    <t>Preffered shares</t>
  </si>
  <si>
    <t>Total Cash Consideration:</t>
  </si>
  <si>
    <t>Cash:</t>
  </si>
  <si>
    <t>Debt:</t>
  </si>
  <si>
    <t>Cash for Purchase Consideration:</t>
  </si>
  <si>
    <t>Debt Issued:</t>
  </si>
  <si>
    <t>(-) Net Assets:</t>
  </si>
  <si>
    <t>(+/-) FVA:</t>
  </si>
  <si>
    <t>(-) Recokgnised Intangibles:</t>
  </si>
  <si>
    <t>(-) Core Deposit Intangible:</t>
  </si>
  <si>
    <t>(+/-) New DT:</t>
  </si>
  <si>
    <t>Goodwill</t>
  </si>
  <si>
    <t>CDI</t>
  </si>
  <si>
    <t>Subordinated debt</t>
  </si>
  <si>
    <t>New Deferred Tax</t>
  </si>
  <si>
    <t>Deferred Tax</t>
  </si>
  <si>
    <t>Journal Entries</t>
  </si>
  <si>
    <t>Dr</t>
  </si>
  <si>
    <t>Cr</t>
  </si>
  <si>
    <t>Check</t>
  </si>
  <si>
    <t>New Debt Issued</t>
  </si>
  <si>
    <t>(+/-) Impact of Wholesale Funding Differential:</t>
  </si>
  <si>
    <t>(+) Loan Amortization:</t>
  </si>
  <si>
    <t>(+) Securities Amortization:</t>
  </si>
  <si>
    <t>(-) Interest Expense on New Debt:</t>
  </si>
  <si>
    <t>EPS Accretion / (Dilution) - ₽:</t>
  </si>
  <si>
    <t>DPS Accretion / (Dilution) - ₽:</t>
  </si>
  <si>
    <t>BVPS Accretion / (Dilution) - ₽:</t>
  </si>
  <si>
    <t>TBVPS Accretion / (Dilution) - ₽:</t>
  </si>
  <si>
    <t>₽ as Stated</t>
  </si>
  <si>
    <t>(+) Additional Tier 2 Capital:</t>
  </si>
  <si>
    <t>to NCI</t>
  </si>
  <si>
    <t>to Common</t>
  </si>
  <si>
    <t>Total L&amp;E + Prior Due to:</t>
  </si>
  <si>
    <t>Total Assets + Prior Due from:</t>
  </si>
  <si>
    <t>Increase in Due from:</t>
  </si>
  <si>
    <t>Buyer - Interest on Due from:</t>
  </si>
  <si>
    <t>Buyer - Interest on Due to:</t>
  </si>
  <si>
    <t>(+) Buyer - Standalone Due from:</t>
  </si>
  <si>
    <t>(+) Seller - Standalone Federal Due from:</t>
  </si>
  <si>
    <t>Total Due from:</t>
  </si>
  <si>
    <t>(+) Buyer - Standalone Due to:</t>
  </si>
  <si>
    <t>(+) Seller - Standalone Federal Due to:</t>
  </si>
  <si>
    <t>Total Due to:</t>
  </si>
  <si>
    <t>Increase in Due to:</t>
  </si>
  <si>
    <t>Pre-Tax Impact Wholesale Funding:</t>
  </si>
  <si>
    <t>Due from diff</t>
  </si>
  <si>
    <t>Due to diff</t>
  </si>
  <si>
    <t>Relative Contribution Analysis:</t>
  </si>
  <si>
    <t>Contribution (%):</t>
  </si>
  <si>
    <t>Implied Figures in 100% Stock Deal:</t>
  </si>
  <si>
    <t>Exchange</t>
  </si>
  <si>
    <t>Purchase</t>
  </si>
  <si>
    <t>Variance to</t>
  </si>
  <si>
    <t>Equity Value:</t>
  </si>
  <si>
    <t>Pro-Forma:</t>
  </si>
  <si>
    <t>Ratio:</t>
  </si>
  <si>
    <t>Offer Price:</t>
  </si>
  <si>
    <t>Undisturbed Equity Value:</t>
  </si>
  <si>
    <t>Net Income to Common After Synergies (After-Tax Synergies Are Credited 100% to the Seller; Ignores All Other Acquisition Effects):</t>
  </si>
  <si>
    <t>Balance Sheet Items as of Transaction Close Date (Ignores Acquisition Effects Such as Deposit Divestitures, New Goodwill and CDI, etc.):</t>
  </si>
  <si>
    <t>Total Deposits:</t>
  </si>
  <si>
    <t>Regulatory Capital Items as of Transaction Close Date (Ignores Acquisition Effects Such as Deposit Divestitures, New Goodwill and CDI, etc.):</t>
  </si>
  <si>
    <t>Data for Use in Charts:</t>
  </si>
  <si>
    <t>Implied Price:</t>
  </si>
  <si>
    <t>Contribution (₽):</t>
  </si>
  <si>
    <t>Synergy and IRR Assumptions:</t>
  </si>
  <si>
    <t>Long-Term Revenue Synergy Growth Rate:</t>
  </si>
  <si>
    <t>Long-Term Revenue Synergy Pre-Tax Margin:</t>
  </si>
  <si>
    <t>Long-Term Growth Rate in Seller's Non-Interest Expense:</t>
  </si>
  <si>
    <t>Acquisition Benefits / (Expenses) from Synergies - Cash Only:</t>
  </si>
  <si>
    <t>Pre-Tax Acquisition Benefits / (Expenses):</t>
  </si>
  <si>
    <t>(-) Income Taxes:</t>
  </si>
  <si>
    <t>After-Tax Acquisition Benefits / (Expenses):</t>
  </si>
  <si>
    <t>(+) Terminal Value of Synergies:</t>
  </si>
  <si>
    <t>Net Synergy Cash Flows:</t>
  </si>
  <si>
    <t>Net Present Value of After-Tax Synergies:</t>
  </si>
  <si>
    <t>% of Deal Value:</t>
  </si>
  <si>
    <t>Internal Rate of Return (IRR):</t>
  </si>
  <si>
    <t>Seller's Net Income to Common:</t>
  </si>
  <si>
    <t>(+/-) After-Tax Adjustments:</t>
  </si>
  <si>
    <t>Seller's Adjusted Net Income to Common:</t>
  </si>
  <si>
    <t>Growth Rate in Combined Dividends Issued:</t>
  </si>
  <si>
    <t>Growth Rate in Buyer Standalone Dividends:</t>
  </si>
  <si>
    <t>IRR Calculation:</t>
  </si>
  <si>
    <t>(-) Equity Purchase Price:</t>
  </si>
  <si>
    <t>(-) Capital Infusion Into Target:</t>
  </si>
  <si>
    <t>(+) Dividends Issued:</t>
  </si>
  <si>
    <t>(-) Buyer Standalone Dividends:</t>
  </si>
  <si>
    <t>(+) Terminal Value of Seller's Net Income:</t>
  </si>
  <si>
    <t>Net Cash Flows:</t>
  </si>
  <si>
    <t>Sensitivity Analyses - NPV of After-Tax Synergies % Deal Value:</t>
  </si>
  <si>
    <t>Acquirer - Discount Rate (Cost of Equity):</t>
  </si>
  <si>
    <t>P / E Multiple Applied to After-Tax Acquisition Effects:</t>
  </si>
  <si>
    <t>Sensitivity Analyses - Internal Rate of Return (IRR):</t>
  </si>
  <si>
    <t>Equity Purchase Price of Seller:</t>
  </si>
  <si>
    <t>Amortized</t>
  </si>
  <si>
    <t>Expensed</t>
  </si>
  <si>
    <t>(+/-) Impact of Whiolesale Funding Differential:</t>
  </si>
  <si>
    <t>Terminal growth</t>
  </si>
  <si>
    <t>Transaction Summary and Key Terms:</t>
  </si>
  <si>
    <t>Acquirer / Target:</t>
  </si>
  <si>
    <t>Implied Purchase Price:</t>
  </si>
  <si>
    <t>Transaction IRR:</t>
  </si>
  <si>
    <t>NPV of Synergies % Deal Value:</t>
  </si>
  <si>
    <t>Purchase Consideration:</t>
  </si>
  <si>
    <t>Cost Savings:</t>
  </si>
  <si>
    <t>Restructuring Charge:</t>
  </si>
  <si>
    <t>100.0% Realized in Year 1; Nothing Thereafter</t>
  </si>
  <si>
    <t>Asset/Liability Marks:</t>
  </si>
  <si>
    <t>Weighted Acquisition Cost:</t>
  </si>
  <si>
    <t>Financial Metrics and Ratios:</t>
  </si>
  <si>
    <t>Acquirer:</t>
  </si>
  <si>
    <t>Target:</t>
  </si>
  <si>
    <t>Combined:</t>
  </si>
  <si>
    <t>Return on Tangible Common Equity (ROTCE):</t>
  </si>
  <si>
    <t>Pre-Tax Acquisition Effects:</t>
  </si>
  <si>
    <t>Total Impact of Acquisition on Pre-Tax Income:</t>
  </si>
  <si>
    <t>Accretion / (Dilution):</t>
  </si>
  <si>
    <t>Common Equity Tier 1 (CET 1) Ratio:</t>
  </si>
  <si>
    <t>$567 Million (Pre-Tax), or 137.5% of Full Cost Synergies</t>
  </si>
  <si>
    <t>None Assumed</t>
  </si>
  <si>
    <t/>
  </si>
  <si>
    <t>Terminal P / E Multiple:</t>
  </si>
  <si>
    <t>(Based on Additional Dividends Issued Over 10 Years; Target Net Income Capitalized at 4.8x)</t>
  </si>
  <si>
    <t>(Assuming Cost of Equity of 15.9% for the Acquirer and Synergies Capitalized at 4.8x)</t>
  </si>
  <si>
    <t>63.2% Common Stock, 10.0% Cash, Debt 26.8%</t>
  </si>
  <si>
    <t>Divestitures:</t>
  </si>
  <si>
    <t>Net Cash Synergy Valuation:</t>
  </si>
  <si>
    <t>Terminal P / E Multiple Applied to Net Income:</t>
  </si>
  <si>
    <t>Combined Company - Targeted Tier 1 Ratio:</t>
  </si>
  <si>
    <t>(-) Funding Costs - New Debt: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</si>
</sst>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_(* #,##0.0_);_(* \(#,##0.0\);_(* &quot;-&quot;_);_(@_)"/>
    <numFmt numFmtId="166" formatCode="yyyy"/>
    <numFmt numFmtId="167" formatCode="0.0%_);\(0.0%\);\-_%_);@_)"/>
    <numFmt numFmtId="168" formatCode="0.00%_);\(0.00%\);\-_%_);@_)"/>
    <numFmt numFmtId="169" formatCode="_(* #,##0.0_);_(* \(#,##0.0\);_(* &quot;-&quot;?_);_(@_)"/>
    <numFmt numFmtId="170" formatCode="_(\Р* #,##0.0_);_(\£* \(#,##0.0\);_(\£* &quot;-&quot;??_);_(@_)"/>
    <numFmt numFmtId="171" formatCode="yyyy\-mm\-dd"/>
    <numFmt numFmtId="172" formatCode="#,##0_);\(#,##0\);\-_);@_)"/>
    <numFmt numFmtId="173" formatCode="&quot;Yes&quot;_);;&quot;No&quot;_)"/>
    <numFmt numFmtId="174" formatCode="0.0%"/>
    <numFmt numFmtId="175" formatCode="0.00%;\(0.00%\)"/>
    <numFmt numFmtId="176" formatCode="_(* #,##0.0_);_(* \(#,##0.0\);_(* &quot;-&quot;??_);_(@_)"/>
    <numFmt numFmtId="177" formatCode="#,##0.0"/>
    <numFmt numFmtId="178" formatCode="_(\£* #,##0.0_);_(\£* \(#,##0.0\);_(\£* &quot;-&quot;??_);_(@_)"/>
    <numFmt numFmtId="179" formatCode="&quot;$&quot;#,##0.0_);\(&quot;$&quot;#,##0.0\);&quot;OK!&quot;;&quot;ERROR&quot;"/>
    <numFmt numFmtId="180" formatCode="#,##0.0_);\(#,##0.0\);\-_);@_)"/>
    <numFmt numFmtId="181" formatCode="_(&quot;$&quot;* #,##0.0_);_(&quot;$&quot;* \(#,##0.0\);_(&quot;$&quot;* &quot;-&quot;_);_(@_)"/>
    <numFmt numFmtId="182" formatCode="_-* #,##0.0_-;\-* #,##0.0_-;_-* &quot;-&quot;_-;_-@_-"/>
    <numFmt numFmtId="183" formatCode="&quot;$&quot;#,##0.000_);\(&quot;$&quot;#,##0.000\);&quot;OK!&quot;;&quot;ERROR&quot;"/>
    <numFmt numFmtId="184" formatCode="_(\₽* #,##0.0_);_(\₽* \(#,##0.0\);_(\₽* &quot;-&quot;??_);_(@_)"/>
    <numFmt numFmtId="185" formatCode="_-* #,##0.0_-;\-* #,##0.0_-;_-* &quot;-&quot;??_-;_-@_-"/>
    <numFmt numFmtId="186" formatCode="_(* #,##0_);_(* \(#,##0\);_(* &quot;-&quot;??_);_(@_)"/>
    <numFmt numFmtId="187" formatCode="0.0%;\(0.0%\)"/>
    <numFmt numFmtId="188" formatCode="_(* #,##0.00_);_(* \(#,##0.00\);_(* &quot;-&quot;_);_(@_)"/>
    <numFmt numFmtId="189" formatCode="_(* #,##0.000_);_(* \(#,##0.000\);_(* &quot;-&quot;???_);_(@_)"/>
    <numFmt numFmtId="190" formatCode="_(&quot;$&quot;* #,##0.0_);_(&quot;$&quot;* \(#,##0.0\);_(&quot;$&quot;* &quot;-&quot;?_);_(@_)"/>
    <numFmt numFmtId="191" formatCode="_-* #,##0.00\ [$€-40C]_-;\-* #,##0.00\ [$€-40C]_-;_-* &quot;-&quot;??\ [$€-40C]_-;_-@_-"/>
    <numFmt numFmtId="192" formatCode="0.0"/>
    <numFmt numFmtId="193" formatCode="0.0_);\(0.0\)"/>
    <numFmt numFmtId="194" formatCode="_(* #,##0.00_);_(* \(#,##0.00\);_(* &quot;-&quot;???_);_(@_)"/>
    <numFmt numFmtId="195" formatCode="0.000"/>
    <numFmt numFmtId="196" formatCode="0.00\ \x;\(0.00\ \x\)"/>
    <numFmt numFmtId="197" formatCode="_(\£* #,##0.00_);_(\£* \(#,##0.00\);_(\£* &quot;-&quot;??_);_(@_)"/>
    <numFmt numFmtId="198" formatCode="#,##0.00_);\(#,##0.00\);\-_);@_)"/>
    <numFmt numFmtId="199" formatCode="#,##0.00%_);\(#,##0.00%\);\-_);@_)"/>
    <numFmt numFmtId="200" formatCode="0.0000\ \x;\(0.0000\ \x\)"/>
    <numFmt numFmtId="201" formatCode="_(&quot;$&quot;* #,##0.0_);_(&quot;$&quot;* \(#,##0.0\);_(&quot;$&quot;* &quot;-&quot;??_);_(@_)"/>
    <numFmt numFmtId="202" formatCode="0.0\ \x_);\(0.0\ \x\);\-_);@_)"/>
    <numFmt numFmtId="203" formatCode="_([$RUB]\ * #,##0.00_);_([$RUB]\ * \(#,##0.00\);_([$RUB]\ * &quot;-&quot;??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u/>
      <sz val="12"/>
      <color rgb="FFFFFFFF"/>
      <name val="Arial"/>
      <family val="2"/>
    </font>
    <font>
      <u/>
      <sz val="12"/>
      <color rgb="FFFFFFFF"/>
      <name val="Arial"/>
      <family val="2"/>
    </font>
    <font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1"/>
      <color rgb="FFFFFFFF"/>
      <name val="Arial"/>
      <family val="2"/>
    </font>
    <font>
      <u/>
      <sz val="11"/>
      <color rgb="FFFFFFFF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FF"/>
      <name val="Calibri"/>
      <family val="2"/>
    </font>
    <font>
      <sz val="11"/>
      <color theme="0" tint="-0.14999847407452621"/>
      <name val="Calibri"/>
      <family val="2"/>
      <scheme val="minor"/>
    </font>
    <font>
      <sz val="12"/>
      <color rgb="FF00B050"/>
      <name val="Calibri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theme="0" tint="-0.249977111117893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8" fillId="0" borderId="0"/>
    <xf numFmtId="0" fontId="1" fillId="0" borderId="0"/>
    <xf numFmtId="0" fontId="1" fillId="7" borderId="1" applyNumberFormat="0" applyFont="0" applyAlignment="0" applyProtection="0"/>
  </cellStyleXfs>
  <cellXfs count="715">
    <xf numFmtId="0" fontId="0" fillId="0" borderId="0" xfId="0"/>
    <xf numFmtId="0" fontId="4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4" fillId="4" borderId="4" xfId="0" applyFont="1" applyFill="1" applyBorder="1"/>
    <xf numFmtId="0" fontId="7" fillId="4" borderId="4" xfId="0" applyFont="1" applyFill="1" applyBorder="1"/>
    <xf numFmtId="0" fontId="0" fillId="4" borderId="4" xfId="0" applyFill="1" applyBorder="1"/>
    <xf numFmtId="0" fontId="0" fillId="0" borderId="0" xfId="0" applyAlignment="1">
      <alignment horizontal="left" indent="1"/>
    </xf>
    <xf numFmtId="0" fontId="7" fillId="0" borderId="0" xfId="0" applyFont="1" applyAlignment="1">
      <alignment horizontal="center"/>
    </xf>
    <xf numFmtId="165" fontId="8" fillId="0" borderId="0" xfId="0" applyNumberFormat="1" applyFont="1"/>
    <xf numFmtId="0" fontId="7" fillId="0" borderId="4" xfId="0" applyFont="1" applyBorder="1" applyAlignment="1">
      <alignment horizontal="center"/>
    </xf>
    <xf numFmtId="165" fontId="8" fillId="0" borderId="4" xfId="0" applyNumberFormat="1" applyFont="1" applyBorder="1"/>
    <xf numFmtId="0" fontId="0" fillId="0" borderId="6" xfId="0" applyBorder="1" applyAlignment="1">
      <alignment horizontal="left"/>
    </xf>
    <xf numFmtId="165" fontId="10" fillId="0" borderId="0" xfId="0" applyNumberFormat="1" applyFont="1"/>
    <xf numFmtId="165" fontId="1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8" fontId="8" fillId="0" borderId="0" xfId="0" applyNumberFormat="1" applyFont="1" applyAlignment="1">
      <alignment horizontal="right"/>
    </xf>
    <xf numFmtId="167" fontId="8" fillId="0" borderId="0" xfId="0" applyNumberFormat="1" applyFont="1"/>
    <xf numFmtId="0" fontId="7" fillId="0" borderId="0" xfId="0" applyFont="1"/>
    <xf numFmtId="0" fontId="2" fillId="2" borderId="4" xfId="0" applyFont="1" applyFill="1" applyBorder="1"/>
    <xf numFmtId="0" fontId="13" fillId="5" borderId="1" xfId="0" applyFont="1" applyFill="1" applyBorder="1" applyAlignment="1">
      <alignment horizontal="centerContinuous"/>
    </xf>
    <xf numFmtId="0" fontId="13" fillId="5" borderId="1" xfId="0" applyFont="1" applyFill="1" applyBorder="1" applyAlignment="1">
      <alignment horizontal="center"/>
    </xf>
    <xf numFmtId="169" fontId="13" fillId="5" borderId="7" xfId="0" applyNumberFormat="1" applyFont="1" applyFill="1" applyBorder="1"/>
    <xf numFmtId="170" fontId="13" fillId="5" borderId="1" xfId="0" applyNumberFormat="1" applyFont="1" applyFill="1" applyBorder="1"/>
    <xf numFmtId="171" fontId="13" fillId="5" borderId="1" xfId="0" applyNumberFormat="1" applyFont="1" applyFill="1" applyBorder="1" applyAlignment="1">
      <alignment horizontal="center"/>
    </xf>
    <xf numFmtId="167" fontId="13" fillId="5" borderId="1" xfId="0" applyNumberFormat="1" applyFont="1" applyFill="1" applyBorder="1" applyAlignment="1">
      <alignment horizontal="center"/>
    </xf>
    <xf numFmtId="172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173" fontId="13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68" fontId="15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0" fillId="0" borderId="0" xfId="0" applyAlignment="1">
      <alignment horizontal="left" indent="2"/>
    </xf>
    <xf numFmtId="168" fontId="0" fillId="0" borderId="0" xfId="0" applyNumberFormat="1" applyAlignment="1">
      <alignment horizontal="right"/>
    </xf>
    <xf numFmtId="168" fontId="13" fillId="5" borderId="8" xfId="0" applyNumberFormat="1" applyFont="1" applyFill="1" applyBorder="1" applyAlignment="1">
      <alignment horizontal="right"/>
    </xf>
    <xf numFmtId="0" fontId="16" fillId="0" borderId="0" xfId="0" applyFont="1"/>
    <xf numFmtId="168" fontId="13" fillId="5" borderId="1" xfId="0" applyNumberFormat="1" applyFont="1" applyFill="1" applyBorder="1" applyAlignment="1">
      <alignment horizontal="right"/>
    </xf>
    <xf numFmtId="0" fontId="4" fillId="4" borderId="9" xfId="0" applyFont="1" applyFill="1" applyBorder="1" applyAlignment="1">
      <alignment horizontal="left"/>
    </xf>
    <xf numFmtId="0" fontId="0" fillId="4" borderId="9" xfId="0" applyFill="1" applyBorder="1" applyAlignment="1">
      <alignment horizontal="centerContinuous"/>
    </xf>
    <xf numFmtId="174" fontId="0" fillId="0" borderId="0" xfId="0" applyNumberFormat="1"/>
    <xf numFmtId="175" fontId="0" fillId="0" borderId="0" xfId="0" applyNumberFormat="1"/>
    <xf numFmtId="175" fontId="4" fillId="0" borderId="0" xfId="0" applyNumberFormat="1" applyFont="1"/>
    <xf numFmtId="43" fontId="0" fillId="0" borderId="0" xfId="0" applyNumberFormat="1"/>
    <xf numFmtId="0" fontId="0" fillId="0" borderId="6" xfId="0" applyBorder="1"/>
    <xf numFmtId="165" fontId="0" fillId="0" borderId="6" xfId="0" applyNumberFormat="1" applyBorder="1"/>
    <xf numFmtId="165" fontId="0" fillId="0" borderId="0" xfId="0" applyNumberFormat="1"/>
    <xf numFmtId="0" fontId="0" fillId="0" borderId="4" xfId="0" applyBorder="1" applyAlignment="1">
      <alignment horizontal="left"/>
    </xf>
    <xf numFmtId="0" fontId="0" fillId="0" borderId="4" xfId="0" applyBorder="1"/>
    <xf numFmtId="165" fontId="0" fillId="0" borderId="4" xfId="0" applyNumberFormat="1" applyBorder="1"/>
    <xf numFmtId="0" fontId="17" fillId="0" borderId="0" xfId="0" applyFont="1" applyAlignment="1">
      <alignment horizontal="center"/>
    </xf>
    <xf numFmtId="9" fontId="0" fillId="0" borderId="0" xfId="0" applyNumberFormat="1"/>
    <xf numFmtId="0" fontId="0" fillId="0" borderId="4" xfId="0" applyBorder="1" applyAlignment="1">
      <alignment horizontal="left" indent="1"/>
    </xf>
    <xf numFmtId="165" fontId="10" fillId="0" borderId="4" xfId="0" applyNumberFormat="1" applyFont="1" applyBorder="1"/>
    <xf numFmtId="165" fontId="4" fillId="0" borderId="0" xfId="0" applyNumberFormat="1" applyFont="1"/>
    <xf numFmtId="176" fontId="0" fillId="0" borderId="0" xfId="0" applyNumberFormat="1"/>
    <xf numFmtId="167" fontId="13" fillId="5" borderId="1" xfId="0" applyNumberFormat="1" applyFont="1" applyFill="1" applyBorder="1" applyAlignment="1">
      <alignment horizontal="right"/>
    </xf>
    <xf numFmtId="168" fontId="13" fillId="0" borderId="0" xfId="0" applyNumberFormat="1" applyFont="1" applyAlignment="1">
      <alignment horizontal="right"/>
    </xf>
    <xf numFmtId="10" fontId="0" fillId="0" borderId="0" xfId="0" applyNumberFormat="1"/>
    <xf numFmtId="165" fontId="13" fillId="0" borderId="0" xfId="0" applyNumberFormat="1" applyFont="1"/>
    <xf numFmtId="165" fontId="15" fillId="0" borderId="0" xfId="0" applyNumberFormat="1" applyFont="1"/>
    <xf numFmtId="0" fontId="0" fillId="0" borderId="4" xfId="0" applyBorder="1" applyAlignment="1">
      <alignment horizontal="left" indent="2"/>
    </xf>
    <xf numFmtId="165" fontId="13" fillId="0" borderId="4" xfId="0" applyNumberFormat="1" applyFont="1" applyBorder="1"/>
    <xf numFmtId="165" fontId="15" fillId="0" borderId="4" xfId="0" applyNumberFormat="1" applyFont="1" applyBorder="1"/>
    <xf numFmtId="0" fontId="4" fillId="0" borderId="0" xfId="0" applyFont="1" applyAlignment="1">
      <alignment horizontal="left" indent="1"/>
    </xf>
    <xf numFmtId="0" fontId="4" fillId="0" borderId="6" xfId="0" applyFont="1" applyBorder="1" applyAlignment="1">
      <alignment horizontal="left"/>
    </xf>
    <xf numFmtId="165" fontId="11" fillId="0" borderId="6" xfId="0" applyNumberFormat="1" applyFont="1" applyBorder="1"/>
    <xf numFmtId="167" fontId="18" fillId="0" borderId="0" xfId="0" applyNumberFormat="1" applyFont="1" applyAlignment="1">
      <alignment horizontal="right"/>
    </xf>
    <xf numFmtId="167" fontId="18" fillId="0" borderId="4" xfId="0" applyNumberFormat="1" applyFont="1" applyBorder="1" applyAlignment="1">
      <alignment horizontal="right"/>
    </xf>
    <xf numFmtId="167" fontId="19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6" fillId="0" borderId="0" xfId="0" applyFont="1"/>
    <xf numFmtId="167" fontId="13" fillId="0" borderId="0" xfId="0" applyNumberFormat="1" applyFont="1" applyAlignment="1">
      <alignment horizontal="right"/>
    </xf>
    <xf numFmtId="177" fontId="18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4" fillId="0" borderId="6" xfId="0" applyFont="1" applyBorder="1"/>
    <xf numFmtId="167" fontId="13" fillId="5" borderId="8" xfId="0" applyNumberFormat="1" applyFont="1" applyFill="1" applyBorder="1" applyAlignment="1">
      <alignment horizontal="right"/>
    </xf>
    <xf numFmtId="167" fontId="19" fillId="0" borderId="4" xfId="0" applyNumberFormat="1" applyFont="1" applyBorder="1" applyAlignment="1">
      <alignment horizontal="right"/>
    </xf>
    <xf numFmtId="167" fontId="13" fillId="5" borderId="10" xfId="0" applyNumberFormat="1" applyFont="1" applyFill="1" applyBorder="1" applyAlignment="1">
      <alignment horizontal="right"/>
    </xf>
    <xf numFmtId="176" fontId="18" fillId="0" borderId="0" xfId="1" applyNumberFormat="1" applyFont="1" applyFill="1" applyAlignment="1">
      <alignment horizontal="right"/>
    </xf>
    <xf numFmtId="176" fontId="10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4" fontId="18" fillId="0" borderId="0" xfId="0" applyNumberFormat="1" applyFont="1" applyAlignment="1">
      <alignment horizontal="right"/>
    </xf>
    <xf numFmtId="176" fontId="19" fillId="0" borderId="0" xfId="1" applyNumberFormat="1" applyFont="1" applyFill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176" fontId="9" fillId="0" borderId="0" xfId="1" applyNumberFormat="1" applyFont="1" applyFill="1" applyAlignment="1">
      <alignment horizontal="right"/>
    </xf>
    <xf numFmtId="174" fontId="10" fillId="0" borderId="0" xfId="0" applyNumberFormat="1" applyFont="1"/>
    <xf numFmtId="0" fontId="20" fillId="0" borderId="0" xfId="0" applyFont="1"/>
    <xf numFmtId="0" fontId="21" fillId="0" borderId="0" xfId="0" applyFont="1" applyAlignment="1">
      <alignment horizontal="left" indent="1"/>
    </xf>
    <xf numFmtId="169" fontId="0" fillId="0" borderId="0" xfId="0" applyNumberFormat="1"/>
    <xf numFmtId="178" fontId="0" fillId="0" borderId="0" xfId="0" applyNumberFormat="1"/>
    <xf numFmtId="178" fontId="4" fillId="0" borderId="0" xfId="0" applyNumberFormat="1" applyFont="1"/>
    <xf numFmtId="0" fontId="10" fillId="0" borderId="0" xfId="0" applyFont="1"/>
    <xf numFmtId="0" fontId="3" fillId="0" borderId="0" xfId="0" applyFont="1"/>
    <xf numFmtId="165" fontId="4" fillId="0" borderId="6" xfId="0" applyNumberFormat="1" applyFont="1" applyBorder="1"/>
    <xf numFmtId="0" fontId="7" fillId="0" borderId="4" xfId="0" applyFont="1" applyBorder="1"/>
    <xf numFmtId="0" fontId="10" fillId="0" borderId="4" xfId="0" applyFont="1" applyBorder="1"/>
    <xf numFmtId="179" fontId="0" fillId="0" borderId="0" xfId="0" applyNumberFormat="1"/>
    <xf numFmtId="179" fontId="4" fillId="0" borderId="0" xfId="0" applyNumberFormat="1" applyFont="1"/>
    <xf numFmtId="0" fontId="11" fillId="0" borderId="0" xfId="0" applyFont="1" applyAlignment="1">
      <alignment horizontal="left"/>
    </xf>
    <xf numFmtId="166" fontId="2" fillId="0" borderId="6" xfId="0" applyNumberFormat="1" applyFont="1" applyBorder="1" applyAlignment="1">
      <alignment horizontal="center"/>
    </xf>
    <xf numFmtId="0" fontId="10" fillId="0" borderId="0" xfId="0" applyFont="1" applyAlignment="1">
      <alignment horizontal="left" indent="1"/>
    </xf>
    <xf numFmtId="180" fontId="0" fillId="0" borderId="0" xfId="0" applyNumberFormat="1"/>
    <xf numFmtId="0" fontId="10" fillId="0" borderId="4" xfId="0" applyFont="1" applyBorder="1" applyAlignment="1">
      <alignment horizontal="left" indent="1"/>
    </xf>
    <xf numFmtId="181" fontId="0" fillId="0" borderId="0" xfId="0" applyNumberFormat="1"/>
    <xf numFmtId="180" fontId="0" fillId="0" borderId="4" xfId="0" applyNumberFormat="1" applyBorder="1"/>
    <xf numFmtId="165" fontId="18" fillId="0" borderId="0" xfId="0" applyNumberFormat="1" applyFont="1"/>
    <xf numFmtId="9" fontId="11" fillId="0" borderId="0" xfId="0" applyNumberFormat="1" applyFont="1"/>
    <xf numFmtId="169" fontId="18" fillId="0" borderId="0" xfId="0" applyNumberFormat="1" applyFont="1"/>
    <xf numFmtId="169" fontId="13" fillId="0" borderId="0" xfId="0" applyNumberFormat="1" applyFont="1"/>
    <xf numFmtId="169" fontId="15" fillId="0" borderId="0" xfId="0" applyNumberFormat="1" applyFont="1"/>
    <xf numFmtId="169" fontId="10" fillId="0" borderId="0" xfId="0" applyNumberFormat="1" applyFont="1"/>
    <xf numFmtId="165" fontId="19" fillId="0" borderId="0" xfId="0" applyNumberFormat="1" applyFont="1"/>
    <xf numFmtId="0" fontId="11" fillId="0" borderId="0" xfId="0" applyFont="1"/>
    <xf numFmtId="41" fontId="22" fillId="0" borderId="0" xfId="0" applyNumberFormat="1" applyFont="1"/>
    <xf numFmtId="41" fontId="10" fillId="0" borderId="0" xfId="0" applyNumberFormat="1" applyFont="1"/>
    <xf numFmtId="182" fontId="11" fillId="0" borderId="6" xfId="0" applyNumberFormat="1" applyFont="1" applyBorder="1"/>
    <xf numFmtId="41" fontId="11" fillId="0" borderId="0" xfId="0" applyNumberFormat="1" applyFont="1"/>
    <xf numFmtId="165" fontId="18" fillId="0" borderId="6" xfId="0" applyNumberFormat="1" applyFont="1" applyBorder="1"/>
    <xf numFmtId="165" fontId="19" fillId="0" borderId="6" xfId="0" applyNumberFormat="1" applyFont="1" applyBorder="1"/>
    <xf numFmtId="183" fontId="0" fillId="0" borderId="0" xfId="0" applyNumberFormat="1"/>
    <xf numFmtId="168" fontId="9" fillId="0" borderId="0" xfId="0" applyNumberFormat="1" applyFont="1" applyAlignment="1">
      <alignment horizontal="right"/>
    </xf>
    <xf numFmtId="0" fontId="17" fillId="4" borderId="4" xfId="0" applyFont="1" applyFill="1" applyBorder="1"/>
    <xf numFmtId="167" fontId="4" fillId="4" borderId="4" xfId="0" applyNumberFormat="1" applyFont="1" applyFill="1" applyBorder="1" applyAlignment="1">
      <alignment horizontal="right"/>
    </xf>
    <xf numFmtId="168" fontId="0" fillId="4" borderId="4" xfId="0" applyNumberFormat="1" applyFill="1" applyBorder="1" applyAlignment="1">
      <alignment horizontal="right"/>
    </xf>
    <xf numFmtId="167" fontId="19" fillId="4" borderId="4" xfId="0" applyNumberFormat="1" applyFont="1" applyFill="1" applyBorder="1" applyAlignment="1">
      <alignment horizontal="right"/>
    </xf>
    <xf numFmtId="184" fontId="13" fillId="0" borderId="0" xfId="0" applyNumberFormat="1" applyFont="1"/>
    <xf numFmtId="184" fontId="15" fillId="0" borderId="0" xfId="0" applyNumberFormat="1" applyFont="1"/>
    <xf numFmtId="184" fontId="10" fillId="0" borderId="0" xfId="0" applyNumberFormat="1" applyFont="1"/>
    <xf numFmtId="185" fontId="4" fillId="0" borderId="6" xfId="0" applyNumberFormat="1" applyFont="1" applyBorder="1"/>
    <xf numFmtId="0" fontId="7" fillId="0" borderId="0" xfId="0" applyFont="1" applyAlignment="1">
      <alignment horizontal="left" indent="1"/>
    </xf>
    <xf numFmtId="167" fontId="7" fillId="0" borderId="0" xfId="0" applyNumberFormat="1" applyFont="1" applyAlignment="1">
      <alignment horizontal="right"/>
    </xf>
    <xf numFmtId="167" fontId="17" fillId="0" borderId="0" xfId="0" applyNumberFormat="1" applyFont="1" applyAlignment="1">
      <alignment horizontal="right"/>
    </xf>
    <xf numFmtId="37" fontId="0" fillId="0" borderId="0" xfId="0" applyNumberFormat="1"/>
    <xf numFmtId="167" fontId="0" fillId="0" borderId="0" xfId="0" applyNumberFormat="1" applyAlignment="1">
      <alignment horizontal="right"/>
    </xf>
    <xf numFmtId="174" fontId="13" fillId="0" borderId="0" xfId="0" applyNumberFormat="1" applyFont="1"/>
    <xf numFmtId="167" fontId="0" fillId="0" borderId="4" xfId="0" applyNumberFormat="1" applyBorder="1" applyAlignment="1">
      <alignment horizontal="right"/>
    </xf>
    <xf numFmtId="167" fontId="4" fillId="0" borderId="0" xfId="0" applyNumberFormat="1" applyFont="1" applyAlignment="1">
      <alignment horizontal="right"/>
    </xf>
    <xf numFmtId="0" fontId="0" fillId="0" borderId="9" xfId="0" applyBorder="1" applyAlignment="1">
      <alignment horizontal="left" indent="1"/>
    </xf>
    <xf numFmtId="0" fontId="7" fillId="0" borderId="9" xfId="0" applyFont="1" applyBorder="1" applyAlignment="1">
      <alignment horizontal="center"/>
    </xf>
    <xf numFmtId="167" fontId="0" fillId="0" borderId="9" xfId="0" applyNumberFormat="1" applyBorder="1" applyAlignment="1">
      <alignment horizontal="right"/>
    </xf>
    <xf numFmtId="174" fontId="13" fillId="0" borderId="11" xfId="0" applyNumberFormat="1" applyFont="1" applyBorder="1"/>
    <xf numFmtId="167" fontId="13" fillId="5" borderId="12" xfId="0" applyNumberFormat="1" applyFont="1" applyFill="1" applyBorder="1" applyAlignment="1">
      <alignment horizontal="right"/>
    </xf>
    <xf numFmtId="0" fontId="17" fillId="0" borderId="0" xfId="0" applyFont="1"/>
    <xf numFmtId="4" fontId="4" fillId="0" borderId="0" xfId="0" applyNumberFormat="1" applyFont="1" applyAlignment="1">
      <alignment horizontal="right"/>
    </xf>
    <xf numFmtId="167" fontId="13" fillId="5" borderId="13" xfId="0" applyNumberFormat="1" applyFont="1" applyFill="1" applyBorder="1" applyAlignment="1">
      <alignment horizontal="right"/>
    </xf>
    <xf numFmtId="0" fontId="13" fillId="4" borderId="4" xfId="0" applyFont="1" applyFill="1" applyBorder="1"/>
    <xf numFmtId="168" fontId="18" fillId="0" borderId="0" xfId="0" applyNumberFormat="1" applyFont="1" applyAlignment="1">
      <alignment horizontal="right"/>
    </xf>
    <xf numFmtId="168" fontId="19" fillId="0" borderId="0" xfId="0" applyNumberFormat="1" applyFont="1" applyAlignment="1">
      <alignment horizontal="right"/>
    </xf>
    <xf numFmtId="37" fontId="0" fillId="4" borderId="4" xfId="0" applyNumberFormat="1" applyFill="1" applyBorder="1"/>
    <xf numFmtId="186" fontId="0" fillId="0" borderId="0" xfId="1" applyNumberFormat="1" applyFont="1"/>
    <xf numFmtId="167" fontId="13" fillId="5" borderId="1" xfId="0" applyNumberFormat="1" applyFont="1" applyFill="1" applyBorder="1"/>
    <xf numFmtId="167" fontId="13" fillId="5" borderId="8" xfId="0" applyNumberFormat="1" applyFont="1" applyFill="1" applyBorder="1"/>
    <xf numFmtId="167" fontId="18" fillId="0" borderId="0" xfId="0" applyNumberFormat="1" applyFont="1"/>
    <xf numFmtId="167" fontId="19" fillId="0" borderId="6" xfId="0" applyNumberFormat="1" applyFont="1" applyBorder="1"/>
    <xf numFmtId="169" fontId="4" fillId="0" borderId="0" xfId="0" applyNumberFormat="1" applyFont="1"/>
    <xf numFmtId="0" fontId="4" fillId="0" borderId="4" xfId="0" applyFont="1" applyBorder="1"/>
    <xf numFmtId="169" fontId="4" fillId="0" borderId="4" xfId="0" applyNumberFormat="1" applyFont="1" applyBorder="1"/>
    <xf numFmtId="178" fontId="9" fillId="0" borderId="0" xfId="0" applyNumberFormat="1" applyFont="1"/>
    <xf numFmtId="41" fontId="15" fillId="0" borderId="0" xfId="0" applyNumberFormat="1" applyFont="1"/>
    <xf numFmtId="41" fontId="8" fillId="0" borderId="0" xfId="0" applyNumberFormat="1" applyFont="1"/>
    <xf numFmtId="41" fontId="10" fillId="0" borderId="4" xfId="0" applyNumberFormat="1" applyFont="1" applyBorder="1"/>
    <xf numFmtId="187" fontId="7" fillId="0" borderId="0" xfId="0" applyNumberFormat="1" applyFont="1" applyAlignment="1">
      <alignment horizontal="right"/>
    </xf>
    <xf numFmtId="167" fontId="23" fillId="0" borderId="0" xfId="0" applyNumberFormat="1" applyFont="1" applyAlignment="1">
      <alignment horizontal="right"/>
    </xf>
    <xf numFmtId="178" fontId="8" fillId="0" borderId="0" xfId="0" applyNumberFormat="1" applyFont="1"/>
    <xf numFmtId="184" fontId="11" fillId="0" borderId="0" xfId="0" applyNumberFormat="1" applyFont="1"/>
    <xf numFmtId="0" fontId="7" fillId="0" borderId="0" xfId="0" applyFont="1" applyAlignment="1">
      <alignment horizontal="left" indent="2"/>
    </xf>
    <xf numFmtId="188" fontId="10" fillId="0" borderId="0" xfId="0" applyNumberFormat="1" applyFont="1"/>
    <xf numFmtId="174" fontId="0" fillId="0" borderId="0" xfId="0" applyNumberFormat="1" applyAlignment="1">
      <alignment horizontal="right"/>
    </xf>
    <xf numFmtId="167" fontId="13" fillId="5" borderId="10" xfId="0" applyNumberFormat="1" applyFont="1" applyFill="1" applyBorder="1"/>
    <xf numFmtId="174" fontId="0" fillId="0" borderId="4" xfId="0" applyNumberFormat="1" applyBorder="1"/>
    <xf numFmtId="0" fontId="24" fillId="0" borderId="0" xfId="0" applyFont="1"/>
    <xf numFmtId="0" fontId="21" fillId="0" borderId="0" xfId="0" applyFont="1"/>
    <xf numFmtId="0" fontId="25" fillId="3" borderId="4" xfId="0" applyFont="1" applyFill="1" applyBorder="1" applyAlignment="1">
      <alignment horizontal="left"/>
    </xf>
    <xf numFmtId="0" fontId="26" fillId="3" borderId="4" xfId="0" applyFont="1" applyFill="1" applyBorder="1" applyAlignment="1">
      <alignment horizontal="left"/>
    </xf>
    <xf numFmtId="0" fontId="27" fillId="3" borderId="4" xfId="0" applyFont="1" applyFill="1" applyBorder="1" applyAlignment="1">
      <alignment horizontal="left"/>
    </xf>
    <xf numFmtId="0" fontId="28" fillId="5" borderId="14" xfId="0" applyFont="1" applyFill="1" applyBorder="1" applyAlignment="1">
      <alignment horizontal="centerContinuous"/>
    </xf>
    <xf numFmtId="0" fontId="28" fillId="5" borderId="1" xfId="0" applyFont="1" applyFill="1" applyBorder="1" applyAlignment="1">
      <alignment horizontal="center"/>
    </xf>
    <xf numFmtId="0" fontId="29" fillId="0" borderId="0" xfId="0" applyFont="1"/>
    <xf numFmtId="0" fontId="1" fillId="0" borderId="0" xfId="0" applyFont="1"/>
    <xf numFmtId="0" fontId="21" fillId="0" borderId="0" xfId="0" applyFont="1" applyAlignment="1">
      <alignment horizontal="left"/>
    </xf>
    <xf numFmtId="171" fontId="28" fillId="5" borderId="1" xfId="0" applyNumberFormat="1" applyFont="1" applyFill="1" applyBorder="1" applyAlignment="1">
      <alignment horizontal="center"/>
    </xf>
    <xf numFmtId="167" fontId="28" fillId="5" borderId="1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190" fontId="21" fillId="0" borderId="0" xfId="0" applyNumberFormat="1" applyFont="1"/>
    <xf numFmtId="169" fontId="21" fillId="0" borderId="0" xfId="0" applyNumberFormat="1" applyFont="1"/>
    <xf numFmtId="0" fontId="31" fillId="3" borderId="0" xfId="0" applyFont="1" applyFill="1" applyAlignment="1">
      <alignment horizontal="left"/>
    </xf>
    <xf numFmtId="0" fontId="31" fillId="3" borderId="2" xfId="0" applyFont="1" applyFill="1" applyBorder="1" applyAlignment="1">
      <alignment horizontal="centerContinuous"/>
    </xf>
    <xf numFmtId="0" fontId="31" fillId="3" borderId="15" xfId="0" applyFont="1" applyFill="1" applyBorder="1" applyAlignment="1">
      <alignment horizontal="centerContinuous"/>
    </xf>
    <xf numFmtId="0" fontId="31" fillId="3" borderId="4" xfId="0" applyFont="1" applyFill="1" applyBorder="1" applyAlignment="1">
      <alignment horizontal="left"/>
    </xf>
    <xf numFmtId="0" fontId="32" fillId="2" borderId="4" xfId="0" applyFont="1" applyFill="1" applyBorder="1" applyAlignment="1">
      <alignment horizontal="center"/>
    </xf>
    <xf numFmtId="164" fontId="33" fillId="3" borderId="4" xfId="0" applyNumberFormat="1" applyFont="1" applyFill="1" applyBorder="1" applyAlignment="1">
      <alignment horizontal="center"/>
    </xf>
    <xf numFmtId="164" fontId="33" fillId="3" borderId="16" xfId="0" applyNumberFormat="1" applyFont="1" applyFill="1" applyBorder="1" applyAlignment="1">
      <alignment horizontal="center"/>
    </xf>
    <xf numFmtId="164" fontId="33" fillId="3" borderId="17" xfId="0" applyNumberFormat="1" applyFont="1" applyFill="1" applyBorder="1" applyAlignment="1">
      <alignment horizontal="center"/>
    </xf>
    <xf numFmtId="0" fontId="29" fillId="4" borderId="9" xfId="0" applyFont="1" applyFill="1" applyBorder="1"/>
    <xf numFmtId="0" fontId="21" fillId="4" borderId="9" xfId="0" applyFont="1" applyFill="1" applyBorder="1"/>
    <xf numFmtId="44" fontId="21" fillId="0" borderId="0" xfId="0" applyNumberFormat="1" applyFont="1"/>
    <xf numFmtId="43" fontId="21" fillId="0" borderId="0" xfId="0" applyNumberFormat="1" applyFont="1"/>
    <xf numFmtId="0" fontId="21" fillId="0" borderId="0" xfId="0" applyFont="1" applyFill="1"/>
    <xf numFmtId="0" fontId="29" fillId="0" borderId="0" xfId="0" applyFont="1" applyFill="1" applyBorder="1"/>
    <xf numFmtId="0" fontId="21" fillId="0" borderId="0" xfId="0" applyFont="1" applyFill="1" applyBorder="1"/>
    <xf numFmtId="189" fontId="29" fillId="0" borderId="0" xfId="0" applyNumberFormat="1" applyFont="1" applyFill="1" applyBorder="1"/>
    <xf numFmtId="0" fontId="1" fillId="0" borderId="0" xfId="0" applyFont="1" applyFill="1" applyBorder="1"/>
    <xf numFmtId="0" fontId="21" fillId="0" borderId="0" xfId="0" applyFont="1" applyBorder="1"/>
    <xf numFmtId="0" fontId="29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left" indent="1"/>
    </xf>
    <xf numFmtId="189" fontId="28" fillId="0" borderId="0" xfId="0" applyNumberFormat="1" applyFont="1" applyFill="1" applyBorder="1"/>
    <xf numFmtId="44" fontId="28" fillId="0" borderId="0" xfId="0" applyNumberFormat="1" applyFont="1" applyFill="1" applyBorder="1"/>
    <xf numFmtId="189" fontId="21" fillId="0" borderId="0" xfId="0" applyNumberFormat="1" applyFont="1" applyFill="1" applyBorder="1"/>
    <xf numFmtId="43" fontId="28" fillId="0" borderId="0" xfId="0" applyNumberFormat="1" applyFont="1" applyFill="1" applyBorder="1"/>
    <xf numFmtId="191" fontId="28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34" fillId="3" borderId="0" xfId="0" applyFont="1" applyFill="1" applyAlignment="1">
      <alignment horizontal="left"/>
    </xf>
    <xf numFmtId="0" fontId="34" fillId="3" borderId="2" xfId="0" applyFont="1" applyFill="1" applyBorder="1" applyAlignment="1">
      <alignment horizontal="centerContinuous"/>
    </xf>
    <xf numFmtId="0" fontId="34" fillId="3" borderId="15" xfId="0" applyFont="1" applyFill="1" applyBorder="1" applyAlignment="1">
      <alignment horizontal="centerContinuous"/>
    </xf>
    <xf numFmtId="0" fontId="34" fillId="3" borderId="4" xfId="0" applyFont="1" applyFill="1" applyBorder="1" applyAlignment="1">
      <alignment horizontal="left"/>
    </xf>
    <xf numFmtId="164" fontId="2" fillId="3" borderId="16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6" xfId="0" applyFont="1" applyBorder="1" applyAlignment="1">
      <alignment horizontal="left"/>
    </xf>
    <xf numFmtId="169" fontId="10" fillId="0" borderId="6" xfId="0" applyNumberFormat="1" applyFont="1" applyBorder="1"/>
    <xf numFmtId="169" fontId="11" fillId="0" borderId="0" xfId="0" applyNumberFormat="1" applyFont="1"/>
    <xf numFmtId="167" fontId="0" fillId="0" borderId="0" xfId="0" applyNumberFormat="1" applyFont="1"/>
    <xf numFmtId="169" fontId="13" fillId="0" borderId="4" xfId="0" applyNumberFormat="1" applyFont="1" applyBorder="1"/>
    <xf numFmtId="168" fontId="10" fillId="0" borderId="0" xfId="0" applyNumberFormat="1" applyFont="1"/>
    <xf numFmtId="168" fontId="13" fillId="5" borderId="8" xfId="0" applyNumberFormat="1" applyFont="1" applyFill="1" applyBorder="1"/>
    <xf numFmtId="168" fontId="13" fillId="5" borderId="1" xfId="0" applyNumberFormat="1" applyFont="1" applyFill="1" applyBorder="1"/>
    <xf numFmtId="175" fontId="10" fillId="0" borderId="0" xfId="0" applyNumberFormat="1" applyFont="1"/>
    <xf numFmtId="190" fontId="0" fillId="0" borderId="0" xfId="0" applyNumberFormat="1" applyFont="1"/>
    <xf numFmtId="41" fontId="0" fillId="0" borderId="0" xfId="0" applyNumberFormat="1" applyFont="1"/>
    <xf numFmtId="169" fontId="10" fillId="0" borderId="4" xfId="0" applyNumberFormat="1" applyFont="1" applyBorder="1"/>
    <xf numFmtId="169" fontId="4" fillId="0" borderId="6" xfId="0" applyNumberFormat="1" applyFont="1" applyBorder="1"/>
    <xf numFmtId="1" fontId="1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left" indent="1"/>
    </xf>
    <xf numFmtId="169" fontId="0" fillId="0" borderId="0" xfId="0" applyNumberFormat="1" applyFont="1"/>
    <xf numFmtId="9" fontId="0" fillId="0" borderId="0" xfId="0" applyNumberFormat="1" applyFont="1"/>
    <xf numFmtId="189" fontId="13" fillId="0" borderId="0" xfId="0" applyNumberFormat="1" applyFont="1"/>
    <xf numFmtId="189" fontId="10" fillId="0" borderId="0" xfId="0" applyNumberFormat="1" applyFont="1"/>
    <xf numFmtId="44" fontId="0" fillId="0" borderId="0" xfId="0" applyNumberFormat="1" applyFont="1"/>
    <xf numFmtId="175" fontId="22" fillId="0" borderId="0" xfId="0" applyNumberFormat="1" applyFont="1"/>
    <xf numFmtId="175" fontId="11" fillId="0" borderId="0" xfId="0" applyNumberFormat="1" applyFont="1"/>
    <xf numFmtId="167" fontId="10" fillId="0" borderId="0" xfId="0" applyNumberFormat="1" applyFont="1"/>
    <xf numFmtId="169" fontId="11" fillId="0" borderId="6" xfId="0" applyNumberFormat="1" applyFont="1" applyBorder="1"/>
    <xf numFmtId="174" fontId="11" fillId="0" borderId="0" xfId="0" applyNumberFormat="1" applyFont="1"/>
    <xf numFmtId="165" fontId="11" fillId="0" borderId="0" xfId="0" applyNumberFormat="1" applyFont="1" applyFill="1" applyBorder="1"/>
    <xf numFmtId="0" fontId="4" fillId="0" borderId="0" xfId="0" applyFont="1" applyFill="1" applyBorder="1"/>
    <xf numFmtId="169" fontId="0" fillId="0" borderId="0" xfId="0" applyNumberFormat="1" applyFont="1" applyFill="1" applyBorder="1"/>
    <xf numFmtId="169" fontId="4" fillId="0" borderId="0" xfId="0" applyNumberFormat="1" applyFont="1" applyFill="1" applyBorder="1"/>
    <xf numFmtId="43" fontId="0" fillId="0" borderId="0" xfId="0" applyNumberFormat="1" applyFont="1" applyFill="1" applyBorder="1"/>
    <xf numFmtId="176" fontId="0" fillId="0" borderId="0" xfId="0" applyNumberFormat="1" applyFont="1" applyFill="1" applyBorder="1"/>
    <xf numFmtId="43" fontId="0" fillId="0" borderId="4" xfId="0" applyNumberFormat="1" applyFont="1" applyFill="1" applyBorder="1"/>
    <xf numFmtId="192" fontId="13" fillId="0" borderId="0" xfId="0" applyNumberFormat="1" applyFont="1" applyFill="1" applyBorder="1"/>
    <xf numFmtId="165" fontId="13" fillId="0" borderId="0" xfId="0" applyNumberFormat="1" applyFont="1" applyFill="1" applyBorder="1"/>
    <xf numFmtId="192" fontId="13" fillId="0" borderId="4" xfId="0" applyNumberFormat="1" applyFont="1" applyFill="1" applyBorder="1"/>
    <xf numFmtId="165" fontId="4" fillId="0" borderId="0" xfId="0" applyNumberFormat="1" applyFont="1" applyFill="1" applyBorder="1"/>
    <xf numFmtId="169" fontId="15" fillId="0" borderId="6" xfId="0" applyNumberFormat="1" applyFont="1" applyBorder="1"/>
    <xf numFmtId="169" fontId="10" fillId="0" borderId="0" xfId="0" applyNumberFormat="1" applyFont="1" applyBorder="1"/>
    <xf numFmtId="165" fontId="15" fillId="0" borderId="0" xfId="0" applyNumberFormat="1" applyFont="1" applyFill="1" applyBorder="1"/>
    <xf numFmtId="167" fontId="4" fillId="0" borderId="0" xfId="0" applyNumberFormat="1" applyFont="1"/>
    <xf numFmtId="169" fontId="11" fillId="0" borderId="4" xfId="0" applyNumberFormat="1" applyFont="1" applyBorder="1"/>
    <xf numFmtId="168" fontId="11" fillId="0" borderId="0" xfId="0" applyNumberFormat="1" applyFont="1"/>
    <xf numFmtId="169" fontId="11" fillId="0" borderId="0" xfId="0" applyNumberFormat="1" applyFont="1" applyBorder="1"/>
    <xf numFmtId="41" fontId="4" fillId="0" borderId="0" xfId="0" applyNumberFormat="1" applyFont="1"/>
    <xf numFmtId="169" fontId="15" fillId="0" borderId="4" xfId="0" applyNumberFormat="1" applyFont="1" applyBorder="1"/>
    <xf numFmtId="9" fontId="4" fillId="0" borderId="0" xfId="0" applyNumberFormat="1" applyFont="1"/>
    <xf numFmtId="189" fontId="15" fillId="0" borderId="0" xfId="0" applyNumberFormat="1" applyFont="1"/>
    <xf numFmtId="176" fontId="10" fillId="0" borderId="0" xfId="1" applyNumberFormat="1" applyFont="1" applyAlignment="1">
      <alignment horizontal="center"/>
    </xf>
    <xf numFmtId="176" fontId="10" fillId="0" borderId="4" xfId="1" applyNumberFormat="1" applyFont="1" applyBorder="1" applyAlignment="1">
      <alignment horizontal="center"/>
    </xf>
    <xf numFmtId="167" fontId="13" fillId="0" borderId="0" xfId="0" applyNumberFormat="1" applyFont="1" applyFill="1" applyBorder="1"/>
    <xf numFmtId="174" fontId="10" fillId="5" borderId="1" xfId="0" applyNumberFormat="1" applyFont="1" applyFill="1" applyBorder="1"/>
    <xf numFmtId="169" fontId="10" fillId="0" borderId="0" xfId="0" applyNumberFormat="1" applyFont="1" applyFill="1" applyBorder="1"/>
    <xf numFmtId="169" fontId="0" fillId="0" borderId="0" xfId="0" applyNumberFormat="1" applyFont="1" applyFill="1"/>
    <xf numFmtId="169" fontId="10" fillId="0" borderId="0" xfId="0" applyNumberFormat="1" applyFont="1" applyFill="1"/>
    <xf numFmtId="169" fontId="4" fillId="0" borderId="6" xfId="0" applyNumberFormat="1" applyFont="1" applyFill="1" applyBorder="1"/>
    <xf numFmtId="168" fontId="13" fillId="0" borderId="0" xfId="0" applyNumberFormat="1" applyFont="1" applyFill="1" applyBorder="1" applyAlignment="1">
      <alignment horizontal="right"/>
    </xf>
    <xf numFmtId="0" fontId="35" fillId="3" borderId="4" xfId="0" applyFont="1" applyFill="1" applyBorder="1" applyAlignment="1">
      <alignment horizontal="left"/>
    </xf>
    <xf numFmtId="0" fontId="36" fillId="3" borderId="4" xfId="0" applyFont="1" applyFill="1" applyBorder="1" applyAlignment="1">
      <alignment horizontal="left"/>
    </xf>
    <xf numFmtId="0" fontId="37" fillId="3" borderId="4" xfId="0" applyFont="1" applyFill="1" applyBorder="1" applyAlignment="1">
      <alignment horizontal="left"/>
    </xf>
    <xf numFmtId="0" fontId="0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Continuous"/>
    </xf>
    <xf numFmtId="0" fontId="4" fillId="4" borderId="4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7" fontId="13" fillId="5" borderId="7" xfId="0" applyNumberFormat="1" applyFont="1" applyFill="1" applyBorder="1" applyAlignment="1">
      <alignment horizontal="center"/>
    </xf>
    <xf numFmtId="176" fontId="10" fillId="0" borderId="0" xfId="0" applyNumberFormat="1" applyFont="1"/>
    <xf numFmtId="193" fontId="13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0" fontId="0" fillId="0" borderId="6" xfId="0" applyFont="1" applyBorder="1"/>
    <xf numFmtId="176" fontId="8" fillId="0" borderId="0" xfId="0" applyNumberFormat="1" applyFont="1"/>
    <xf numFmtId="0" fontId="0" fillId="0" borderId="4" xfId="0" applyFont="1" applyBorder="1" applyAlignment="1">
      <alignment horizontal="left"/>
    </xf>
    <xf numFmtId="176" fontId="9" fillId="0" borderId="0" xfId="0" applyNumberFormat="1" applyFont="1"/>
    <xf numFmtId="0" fontId="4" fillId="0" borderId="0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176" fontId="9" fillId="0" borderId="0" xfId="0" applyNumberFormat="1" applyFont="1" applyBorder="1"/>
    <xf numFmtId="0" fontId="4" fillId="0" borderId="0" xfId="0" applyFont="1" applyBorder="1"/>
    <xf numFmtId="167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/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194" fontId="28" fillId="5" borderId="1" xfId="0" applyNumberFormat="1" applyFont="1" applyFill="1" applyBorder="1"/>
    <xf numFmtId="168" fontId="13" fillId="5" borderId="1" xfId="0" applyNumberFormat="1" applyFont="1" applyFill="1" applyBorder="1" applyAlignment="1">
      <alignment horizontal="center"/>
    </xf>
    <xf numFmtId="0" fontId="39" fillId="0" borderId="0" xfId="2" applyFont="1"/>
    <xf numFmtId="180" fontId="4" fillId="0" borderId="0" xfId="0" applyNumberFormat="1" applyFont="1"/>
    <xf numFmtId="195" fontId="10" fillId="5" borderId="18" xfId="0" applyNumberFormat="1" applyFont="1" applyFill="1" applyBorder="1" applyAlignment="1">
      <alignment horizontal="center"/>
    </xf>
    <xf numFmtId="174" fontId="10" fillId="5" borderId="18" xfId="0" applyNumberFormat="1" applyFont="1" applyFill="1" applyBorder="1" applyAlignment="1">
      <alignment horizontal="center"/>
    </xf>
    <xf numFmtId="196" fontId="0" fillId="0" borderId="0" xfId="0" applyNumberFormat="1"/>
    <xf numFmtId="180" fontId="8" fillId="0" borderId="0" xfId="0" applyNumberFormat="1" applyFont="1"/>
    <xf numFmtId="0" fontId="23" fillId="0" borderId="0" xfId="2" applyFont="1"/>
    <xf numFmtId="187" fontId="23" fillId="0" borderId="0" xfId="2" applyNumberFormat="1" applyFont="1"/>
    <xf numFmtId="180" fontId="10" fillId="0" borderId="0" xfId="0" applyNumberFormat="1" applyFont="1"/>
    <xf numFmtId="198" fontId="10" fillId="0" borderId="0" xfId="0" applyNumberFormat="1" applyFont="1"/>
    <xf numFmtId="0" fontId="4" fillId="6" borderId="19" xfId="0" applyFont="1" applyFill="1" applyBorder="1"/>
    <xf numFmtId="187" fontId="11" fillId="6" borderId="20" xfId="0" applyNumberFormat="1" applyFont="1" applyFill="1" applyBorder="1" applyAlignment="1">
      <alignment horizontal="right"/>
    </xf>
    <xf numFmtId="187" fontId="1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0" fontId="4" fillId="4" borderId="9" xfId="0" applyFont="1" applyFill="1" applyBorder="1"/>
    <xf numFmtId="0" fontId="7" fillId="4" borderId="9" xfId="0" applyFont="1" applyFill="1" applyBorder="1" applyAlignment="1">
      <alignment horizontal="center"/>
    </xf>
    <xf numFmtId="166" fontId="11" fillId="4" borderId="2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Continuous"/>
    </xf>
    <xf numFmtId="166" fontId="11" fillId="4" borderId="20" xfId="0" applyNumberFormat="1" applyFont="1" applyFill="1" applyBorder="1" applyAlignment="1">
      <alignment horizontal="centerContinuous"/>
    </xf>
    <xf numFmtId="166" fontId="2" fillId="4" borderId="9" xfId="0" applyNumberFormat="1" applyFont="1" applyFill="1" applyBorder="1" applyAlignment="1">
      <alignment horizontal="centerContinuous"/>
    </xf>
    <xf numFmtId="166" fontId="2" fillId="4" borderId="20" xfId="0" applyNumberFormat="1" applyFont="1" applyFill="1" applyBorder="1" applyAlignment="1">
      <alignment horizontal="centerContinuous"/>
    </xf>
    <xf numFmtId="167" fontId="7" fillId="0" borderId="0" xfId="0" applyNumberFormat="1" applyFont="1"/>
    <xf numFmtId="180" fontId="9" fillId="0" borderId="0" xfId="0" applyNumberFormat="1" applyFont="1"/>
    <xf numFmtId="180" fontId="19" fillId="0" borderId="0" xfId="0" applyNumberFormat="1" applyFont="1"/>
    <xf numFmtId="167" fontId="0" fillId="0" borderId="0" xfId="0" applyNumberFormat="1"/>
    <xf numFmtId="180" fontId="18" fillId="0" borderId="0" xfId="0" applyNumberFormat="1" applyFont="1"/>
    <xf numFmtId="165" fontId="13" fillId="5" borderId="1" xfId="0" applyNumberFormat="1" applyFont="1" applyFill="1" applyBorder="1"/>
    <xf numFmtId="165" fontId="10" fillId="5" borderId="1" xfId="0" applyNumberFormat="1" applyFont="1" applyFill="1" applyBorder="1"/>
    <xf numFmtId="180" fontId="4" fillId="0" borderId="6" xfId="0" applyNumberFormat="1" applyFont="1" applyBorder="1"/>
    <xf numFmtId="43" fontId="10" fillId="5" borderId="1" xfId="0" applyNumberFormat="1" applyFont="1" applyFill="1" applyBorder="1"/>
    <xf numFmtId="198" fontId="0" fillId="0" borderId="0" xfId="0" applyNumberFormat="1"/>
    <xf numFmtId="0" fontId="40" fillId="0" borderId="0" xfId="0" applyFont="1"/>
    <xf numFmtId="199" fontId="4" fillId="0" borderId="0" xfId="0" applyNumberFormat="1" applyFont="1" applyAlignment="1">
      <alignment horizontal="right"/>
    </xf>
    <xf numFmtId="180" fontId="9" fillId="0" borderId="6" xfId="0" applyNumberFormat="1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167" fontId="13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right"/>
    </xf>
    <xf numFmtId="180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96" fontId="0" fillId="0" borderId="0" xfId="0" applyNumberFormat="1" applyFill="1" applyBorder="1"/>
    <xf numFmtId="196" fontId="13" fillId="0" borderId="0" xfId="0" applyNumberFormat="1" applyFont="1" applyFill="1" applyBorder="1" applyAlignment="1">
      <alignment horizontal="center"/>
    </xf>
    <xf numFmtId="180" fontId="13" fillId="0" borderId="0" xfId="0" applyNumberFormat="1" applyFont="1" applyFill="1" applyBorder="1"/>
    <xf numFmtId="180" fontId="4" fillId="0" borderId="0" xfId="0" applyNumberFormat="1" applyFont="1" applyFill="1" applyBorder="1"/>
    <xf numFmtId="0" fontId="23" fillId="0" borderId="0" xfId="2" applyFont="1" applyFill="1" applyBorder="1"/>
    <xf numFmtId="187" fontId="23" fillId="0" borderId="0" xfId="2" applyNumberFormat="1" applyFont="1" applyFill="1" applyBorder="1"/>
    <xf numFmtId="197" fontId="10" fillId="0" borderId="0" xfId="0" applyNumberFormat="1" applyFont="1" applyFill="1" applyBorder="1"/>
    <xf numFmtId="0" fontId="21" fillId="4" borderId="0" xfId="0" applyFont="1" applyFill="1"/>
    <xf numFmtId="0" fontId="29" fillId="4" borderId="0" xfId="0" applyFont="1" applyFill="1" applyAlignment="1">
      <alignment horizontal="center"/>
    </xf>
    <xf numFmtId="0" fontId="29" fillId="4" borderId="4" xfId="0" applyFont="1" applyFill="1" applyBorder="1"/>
    <xf numFmtId="0" fontId="21" fillId="4" borderId="4" xfId="0" applyFont="1" applyFill="1" applyBorder="1"/>
    <xf numFmtId="0" fontId="29" fillId="4" borderId="4" xfId="0" applyFont="1" applyFill="1" applyBorder="1" applyAlignment="1">
      <alignment horizontal="center"/>
    </xf>
    <xf numFmtId="0" fontId="29" fillId="4" borderId="4" xfId="0" applyFont="1" applyFill="1" applyBorder="1" applyAlignment="1">
      <alignment horizontal="centerContinuous"/>
    </xf>
    <xf numFmtId="6" fontId="42" fillId="4" borderId="4" xfId="0" applyNumberFormat="1" applyFont="1" applyFill="1" applyBorder="1" applyAlignment="1">
      <alignment horizontal="centerContinuous"/>
    </xf>
    <xf numFmtId="167" fontId="43" fillId="0" borderId="0" xfId="4" applyNumberFormat="1" applyFont="1" applyFill="1" applyBorder="1" applyAlignment="1"/>
    <xf numFmtId="0" fontId="29" fillId="0" borderId="6" xfId="0" applyFont="1" applyBorder="1"/>
    <xf numFmtId="202" fontId="21" fillId="0" borderId="0" xfId="0" applyNumberFormat="1" applyFont="1" applyAlignment="1">
      <alignment horizontal="right"/>
    </xf>
    <xf numFmtId="0" fontId="44" fillId="0" borderId="0" xfId="0" applyFont="1" applyAlignment="1">
      <alignment horizontal="center"/>
    </xf>
    <xf numFmtId="169" fontId="41" fillId="0" borderId="0" xfId="0" applyNumberFormat="1" applyFont="1"/>
    <xf numFmtId="0" fontId="44" fillId="0" borderId="4" xfId="0" applyFont="1" applyBorder="1" applyAlignment="1">
      <alignment horizontal="center"/>
    </xf>
    <xf numFmtId="0" fontId="21" fillId="0" borderId="23" xfId="0" applyFont="1" applyBorder="1"/>
    <xf numFmtId="0" fontId="21" fillId="0" borderId="24" xfId="0" applyFont="1" applyBorder="1"/>
    <xf numFmtId="169" fontId="29" fillId="0" borderId="6" xfId="0" applyNumberFormat="1" applyFont="1" applyBorder="1"/>
    <xf numFmtId="167" fontId="41" fillId="0" borderId="0" xfId="0" applyNumberFormat="1" applyFont="1"/>
    <xf numFmtId="9" fontId="21" fillId="0" borderId="0" xfId="0" applyNumberFormat="1" applyFont="1"/>
    <xf numFmtId="168" fontId="41" fillId="0" borderId="0" xfId="0" applyNumberFormat="1" applyFont="1"/>
    <xf numFmtId="194" fontId="30" fillId="0" borderId="0" xfId="0" applyNumberFormat="1" applyFont="1" applyFill="1" applyBorder="1"/>
    <xf numFmtId="0" fontId="46" fillId="0" borderId="0" xfId="0" applyFont="1"/>
    <xf numFmtId="180" fontId="9" fillId="0" borderId="0" xfId="0" applyNumberFormat="1" applyFont="1" applyBorder="1"/>
    <xf numFmtId="0" fontId="4" fillId="0" borderId="0" xfId="0" quotePrefix="1" applyFont="1"/>
    <xf numFmtId="180" fontId="11" fillId="0" borderId="0" xfId="0" applyNumberFormat="1" applyFont="1" applyBorder="1"/>
    <xf numFmtId="177" fontId="10" fillId="0" borderId="0" xfId="0" applyNumberFormat="1" applyFont="1"/>
    <xf numFmtId="176" fontId="0" fillId="0" borderId="0" xfId="1" applyNumberFormat="1" applyFont="1"/>
    <xf numFmtId="169" fontId="8" fillId="0" borderId="0" xfId="0" applyNumberFormat="1" applyFont="1"/>
    <xf numFmtId="167" fontId="47" fillId="5" borderId="1" xfId="4" applyNumberFormat="1" applyFont="1" applyFill="1" applyAlignment="1"/>
    <xf numFmtId="0" fontId="0" fillId="4" borderId="4" xfId="0" applyFont="1" applyFill="1" applyBorder="1"/>
    <xf numFmtId="0" fontId="4" fillId="4" borderId="4" xfId="0" applyFont="1" applyFill="1" applyBorder="1" applyAlignment="1">
      <alignment horizontal="centerContinuous"/>
    </xf>
    <xf numFmtId="6" fontId="11" fillId="4" borderId="4" xfId="0" applyNumberFormat="1" applyFont="1" applyFill="1" applyBorder="1" applyAlignment="1">
      <alignment horizontal="centerContinuous"/>
    </xf>
    <xf numFmtId="167" fontId="39" fillId="5" borderId="1" xfId="4" applyNumberFormat="1" applyFont="1" applyFill="1" applyAlignment="1">
      <alignment horizontal="center"/>
    </xf>
    <xf numFmtId="189" fontId="0" fillId="0" borderId="0" xfId="0" applyNumberFormat="1" applyFont="1"/>
    <xf numFmtId="168" fontId="47" fillId="5" borderId="1" xfId="4" applyNumberFormat="1" applyFont="1" applyFill="1" applyAlignment="1"/>
    <xf numFmtId="176" fontId="0" fillId="0" borderId="0" xfId="0" applyNumberFormat="1" applyFont="1"/>
    <xf numFmtId="177" fontId="47" fillId="5" borderId="10" xfId="4" applyNumberFormat="1" applyFont="1" applyFill="1" applyBorder="1" applyAlignment="1"/>
    <xf numFmtId="43" fontId="0" fillId="0" borderId="0" xfId="0" applyNumberFormat="1" applyFont="1"/>
    <xf numFmtId="176" fontId="4" fillId="0" borderId="0" xfId="0" applyNumberFormat="1" applyFont="1"/>
    <xf numFmtId="203" fontId="0" fillId="0" borderId="0" xfId="0" applyNumberFormat="1" applyFont="1"/>
    <xf numFmtId="200" fontId="10" fillId="0" borderId="0" xfId="0" applyNumberFormat="1" applyFont="1"/>
    <xf numFmtId="0" fontId="0" fillId="0" borderId="0" xfId="0" applyFont="1" applyFill="1" applyBorder="1" applyAlignment="1">
      <alignment horizontal="left" indent="1"/>
    </xf>
    <xf numFmtId="201" fontId="0" fillId="0" borderId="0" xfId="0" applyNumberFormat="1" applyFont="1" applyFill="1" applyBorder="1"/>
    <xf numFmtId="167" fontId="47" fillId="0" borderId="0" xfId="4" applyNumberFormat="1" applyFont="1" applyFill="1" applyBorder="1" applyAlignment="1"/>
    <xf numFmtId="168" fontId="47" fillId="0" borderId="0" xfId="4" applyNumberFormat="1" applyFont="1" applyFill="1" applyBorder="1" applyAlignment="1"/>
    <xf numFmtId="202" fontId="0" fillId="0" borderId="0" xfId="0" applyNumberFormat="1" applyFont="1" applyAlignment="1">
      <alignment horizontal="right"/>
    </xf>
    <xf numFmtId="0" fontId="2" fillId="3" borderId="4" xfId="2" applyFont="1" applyFill="1" applyBorder="1"/>
    <xf numFmtId="0" fontId="2" fillId="0" borderId="0" xfId="2" applyFont="1"/>
    <xf numFmtId="0" fontId="0" fillId="4" borderId="4" xfId="0" applyFont="1" applyFill="1" applyBorder="1" applyAlignment="1">
      <alignment horizontal="centerContinuous"/>
    </xf>
    <xf numFmtId="169" fontId="10" fillId="0" borderId="0" xfId="2" applyNumberFormat="1" applyFont="1"/>
    <xf numFmtId="190" fontId="4" fillId="0" borderId="6" xfId="0" applyNumberFormat="1" applyFont="1" applyBorder="1"/>
    <xf numFmtId="169" fontId="11" fillId="0" borderId="6" xfId="2" applyNumberFormat="1" applyFont="1" applyBorder="1"/>
    <xf numFmtId="187" fontId="47" fillId="0" borderId="0" xfId="4" applyNumberFormat="1" applyFont="1" applyFill="1" applyBorder="1" applyAlignment="1"/>
    <xf numFmtId="169" fontId="10" fillId="0" borderId="0" xfId="2" applyNumberFormat="1" applyFont="1" applyBorder="1"/>
    <xf numFmtId="169" fontId="11" fillId="0" borderId="0" xfId="2" applyNumberFormat="1" applyFont="1"/>
    <xf numFmtId="192" fontId="47" fillId="0" borderId="0" xfId="4" applyNumberFormat="1" applyFont="1" applyFill="1" applyBorder="1" applyAlignment="1"/>
    <xf numFmtId="0" fontId="0" fillId="0" borderId="21" xfId="0" applyFont="1" applyBorder="1"/>
    <xf numFmtId="190" fontId="0" fillId="0" borderId="22" xfId="0" applyNumberFormat="1" applyFont="1" applyBorder="1"/>
    <xf numFmtId="0" fontId="0" fillId="0" borderId="23" xfId="0" applyFont="1" applyBorder="1"/>
    <xf numFmtId="0" fontId="7" fillId="8" borderId="6" xfId="0" applyFont="1" applyFill="1" applyBorder="1" applyAlignment="1">
      <alignment horizontal="center"/>
    </xf>
    <xf numFmtId="169" fontId="13" fillId="8" borderId="6" xfId="0" applyNumberFormat="1" applyFont="1" applyFill="1" applyBorder="1"/>
    <xf numFmtId="169" fontId="10" fillId="8" borderId="6" xfId="0" applyNumberFormat="1" applyFont="1" applyFill="1" applyBorder="1"/>
    <xf numFmtId="0" fontId="7" fillId="8" borderId="4" xfId="0" applyFont="1" applyFill="1" applyBorder="1" applyAlignment="1">
      <alignment horizontal="center"/>
    </xf>
    <xf numFmtId="169" fontId="13" fillId="8" borderId="4" xfId="0" applyNumberFormat="1" applyFont="1" applyFill="1" applyBorder="1"/>
    <xf numFmtId="169" fontId="10" fillId="8" borderId="4" xfId="0" applyNumberFormat="1" applyFont="1" applyFill="1" applyBorder="1"/>
    <xf numFmtId="190" fontId="8" fillId="0" borderId="0" xfId="0" applyNumberFormat="1" applyFont="1"/>
    <xf numFmtId="190" fontId="8" fillId="0" borderId="23" xfId="0" applyNumberFormat="1" applyFont="1" applyBorder="1"/>
    <xf numFmtId="169" fontId="8" fillId="0" borderId="23" xfId="0" applyNumberFormat="1" applyFont="1" applyBorder="1"/>
    <xf numFmtId="169" fontId="9" fillId="0" borderId="0" xfId="0" applyNumberFormat="1" applyFont="1"/>
    <xf numFmtId="169" fontId="11" fillId="0" borderId="24" xfId="0" applyNumberFormat="1" applyFont="1" applyBorder="1"/>
    <xf numFmtId="0" fontId="7" fillId="8" borderId="9" xfId="0" applyFont="1" applyFill="1" applyBorder="1" applyAlignment="1">
      <alignment horizontal="center"/>
    </xf>
    <xf numFmtId="190" fontId="4" fillId="0" borderId="0" xfId="0" applyNumberFormat="1" applyFont="1"/>
    <xf numFmtId="190" fontId="4" fillId="0" borderId="23" xfId="0" applyNumberFormat="1" applyFont="1" applyBorder="1"/>
    <xf numFmtId="190" fontId="4" fillId="0" borderId="24" xfId="0" applyNumberFormat="1" applyFont="1" applyBorder="1"/>
    <xf numFmtId="0" fontId="0" fillId="0" borderId="24" xfId="0" applyFont="1" applyBorder="1"/>
    <xf numFmtId="0" fontId="7" fillId="8" borderId="0" xfId="0" applyFont="1" applyFill="1" applyAlignment="1">
      <alignment horizontal="center"/>
    </xf>
    <xf numFmtId="169" fontId="13" fillId="8" borderId="0" xfId="0" applyNumberFormat="1" applyFont="1" applyFill="1"/>
    <xf numFmtId="169" fontId="10" fillId="8" borderId="0" xfId="0" applyNumberFormat="1" applyFont="1" applyFill="1"/>
    <xf numFmtId="169" fontId="0" fillId="0" borderId="24" xfId="0" applyNumberFormat="1" applyFont="1" applyBorder="1"/>
    <xf numFmtId="0" fontId="0" fillId="0" borderId="22" xfId="0" applyFont="1" applyBorder="1"/>
    <xf numFmtId="190" fontId="0" fillId="0" borderId="23" xfId="0" applyNumberFormat="1" applyFont="1" applyBorder="1"/>
    <xf numFmtId="169" fontId="10" fillId="0" borderId="23" xfId="0" applyNumberFormat="1" applyFont="1" applyBorder="1"/>
    <xf numFmtId="169" fontId="8" fillId="0" borderId="4" xfId="0" applyNumberFormat="1" applyFont="1" applyBorder="1"/>
    <xf numFmtId="1" fontId="11" fillId="0" borderId="21" xfId="0" applyNumberFormat="1" applyFon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1" fontId="11" fillId="0" borderId="22" xfId="0" applyNumberFormat="1" applyFont="1" applyBorder="1" applyAlignment="1">
      <alignment horizontal="center"/>
    </xf>
    <xf numFmtId="190" fontId="8" fillId="0" borderId="24" xfId="0" applyNumberFormat="1" applyFont="1" applyBorder="1"/>
    <xf numFmtId="169" fontId="8" fillId="0" borderId="24" xfId="0" applyNumberFormat="1" applyFont="1" applyBorder="1"/>
    <xf numFmtId="0" fontId="10" fillId="8" borderId="6" xfId="0" applyFont="1" applyFill="1" applyBorder="1" applyAlignment="1">
      <alignment horizontal="left" indent="1"/>
    </xf>
    <xf numFmtId="169" fontId="8" fillId="8" borderId="21" xfId="0" applyNumberFormat="1" applyFont="1" applyFill="1" applyBorder="1"/>
    <xf numFmtId="169" fontId="8" fillId="8" borderId="6" xfId="0" applyNumberFormat="1" applyFont="1" applyFill="1" applyBorder="1"/>
    <xf numFmtId="169" fontId="8" fillId="8" borderId="22" xfId="0" applyNumberFormat="1" applyFont="1" applyFill="1" applyBorder="1"/>
    <xf numFmtId="0" fontId="10" fillId="8" borderId="0" xfId="0" applyFont="1" applyFill="1" applyAlignment="1">
      <alignment horizontal="left" indent="1"/>
    </xf>
    <xf numFmtId="169" fontId="8" fillId="8" borderId="23" xfId="0" applyNumberFormat="1" applyFont="1" applyFill="1" applyBorder="1"/>
    <xf numFmtId="169" fontId="8" fillId="8" borderId="0" xfId="0" applyNumberFormat="1" applyFont="1" applyFill="1"/>
    <xf numFmtId="169" fontId="8" fillId="8" borderId="24" xfId="0" applyNumberFormat="1" applyFont="1" applyFill="1" applyBorder="1"/>
    <xf numFmtId="0" fontId="10" fillId="8" borderId="4" xfId="0" applyFont="1" applyFill="1" applyBorder="1" applyAlignment="1">
      <alignment horizontal="left" indent="1"/>
    </xf>
    <xf numFmtId="169" fontId="8" fillId="8" borderId="25" xfId="0" applyNumberFormat="1" applyFont="1" applyFill="1" applyBorder="1"/>
    <xf numFmtId="169" fontId="8" fillId="8" borderId="4" xfId="0" applyNumberFormat="1" applyFont="1" applyFill="1" applyBorder="1"/>
    <xf numFmtId="169" fontId="8" fillId="8" borderId="26" xfId="0" applyNumberFormat="1" applyFont="1" applyFill="1" applyBorder="1"/>
    <xf numFmtId="169" fontId="11" fillId="0" borderId="23" xfId="0" applyNumberFormat="1" applyFont="1" applyBorder="1"/>
    <xf numFmtId="41" fontId="0" fillId="0" borderId="23" xfId="0" applyNumberFormat="1" applyFont="1" applyBorder="1"/>
    <xf numFmtId="41" fontId="0" fillId="0" borderId="24" xfId="0" applyNumberFormat="1" applyFont="1" applyBorder="1"/>
    <xf numFmtId="0" fontId="0" fillId="8" borderId="9" xfId="0" applyFont="1" applyFill="1" applyBorder="1"/>
    <xf numFmtId="43" fontId="13" fillId="8" borderId="9" xfId="0" applyNumberFormat="1" applyFont="1" applyFill="1" applyBorder="1"/>
    <xf numFmtId="43" fontId="0" fillId="8" borderId="19" xfId="0" applyNumberFormat="1" applyFont="1" applyFill="1" applyBorder="1"/>
    <xf numFmtId="43" fontId="0" fillId="8" borderId="9" xfId="0" applyNumberFormat="1" applyFont="1" applyFill="1" applyBorder="1"/>
    <xf numFmtId="43" fontId="0" fillId="8" borderId="20" xfId="0" applyNumberFormat="1" applyFont="1" applyFill="1" applyBorder="1"/>
    <xf numFmtId="169" fontId="0" fillId="8" borderId="9" xfId="0" applyNumberFormat="1" applyFont="1" applyFill="1" applyBorder="1"/>
    <xf numFmtId="189" fontId="8" fillId="0" borderId="0" xfId="0" applyNumberFormat="1" applyFont="1"/>
    <xf numFmtId="189" fontId="8" fillId="0" borderId="23" xfId="0" applyNumberFormat="1" applyFont="1" applyBorder="1"/>
    <xf numFmtId="189" fontId="10" fillId="0" borderId="24" xfId="0" applyNumberFormat="1" applyFont="1" applyBorder="1"/>
    <xf numFmtId="0" fontId="0" fillId="8" borderId="6" xfId="0" applyFont="1" applyFill="1" applyBorder="1" applyAlignment="1">
      <alignment horizontal="left" indent="1"/>
    </xf>
    <xf numFmtId="189" fontId="8" fillId="8" borderId="6" xfId="0" applyNumberFormat="1" applyFont="1" applyFill="1" applyBorder="1"/>
    <xf numFmtId="189" fontId="8" fillId="8" borderId="21" xfId="0" applyNumberFormat="1" applyFont="1" applyFill="1" applyBorder="1"/>
    <xf numFmtId="189" fontId="10" fillId="8" borderId="22" xfId="0" applyNumberFormat="1" applyFont="1" applyFill="1" applyBorder="1"/>
    <xf numFmtId="189" fontId="10" fillId="8" borderId="6" xfId="0" applyNumberFormat="1" applyFont="1" applyFill="1" applyBorder="1"/>
    <xf numFmtId="0" fontId="0" fillId="8" borderId="4" xfId="0" applyFont="1" applyFill="1" applyBorder="1" applyAlignment="1">
      <alignment horizontal="left" indent="1"/>
    </xf>
    <xf numFmtId="189" fontId="8" fillId="8" borderId="4" xfId="0" applyNumberFormat="1" applyFont="1" applyFill="1" applyBorder="1"/>
    <xf numFmtId="189" fontId="8" fillId="8" borderId="25" xfId="0" applyNumberFormat="1" applyFont="1" applyFill="1" applyBorder="1"/>
    <xf numFmtId="189" fontId="13" fillId="8" borderId="26" xfId="0" applyNumberFormat="1" applyFont="1" applyFill="1" applyBorder="1"/>
    <xf numFmtId="189" fontId="10" fillId="8" borderId="4" xfId="0" applyNumberFormat="1" applyFont="1" applyFill="1" applyBorder="1"/>
    <xf numFmtId="189" fontId="11" fillId="0" borderId="0" xfId="0" applyNumberFormat="1" applyFont="1"/>
    <xf numFmtId="43" fontId="8" fillId="0" borderId="24" xfId="0" applyNumberFormat="1" applyFont="1" applyBorder="1"/>
    <xf numFmtId="44" fontId="0" fillId="0" borderId="23" xfId="0" applyNumberFormat="1" applyFont="1" applyBorder="1"/>
    <xf numFmtId="44" fontId="0" fillId="0" borderId="24" xfId="0" applyNumberFormat="1" applyFont="1" applyBorder="1"/>
    <xf numFmtId="43" fontId="8" fillId="0" borderId="0" xfId="0" applyNumberFormat="1" applyFont="1"/>
    <xf numFmtId="189" fontId="8" fillId="0" borderId="24" xfId="0" applyNumberFormat="1" applyFont="1" applyBorder="1"/>
    <xf numFmtId="43" fontId="10" fillId="0" borderId="0" xfId="0" applyNumberFormat="1" applyFont="1"/>
    <xf numFmtId="187" fontId="10" fillId="0" borderId="0" xfId="0" applyNumberFormat="1" applyFont="1"/>
    <xf numFmtId="43" fontId="10" fillId="0" borderId="24" xfId="0" applyNumberFormat="1" applyFont="1" applyBorder="1"/>
    <xf numFmtId="187" fontId="10" fillId="0" borderId="24" xfId="0" applyNumberFormat="1" applyFont="1" applyBorder="1"/>
    <xf numFmtId="169" fontId="0" fillId="0" borderId="23" xfId="0" applyNumberFormat="1" applyFont="1" applyBorder="1"/>
    <xf numFmtId="169" fontId="4" fillId="0" borderId="23" xfId="0" applyNumberFormat="1" applyFont="1" applyBorder="1"/>
    <xf numFmtId="169" fontId="10" fillId="0" borderId="25" xfId="0" applyNumberFormat="1" applyFont="1" applyBorder="1"/>
    <xf numFmtId="169" fontId="0" fillId="0" borderId="4" xfId="0" applyNumberFormat="1" applyFont="1" applyBorder="1"/>
    <xf numFmtId="169" fontId="4" fillId="0" borderId="21" xfId="0" applyNumberFormat="1" applyFont="1" applyBorder="1"/>
    <xf numFmtId="167" fontId="11" fillId="0" borderId="0" xfId="0" applyNumberFormat="1" applyFont="1"/>
    <xf numFmtId="167" fontId="11" fillId="0" borderId="23" xfId="0" applyNumberFormat="1" applyFont="1" applyBorder="1"/>
    <xf numFmtId="167" fontId="11" fillId="0" borderId="24" xfId="0" applyNumberFormat="1" applyFont="1" applyBorder="1"/>
    <xf numFmtId="167" fontId="13" fillId="0" borderId="23" xfId="0" applyNumberFormat="1" applyFont="1" applyBorder="1"/>
    <xf numFmtId="167" fontId="13" fillId="0" borderId="0" xfId="0" applyNumberFormat="1" applyFont="1"/>
    <xf numFmtId="167" fontId="13" fillId="0" borderId="24" xfId="0" applyNumberFormat="1" applyFont="1" applyBorder="1"/>
    <xf numFmtId="190" fontId="9" fillId="0" borderId="0" xfId="0" applyNumberFormat="1" applyFont="1"/>
    <xf numFmtId="0" fontId="8" fillId="0" borderId="0" xfId="0" applyFont="1"/>
    <xf numFmtId="168" fontId="8" fillId="0" borderId="0" xfId="0" applyNumberFormat="1" applyFont="1"/>
    <xf numFmtId="0" fontId="34" fillId="3" borderId="4" xfId="2" applyFont="1" applyFill="1" applyBorder="1"/>
    <xf numFmtId="0" fontId="10" fillId="2" borderId="21" xfId="2" applyFont="1" applyFill="1" applyBorder="1"/>
    <xf numFmtId="0" fontId="10" fillId="2" borderId="9" xfId="2" applyFont="1" applyFill="1" applyBorder="1"/>
    <xf numFmtId="0" fontId="2" fillId="2" borderId="9" xfId="2" applyFont="1" applyFill="1" applyBorder="1" applyAlignment="1">
      <alignment horizontal="centerContinuous"/>
    </xf>
    <xf numFmtId="0" fontId="11" fillId="2" borderId="9" xfId="2" applyFont="1" applyFill="1" applyBorder="1" applyAlignment="1">
      <alignment horizontal="centerContinuous"/>
    </xf>
    <xf numFmtId="0" fontId="11" fillId="2" borderId="20" xfId="2" applyFont="1" applyFill="1" applyBorder="1" applyAlignment="1">
      <alignment horizontal="centerContinuous"/>
    </xf>
    <xf numFmtId="0" fontId="10" fillId="2" borderId="27" xfId="2" applyFont="1" applyFill="1" applyBorder="1"/>
    <xf numFmtId="187" fontId="48" fillId="4" borderId="0" xfId="2" applyNumberFormat="1" applyFont="1" applyFill="1"/>
    <xf numFmtId="167" fontId="10" fillId="4" borderId="4" xfId="2" applyNumberFormat="1" applyFont="1" applyFill="1" applyBorder="1" applyAlignment="1">
      <alignment horizontal="center"/>
    </xf>
    <xf numFmtId="167" fontId="11" fillId="4" borderId="20" xfId="2" applyNumberFormat="1" applyFont="1" applyFill="1" applyBorder="1" applyAlignment="1">
      <alignment horizontal="center"/>
    </xf>
    <xf numFmtId="167" fontId="10" fillId="0" borderId="21" xfId="2" applyNumberFormat="1" applyFont="1" applyBorder="1"/>
    <xf numFmtId="167" fontId="10" fillId="0" borderId="6" xfId="2" applyNumberFormat="1" applyFont="1" applyBorder="1"/>
    <xf numFmtId="167" fontId="11" fillId="0" borderId="6" xfId="2" applyNumberFormat="1" applyFont="1" applyBorder="1"/>
    <xf numFmtId="167" fontId="10" fillId="4" borderId="24" xfId="2" applyNumberFormat="1" applyFont="1" applyFill="1" applyBorder="1" applyAlignment="1">
      <alignment horizontal="center"/>
    </xf>
    <xf numFmtId="167" fontId="10" fillId="0" borderId="23" xfId="2" applyNumberFormat="1" applyFont="1" applyBorder="1"/>
    <xf numFmtId="167" fontId="10" fillId="0" borderId="0" xfId="2" applyNumberFormat="1" applyFont="1"/>
    <xf numFmtId="167" fontId="11" fillId="0" borderId="0" xfId="2" applyNumberFormat="1" applyFont="1"/>
    <xf numFmtId="167" fontId="11" fillId="0" borderId="23" xfId="2" applyNumberFormat="1" applyFont="1" applyBorder="1"/>
    <xf numFmtId="167" fontId="10" fillId="4" borderId="26" xfId="2" applyNumberFormat="1" applyFont="1" applyFill="1" applyBorder="1" applyAlignment="1">
      <alignment horizontal="center"/>
    </xf>
    <xf numFmtId="168" fontId="10" fillId="4" borderId="4" xfId="2" applyNumberFormat="1" applyFont="1" applyFill="1" applyBorder="1" applyAlignment="1">
      <alignment horizontal="center"/>
    </xf>
    <xf numFmtId="168" fontId="11" fillId="4" borderId="4" xfId="2" applyNumberFormat="1" applyFont="1" applyFill="1" applyBorder="1" applyAlignment="1">
      <alignment horizontal="center"/>
    </xf>
    <xf numFmtId="168" fontId="10" fillId="4" borderId="20" xfId="2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76" fontId="13" fillId="8" borderId="21" xfId="0" applyNumberFormat="1" applyFont="1" applyFill="1" applyBorder="1"/>
    <xf numFmtId="176" fontId="13" fillId="8" borderId="25" xfId="0" applyNumberFormat="1" applyFont="1" applyFill="1" applyBorder="1"/>
    <xf numFmtId="176" fontId="0" fillId="0" borderId="0" xfId="0" applyNumberFormat="1" applyFont="1" applyBorder="1"/>
    <xf numFmtId="169" fontId="13" fillId="8" borderId="4" xfId="0" applyNumberFormat="1" applyFont="1" applyFill="1" applyBorder="1" applyAlignment="1">
      <alignment horizontal="left" indent="1"/>
    </xf>
    <xf numFmtId="176" fontId="13" fillId="8" borderId="25" xfId="0" applyNumberFormat="1" applyFont="1" applyFill="1" applyBorder="1" applyAlignment="1">
      <alignment horizontal="left" indent="1"/>
    </xf>
    <xf numFmtId="169" fontId="10" fillId="8" borderId="4" xfId="0" applyNumberFormat="1" applyFont="1" applyFill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169" fontId="0" fillId="0" borderId="0" xfId="0" applyNumberFormat="1" applyFont="1" applyBorder="1"/>
    <xf numFmtId="176" fontId="0" fillId="0" borderId="24" xfId="0" applyNumberFormat="1" applyFont="1" applyBorder="1"/>
    <xf numFmtId="176" fontId="10" fillId="8" borderId="22" xfId="0" applyNumberFormat="1" applyFont="1" applyFill="1" applyBorder="1"/>
    <xf numFmtId="176" fontId="10" fillId="8" borderId="26" xfId="0" applyNumberFormat="1" applyFont="1" applyFill="1" applyBorder="1"/>
    <xf numFmtId="176" fontId="10" fillId="8" borderId="26" xfId="0" applyNumberFormat="1" applyFont="1" applyFill="1" applyBorder="1" applyAlignment="1">
      <alignment horizontal="left" indent="1"/>
    </xf>
    <xf numFmtId="176" fontId="4" fillId="0" borderId="24" xfId="0" applyNumberFormat="1" applyFont="1" applyBorder="1"/>
    <xf numFmtId="186" fontId="0" fillId="0" borderId="0" xfId="1" applyNumberFormat="1" applyFont="1" applyBorder="1"/>
    <xf numFmtId="0" fontId="34" fillId="3" borderId="4" xfId="0" applyFont="1" applyFill="1" applyBorder="1" applyAlignment="1">
      <alignment horizontal="center"/>
    </xf>
    <xf numFmtId="176" fontId="0" fillId="0" borderId="4" xfId="1" applyNumberFormat="1" applyFont="1" applyBorder="1"/>
    <xf numFmtId="176" fontId="4" fillId="0" borderId="23" xfId="0" applyNumberFormat="1" applyFont="1" applyBorder="1"/>
    <xf numFmtId="186" fontId="4" fillId="0" borderId="0" xfId="1" applyNumberFormat="1" applyFont="1" applyBorder="1"/>
    <xf numFmtId="0" fontId="0" fillId="0" borderId="4" xfId="0" applyFont="1" applyBorder="1"/>
    <xf numFmtId="176" fontId="0" fillId="0" borderId="26" xfId="0" applyNumberFormat="1" applyFont="1" applyBorder="1"/>
    <xf numFmtId="0" fontId="0" fillId="0" borderId="25" xfId="0" applyFont="1" applyBorder="1"/>
    <xf numFmtId="0" fontId="4" fillId="0" borderId="23" xfId="0" applyFont="1" applyBorder="1"/>
    <xf numFmtId="179" fontId="4" fillId="0" borderId="24" xfId="0" applyNumberFormat="1" applyFont="1" applyBorder="1"/>
    <xf numFmtId="179" fontId="4" fillId="0" borderId="0" xfId="0" applyNumberFormat="1" applyFont="1" applyBorder="1"/>
    <xf numFmtId="0" fontId="2" fillId="0" borderId="0" xfId="2" applyFont="1" applyFill="1" applyBorder="1"/>
    <xf numFmtId="190" fontId="0" fillId="0" borderId="0" xfId="0" applyNumberFormat="1" applyFont="1" applyBorder="1"/>
    <xf numFmtId="186" fontId="0" fillId="0" borderId="0" xfId="0" applyNumberFormat="1" applyFont="1"/>
    <xf numFmtId="186" fontId="0" fillId="0" borderId="9" xfId="0" applyNumberFormat="1" applyFont="1" applyBorder="1"/>
    <xf numFmtId="43" fontId="0" fillId="0" borderId="9" xfId="0" applyNumberFormat="1" applyFont="1" applyBorder="1"/>
    <xf numFmtId="186" fontId="0" fillId="0" borderId="4" xfId="0" applyNumberFormat="1" applyFont="1" applyBorder="1"/>
    <xf numFmtId="176" fontId="0" fillId="0" borderId="4" xfId="0" applyNumberFormat="1" applyFont="1" applyBorder="1"/>
    <xf numFmtId="169" fontId="11" fillId="0" borderId="25" xfId="0" applyNumberFormat="1" applyFont="1" applyBorder="1"/>
    <xf numFmtId="169" fontId="11" fillId="0" borderId="26" xfId="0" applyNumberFormat="1" applyFont="1" applyBorder="1"/>
    <xf numFmtId="169" fontId="8" fillId="0" borderId="0" xfId="0" applyNumberFormat="1" applyFont="1" applyBorder="1"/>
    <xf numFmtId="0" fontId="7" fillId="9" borderId="0" xfId="0" applyFont="1" applyFill="1" applyBorder="1" applyAlignment="1">
      <alignment horizontal="center"/>
    </xf>
    <xf numFmtId="169" fontId="8" fillId="9" borderId="0" xfId="0" applyNumberFormat="1" applyFont="1" applyFill="1" applyBorder="1"/>
    <xf numFmtId="169" fontId="11" fillId="9" borderId="23" xfId="0" applyNumberFormat="1" applyFont="1" applyFill="1" applyBorder="1"/>
    <xf numFmtId="169" fontId="11" fillId="9" borderId="0" xfId="0" applyNumberFormat="1" applyFont="1" applyFill="1" applyBorder="1"/>
    <xf numFmtId="169" fontId="11" fillId="9" borderId="24" xfId="0" applyNumberFormat="1" applyFont="1" applyFill="1" applyBorder="1"/>
    <xf numFmtId="169" fontId="10" fillId="9" borderId="0" xfId="0" applyNumberFormat="1" applyFont="1" applyFill="1" applyBorder="1"/>
    <xf numFmtId="0" fontId="7" fillId="9" borderId="4" xfId="0" applyFont="1" applyFill="1" applyBorder="1" applyAlignment="1">
      <alignment horizontal="center"/>
    </xf>
    <xf numFmtId="169" fontId="8" fillId="9" borderId="4" xfId="0" applyNumberFormat="1" applyFont="1" applyFill="1" applyBorder="1"/>
    <xf numFmtId="169" fontId="11" fillId="9" borderId="25" xfId="0" applyNumberFormat="1" applyFont="1" applyFill="1" applyBorder="1"/>
    <xf numFmtId="169" fontId="11" fillId="9" borderId="4" xfId="0" applyNumberFormat="1" applyFont="1" applyFill="1" applyBorder="1"/>
    <xf numFmtId="169" fontId="11" fillId="9" borderId="26" xfId="0" applyNumberFormat="1" applyFont="1" applyFill="1" applyBorder="1"/>
    <xf numFmtId="169" fontId="10" fillId="9" borderId="4" xfId="0" applyNumberFormat="1" applyFont="1" applyFill="1" applyBorder="1"/>
    <xf numFmtId="0" fontId="8" fillId="0" borderId="9" xfId="0" applyFont="1" applyBorder="1"/>
    <xf numFmtId="176" fontId="8" fillId="0" borderId="23" xfId="0" applyNumberFormat="1" applyFont="1" applyBorder="1"/>
    <xf numFmtId="176" fontId="8" fillId="0" borderId="19" xfId="0" applyNumberFormat="1" applyFont="1" applyBorder="1"/>
    <xf numFmtId="186" fontId="8" fillId="0" borderId="0" xfId="1" applyNumberFormat="1" applyFont="1" applyBorder="1"/>
    <xf numFmtId="186" fontId="8" fillId="0" borderId="9" xfId="1" applyNumberFormat="1" applyFont="1" applyBorder="1"/>
    <xf numFmtId="186" fontId="8" fillId="8" borderId="6" xfId="1" applyNumberFormat="1" applyFont="1" applyFill="1" applyBorder="1"/>
    <xf numFmtId="186" fontId="8" fillId="8" borderId="4" xfId="1" applyNumberFormat="1" applyFont="1" applyFill="1" applyBorder="1"/>
    <xf numFmtId="186" fontId="8" fillId="8" borderId="4" xfId="1" applyNumberFormat="1" applyFont="1" applyFill="1" applyBorder="1" applyAlignment="1">
      <alignment horizontal="left" indent="1"/>
    </xf>
    <xf numFmtId="169" fontId="8" fillId="8" borderId="4" xfId="0" applyNumberFormat="1" applyFont="1" applyFill="1" applyBorder="1" applyAlignment="1">
      <alignment horizontal="left" indent="1"/>
    </xf>
    <xf numFmtId="176" fontId="8" fillId="8" borderId="25" xfId="0" applyNumberFormat="1" applyFont="1" applyFill="1" applyBorder="1" applyAlignment="1">
      <alignment horizontal="left" indent="1"/>
    </xf>
    <xf numFmtId="176" fontId="8" fillId="0" borderId="25" xfId="0" applyNumberFormat="1" applyFont="1" applyBorder="1"/>
    <xf numFmtId="186" fontId="8" fillId="0" borderId="4" xfId="1" applyNumberFormat="1" applyFont="1" applyBorder="1"/>
    <xf numFmtId="0" fontId="8" fillId="0" borderId="23" xfId="0" applyFont="1" applyBorder="1"/>
    <xf numFmtId="0" fontId="8" fillId="0" borderId="25" xfId="0" applyFont="1" applyBorder="1"/>
    <xf numFmtId="0" fontId="3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/>
    </xf>
    <xf numFmtId="176" fontId="8" fillId="0" borderId="4" xfId="0" applyNumberFormat="1" applyFont="1" applyBorder="1"/>
    <xf numFmtId="176" fontId="11" fillId="0" borderId="0" xfId="0" applyNumberFormat="1" applyFont="1"/>
    <xf numFmtId="176" fontId="9" fillId="0" borderId="4" xfId="0" applyNumberFormat="1" applyFont="1" applyFill="1" applyBorder="1" applyAlignment="1">
      <alignment horizontal="center"/>
    </xf>
    <xf numFmtId="176" fontId="8" fillId="0" borderId="24" xfId="0" applyNumberFormat="1" applyFont="1" applyBorder="1"/>
    <xf numFmtId="176" fontId="8" fillId="0" borderId="26" xfId="0" applyNumberFormat="1" applyFont="1" applyBorder="1"/>
    <xf numFmtId="176" fontId="11" fillId="0" borderId="24" xfId="0" applyNumberFormat="1" applyFont="1" applyBorder="1"/>
    <xf numFmtId="176" fontId="9" fillId="0" borderId="26" xfId="0" applyNumberFormat="1" applyFont="1" applyFill="1" applyBorder="1" applyAlignment="1">
      <alignment horizontal="center"/>
    </xf>
    <xf numFmtId="177" fontId="11" fillId="0" borderId="24" xfId="0" applyNumberFormat="1" applyFont="1" applyFill="1" applyBorder="1" applyAlignment="1">
      <alignment horizontal="center"/>
    </xf>
    <xf numFmtId="177" fontId="10" fillId="0" borderId="26" xfId="0" applyNumberFormat="1" applyFont="1" applyFill="1" applyBorder="1" applyAlignment="1">
      <alignment horizontal="center"/>
    </xf>
    <xf numFmtId="177" fontId="10" fillId="0" borderId="24" xfId="0" applyNumberFormat="1" applyFont="1" applyFill="1" applyBorder="1" applyAlignment="1">
      <alignment horizontal="center"/>
    </xf>
    <xf numFmtId="177" fontId="11" fillId="0" borderId="0" xfId="0" applyNumberFormat="1" applyFont="1" applyFill="1" applyBorder="1" applyAlignment="1">
      <alignment horizontal="center"/>
    </xf>
    <xf numFmtId="177" fontId="10" fillId="0" borderId="0" xfId="0" applyNumberFormat="1" applyFont="1" applyFill="1" applyBorder="1" applyAlignment="1">
      <alignment horizontal="center"/>
    </xf>
    <xf numFmtId="177" fontId="10" fillId="0" borderId="4" xfId="0" applyNumberFormat="1" applyFont="1" applyFill="1" applyBorder="1" applyAlignment="1">
      <alignment horizontal="center"/>
    </xf>
    <xf numFmtId="177" fontId="10" fillId="0" borderId="25" xfId="0" applyNumberFormat="1" applyFont="1" applyFill="1" applyBorder="1" applyAlignment="1">
      <alignment horizontal="center"/>
    </xf>
    <xf numFmtId="186" fontId="10" fillId="0" borderId="25" xfId="1" applyNumberFormat="1" applyFont="1" applyFill="1" applyBorder="1" applyAlignment="1">
      <alignment horizontal="center"/>
    </xf>
    <xf numFmtId="43" fontId="0" fillId="0" borderId="4" xfId="0" applyNumberFormat="1" applyFont="1" applyBorder="1"/>
    <xf numFmtId="177" fontId="11" fillId="0" borderId="22" xfId="0" applyNumberFormat="1" applyFont="1" applyFill="1" applyBorder="1" applyAlignment="1">
      <alignment horizontal="center"/>
    </xf>
    <xf numFmtId="167" fontId="9" fillId="0" borderId="0" xfId="0" applyNumberFormat="1" applyFont="1"/>
    <xf numFmtId="176" fontId="0" fillId="0" borderId="22" xfId="0" applyNumberFormat="1" applyFont="1" applyBorder="1"/>
    <xf numFmtId="189" fontId="8" fillId="0" borderId="0" xfId="0" applyNumberFormat="1" applyFont="1" applyFill="1"/>
    <xf numFmtId="189" fontId="8" fillId="0" borderId="23" xfId="0" applyNumberFormat="1" applyFont="1" applyFill="1" applyBorder="1"/>
    <xf numFmtId="189" fontId="8" fillId="0" borderId="24" xfId="0" applyNumberFormat="1" applyFont="1" applyFill="1" applyBorder="1"/>
    <xf numFmtId="43" fontId="8" fillId="0" borderId="0" xfId="0" applyNumberFormat="1" applyFont="1" applyFill="1"/>
    <xf numFmtId="43" fontId="10" fillId="0" borderId="0" xfId="0" applyNumberFormat="1" applyFont="1" applyFill="1"/>
    <xf numFmtId="187" fontId="10" fillId="0" borderId="0" xfId="0" applyNumberFormat="1" applyFont="1" applyFill="1"/>
    <xf numFmtId="167" fontId="10" fillId="0" borderId="24" xfId="0" applyNumberFormat="1" applyFont="1" applyBorder="1"/>
    <xf numFmtId="0" fontId="10" fillId="0" borderId="24" xfId="0" applyFont="1" applyBorder="1"/>
    <xf numFmtId="168" fontId="10" fillId="0" borderId="24" xfId="0" applyNumberFormat="1" applyFont="1" applyBorder="1"/>
    <xf numFmtId="176" fontId="8" fillId="0" borderId="9" xfId="0" applyNumberFormat="1" applyFont="1" applyBorder="1"/>
    <xf numFmtId="176" fontId="0" fillId="0" borderId="9" xfId="0" applyNumberFormat="1" applyFont="1" applyBorder="1"/>
    <xf numFmtId="0" fontId="8" fillId="0" borderId="0" xfId="0" applyFont="1" applyBorder="1"/>
    <xf numFmtId="189" fontId="11" fillId="0" borderId="24" xfId="0" applyNumberFormat="1" applyFont="1" applyBorder="1"/>
    <xf numFmtId="167" fontId="8" fillId="0" borderId="0" xfId="0" applyNumberFormat="1" applyFont="1" applyBorder="1"/>
    <xf numFmtId="41" fontId="0" fillId="0" borderId="0" xfId="0" applyNumberFormat="1" applyFont="1" applyBorder="1"/>
    <xf numFmtId="167" fontId="10" fillId="0" borderId="0" xfId="0" applyNumberFormat="1" applyFont="1" applyBorder="1"/>
    <xf numFmtId="0" fontId="10" fillId="0" borderId="0" xfId="0" applyFont="1" applyBorder="1"/>
    <xf numFmtId="168" fontId="8" fillId="0" borderId="0" xfId="0" applyNumberFormat="1" applyFont="1" applyBorder="1"/>
    <xf numFmtId="168" fontId="10" fillId="0" borderId="0" xfId="0" applyNumberFormat="1" applyFont="1" applyBorder="1"/>
    <xf numFmtId="176" fontId="4" fillId="0" borderId="22" xfId="0" applyNumberFormat="1" applyFont="1" applyBorder="1"/>
    <xf numFmtId="167" fontId="10" fillId="0" borderId="23" xfId="0" applyNumberFormat="1" applyFont="1" applyBorder="1"/>
    <xf numFmtId="0" fontId="10" fillId="0" borderId="23" xfId="0" applyFont="1" applyBorder="1"/>
    <xf numFmtId="168" fontId="10" fillId="0" borderId="23" xfId="0" applyNumberFormat="1" applyFont="1" applyBorder="1"/>
    <xf numFmtId="176" fontId="47" fillId="5" borderId="1" xfId="4" applyNumberFormat="1" applyFont="1" applyFill="1" applyAlignment="1"/>
    <xf numFmtId="0" fontId="33" fillId="2" borderId="0" xfId="0" applyFont="1" applyFill="1" applyAlignment="1">
      <alignment horizontal="centerContinuous"/>
    </xf>
    <xf numFmtId="0" fontId="33" fillId="2" borderId="29" xfId="0" applyFont="1" applyFill="1" applyBorder="1" applyAlignment="1">
      <alignment horizontal="centerContinuous"/>
    </xf>
    <xf numFmtId="0" fontId="33" fillId="2" borderId="30" xfId="0" applyFont="1" applyFill="1" applyBorder="1" applyAlignment="1">
      <alignment horizontal="centerContinuous"/>
    </xf>
    <xf numFmtId="0" fontId="33" fillId="2" borderId="4" xfId="0" applyFont="1" applyFill="1" applyBorder="1"/>
    <xf numFmtId="0" fontId="33" fillId="2" borderId="4" xfId="0" applyFont="1" applyFill="1" applyBorder="1" applyAlignment="1">
      <alignment horizontal="centerContinuous"/>
    </xf>
    <xf numFmtId="0" fontId="33" fillId="2" borderId="5" xfId="0" applyFont="1" applyFill="1" applyBorder="1" applyAlignment="1">
      <alignment horizontal="centerContinuous"/>
    </xf>
    <xf numFmtId="0" fontId="33" fillId="2" borderId="31" xfId="0" applyFont="1" applyFill="1" applyBorder="1" applyAlignment="1">
      <alignment horizontal="centerContinuous"/>
    </xf>
    <xf numFmtId="0" fontId="29" fillId="4" borderId="0" xfId="0" applyFont="1" applyFill="1"/>
    <xf numFmtId="0" fontId="21" fillId="4" borderId="21" xfId="0" applyFont="1" applyFill="1" applyBorder="1"/>
    <xf numFmtId="0" fontId="21" fillId="4" borderId="22" xfId="0" applyFont="1" applyFill="1" applyBorder="1"/>
    <xf numFmtId="0" fontId="29" fillId="4" borderId="25" xfId="0" applyFont="1" applyFill="1" applyBorder="1" applyAlignment="1">
      <alignment horizontal="centerContinuous"/>
    </xf>
    <xf numFmtId="0" fontId="29" fillId="4" borderId="26" xfId="0" applyFont="1" applyFill="1" applyBorder="1" applyAlignment="1">
      <alignment horizontal="centerContinuous"/>
    </xf>
    <xf numFmtId="167" fontId="21" fillId="0" borderId="21" xfId="0" applyNumberFormat="1" applyFont="1" applyBorder="1"/>
    <xf numFmtId="167" fontId="21" fillId="0" borderId="22" xfId="0" applyNumberFormat="1" applyFont="1" applyBorder="1"/>
    <xf numFmtId="200" fontId="30" fillId="0" borderId="0" xfId="0" applyNumberFormat="1" applyFont="1" applyAlignment="1">
      <alignment horizontal="center"/>
    </xf>
    <xf numFmtId="167" fontId="21" fillId="0" borderId="23" xfId="0" applyNumberFormat="1" applyFont="1" applyBorder="1"/>
    <xf numFmtId="167" fontId="21" fillId="0" borderId="24" xfId="0" applyNumberFormat="1" applyFont="1" applyBorder="1"/>
    <xf numFmtId="0" fontId="29" fillId="4" borderId="25" xfId="0" applyFont="1" applyFill="1" applyBorder="1"/>
    <xf numFmtId="0" fontId="29" fillId="4" borderId="26" xfId="0" applyFont="1" applyFill="1" applyBorder="1"/>
    <xf numFmtId="171" fontId="21" fillId="0" borderId="0" xfId="0" applyNumberFormat="1" applyFont="1" applyAlignment="1">
      <alignment horizontal="left"/>
    </xf>
    <xf numFmtId="167" fontId="21" fillId="0" borderId="0" xfId="0" applyNumberFormat="1" applyFont="1"/>
    <xf numFmtId="171" fontId="21" fillId="0" borderId="0" xfId="0" applyNumberFormat="1" applyFont="1" applyAlignment="1">
      <alignment horizontal="left" indent="1"/>
    </xf>
    <xf numFmtId="0" fontId="21" fillId="0" borderId="0" xfId="0" quotePrefix="1" applyFont="1"/>
    <xf numFmtId="4" fontId="0" fillId="0" borderId="0" xfId="0" applyNumberFormat="1"/>
    <xf numFmtId="0" fontId="28" fillId="5" borderId="1" xfId="0" applyFont="1" applyFill="1" applyBorder="1" applyAlignment="1">
      <alignment horizontal="centerContinuous"/>
    </xf>
    <xf numFmtId="202" fontId="41" fillId="0" borderId="0" xfId="0" applyNumberFormat="1" applyFont="1" applyAlignment="1">
      <alignment horizontal="right"/>
    </xf>
    <xf numFmtId="167" fontId="49" fillId="0" borderId="0" xfId="4" applyNumberFormat="1" applyFont="1" applyFill="1" applyBorder="1" applyAlignment="1">
      <alignment horizontal="center"/>
    </xf>
    <xf numFmtId="175" fontId="41" fillId="0" borderId="0" xfId="0" applyNumberFormat="1" applyFont="1"/>
    <xf numFmtId="187" fontId="41" fillId="0" borderId="0" xfId="0" applyNumberFormat="1" applyFont="1"/>
    <xf numFmtId="41" fontId="49" fillId="0" borderId="0" xfId="0" applyNumberFormat="1" applyFont="1"/>
    <xf numFmtId="1" fontId="50" fillId="4" borderId="9" xfId="0" applyNumberFormat="1" applyFont="1" applyFill="1" applyBorder="1" applyAlignment="1">
      <alignment horizontal="center"/>
    </xf>
    <xf numFmtId="1" fontId="50" fillId="4" borderId="4" xfId="0" applyNumberFormat="1" applyFont="1" applyFill="1" applyBorder="1" applyAlignment="1">
      <alignment horizontal="center"/>
    </xf>
    <xf numFmtId="175" fontId="45" fillId="0" borderId="0" xfId="0" applyNumberFormat="1" applyFont="1"/>
    <xf numFmtId="169" fontId="10" fillId="4" borderId="4" xfId="2" applyNumberFormat="1" applyFont="1" applyFill="1" applyBorder="1" applyAlignment="1">
      <alignment horizontal="center"/>
    </xf>
    <xf numFmtId="169" fontId="11" fillId="4" borderId="4" xfId="2" applyNumberFormat="1" applyFont="1" applyFill="1" applyBorder="1" applyAlignment="1">
      <alignment horizontal="center"/>
    </xf>
    <xf numFmtId="199" fontId="13" fillId="5" borderId="1" xfId="0" applyNumberFormat="1" applyFont="1" applyFill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202" fontId="13" fillId="5" borderId="32" xfId="0" applyNumberFormat="1" applyFont="1" applyFill="1" applyBorder="1" applyAlignment="1">
      <alignment horizontal="center"/>
    </xf>
    <xf numFmtId="167" fontId="8" fillId="0" borderId="0" xfId="0" applyNumberFormat="1" applyFont="1" applyFill="1" applyBorder="1" applyAlignment="1">
      <alignment horizontal="center"/>
    </xf>
    <xf numFmtId="174" fontId="13" fillId="0" borderId="0" xfId="0" applyNumberFormat="1" applyFont="1" applyAlignment="1">
      <alignment horizontal="center"/>
    </xf>
    <xf numFmtId="169" fontId="13" fillId="5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74" fontId="7" fillId="0" borderId="0" xfId="0" applyNumberFormat="1" applyFont="1"/>
    <xf numFmtId="0" fontId="4" fillId="10" borderId="21" xfId="0" applyFont="1" applyFill="1" applyBorder="1"/>
    <xf numFmtId="0" fontId="17" fillId="10" borderId="6" xfId="0" applyFont="1" applyFill="1" applyBorder="1" applyAlignment="1">
      <alignment horizontal="center"/>
    </xf>
    <xf numFmtId="0" fontId="0" fillId="10" borderId="6" xfId="0" applyFont="1" applyFill="1" applyBorder="1"/>
    <xf numFmtId="190" fontId="4" fillId="10" borderId="22" xfId="0" applyNumberFormat="1" applyFont="1" applyFill="1" applyBorder="1"/>
    <xf numFmtId="0" fontId="4" fillId="10" borderId="25" xfId="0" applyFont="1" applyFill="1" applyBorder="1"/>
    <xf numFmtId="0" fontId="17" fillId="10" borderId="4" xfId="0" applyFont="1" applyFill="1" applyBorder="1" applyAlignment="1">
      <alignment horizontal="center"/>
    </xf>
    <xf numFmtId="0" fontId="0" fillId="10" borderId="4" xfId="0" applyFont="1" applyFill="1" applyBorder="1"/>
    <xf numFmtId="187" fontId="4" fillId="10" borderId="26" xfId="0" applyNumberFormat="1" applyFont="1" applyFill="1" applyBorder="1"/>
    <xf numFmtId="174" fontId="0" fillId="0" borderId="0" xfId="0" applyNumberFormat="1" applyFont="1"/>
    <xf numFmtId="169" fontId="8" fillId="0" borderId="0" xfId="0" applyNumberFormat="1" applyFont="1" applyFill="1" applyBorder="1"/>
    <xf numFmtId="169" fontId="13" fillId="0" borderId="0" xfId="0" applyNumberFormat="1" applyFont="1" applyFill="1" applyBorder="1" applyAlignment="1">
      <alignment horizontal="center"/>
    </xf>
    <xf numFmtId="169" fontId="13" fillId="5" borderId="8" xfId="0" applyNumberFormat="1" applyFont="1" applyFill="1" applyBorder="1" applyAlignment="1">
      <alignment horizontal="center"/>
    </xf>
    <xf numFmtId="0" fontId="4" fillId="10" borderId="19" xfId="0" applyFont="1" applyFill="1" applyBorder="1"/>
    <xf numFmtId="0" fontId="7" fillId="10" borderId="9" xfId="0" applyFont="1" applyFill="1" applyBorder="1" applyAlignment="1">
      <alignment horizontal="center"/>
    </xf>
    <xf numFmtId="0" fontId="0" fillId="10" borderId="9" xfId="0" applyFont="1" applyFill="1" applyBorder="1"/>
    <xf numFmtId="187" fontId="4" fillId="10" borderId="20" xfId="0" applyNumberFormat="1" applyFont="1" applyFill="1" applyBorder="1"/>
    <xf numFmtId="10" fontId="10" fillId="4" borderId="4" xfId="2" applyNumberFormat="1" applyFont="1" applyFill="1" applyBorder="1" applyAlignment="1">
      <alignment horizontal="center"/>
    </xf>
    <xf numFmtId="10" fontId="11" fillId="4" borderId="4" xfId="2" applyNumberFormat="1" applyFont="1" applyFill="1" applyBorder="1" applyAlignment="1">
      <alignment horizontal="center"/>
    </xf>
    <xf numFmtId="10" fontId="10" fillId="4" borderId="26" xfId="2" applyNumberFormat="1" applyFont="1" applyFill="1" applyBorder="1" applyAlignment="1">
      <alignment horizontal="center"/>
    </xf>
    <xf numFmtId="202" fontId="10" fillId="4" borderId="24" xfId="2" applyNumberFormat="1" applyFont="1" applyFill="1" applyBorder="1" applyAlignment="1">
      <alignment horizontal="center"/>
    </xf>
    <xf numFmtId="202" fontId="11" fillId="4" borderId="24" xfId="2" applyNumberFormat="1" applyFont="1" applyFill="1" applyBorder="1" applyAlignment="1">
      <alignment horizontal="center"/>
    </xf>
    <xf numFmtId="202" fontId="10" fillId="4" borderId="26" xfId="2" applyNumberFormat="1" applyFont="1" applyFill="1" applyBorder="1" applyAlignment="1">
      <alignment horizontal="center"/>
    </xf>
    <xf numFmtId="202" fontId="13" fillId="4" borderId="24" xfId="2" applyNumberFormat="1" applyFont="1" applyFill="1" applyBorder="1" applyAlignment="1">
      <alignment horizontal="center"/>
    </xf>
    <xf numFmtId="0" fontId="34" fillId="0" borderId="0" xfId="2" applyFont="1" applyFill="1" applyBorder="1"/>
    <xf numFmtId="0" fontId="2" fillId="2" borderId="27" xfId="2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2" xr:uid="{8EDD3EEE-C8B7-4774-A04B-728DF3F956A1}"/>
    <cellStyle name="Normal 3 2" xfId="3" xr:uid="{B2D38721-473C-47A5-8508-1C933135A275}"/>
    <cellStyle name="Note" xfId="4" builtinId="10"/>
  </cellStyles>
  <dxfs count="2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D9E1F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Relative Contribution Analysis: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Buyer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'Contrib.'!$C$34:$C$46</c:f>
              <c:strCache>
                <c:ptCount val="13"/>
                <c:pt idx="0">
                  <c:v>Total Capital:</c:v>
                </c:pt>
                <c:pt idx="1">
                  <c:v>Tier 1 Capital:</c:v>
                </c:pt>
                <c:pt idx="2">
                  <c:v>Tangible Common Equity:</c:v>
                </c:pt>
                <c:pt idx="3">
                  <c:v>Common Equity:</c:v>
                </c:pt>
                <c:pt idx="4">
                  <c:v>Total Deposits:</c:v>
                </c:pt>
                <c:pt idx="5">
                  <c:v>Total Assets:</c:v>
                </c:pt>
                <c:pt idx="6">
                  <c:v>Total Gross Loans:</c:v>
                </c:pt>
                <c:pt idx="7">
                  <c:v>Post-Synergy Net Income to Common - Combined Year 3 - 2023-12-31:</c:v>
                </c:pt>
                <c:pt idx="8">
                  <c:v>Post-Synergy Net Income to Common - Combined Year 2 - 2022-12-31:</c:v>
                </c:pt>
                <c:pt idx="9">
                  <c:v>Post-Synergy Net Income to Common - Combined Year 1 - 2021-12-31:</c:v>
                </c:pt>
                <c:pt idx="10">
                  <c:v>Net Income to Common - Combined Year 3 - 2023-12-31:</c:v>
                </c:pt>
                <c:pt idx="11">
                  <c:v>Net Income to Common - Combined Year 2 - 2022-12-31:</c:v>
                </c:pt>
                <c:pt idx="12">
                  <c:v>Net Income to Common - Combined Year 1 - 2021-12-31:</c:v>
                </c:pt>
              </c:strCache>
            </c:strRef>
          </c:cat>
          <c:val>
            <c:numRef>
              <c:f>'Contrib.'!$G$34:$G$46</c:f>
              <c:numCache>
                <c:formatCode>0.0%_);\(0.0%\);\-_%_);@_)</c:formatCode>
                <c:ptCount val="13"/>
                <c:pt idx="0">
                  <c:v>0.40380414972058704</c:v>
                </c:pt>
                <c:pt idx="1">
                  <c:v>0.43480639249367209</c:v>
                </c:pt>
                <c:pt idx="2">
                  <c:v>0.43456583303418295</c:v>
                </c:pt>
                <c:pt idx="3">
                  <c:v>0.4359655148725699</c:v>
                </c:pt>
                <c:pt idx="4">
                  <c:v>0.40402649091993104</c:v>
                </c:pt>
                <c:pt idx="5">
                  <c:v>0.39672699101275277</c:v>
                </c:pt>
                <c:pt idx="6">
                  <c:v>0.3489898178380495</c:v>
                </c:pt>
                <c:pt idx="7">
                  <c:v>0.82170924692005709</c:v>
                </c:pt>
                <c:pt idx="8">
                  <c:v>0.82851081890208933</c:v>
                </c:pt>
                <c:pt idx="9">
                  <c:v>0.84460005309746322</c:v>
                </c:pt>
                <c:pt idx="10">
                  <c:v>0.88891725712770164</c:v>
                </c:pt>
                <c:pt idx="11">
                  <c:v>0.89435215882020047</c:v>
                </c:pt>
                <c:pt idx="12">
                  <c:v>0.88344574635406581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5-4166-B953-26BB1394C842}"/>
            </c:ext>
          </c:extLst>
        </c:ser>
        <c:ser>
          <c:idx val="1"/>
          <c:order val="1"/>
          <c:tx>
            <c:v>Seller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'Contrib.'!$C$34:$C$46</c:f>
              <c:strCache>
                <c:ptCount val="13"/>
                <c:pt idx="0">
                  <c:v>Total Capital:</c:v>
                </c:pt>
                <c:pt idx="1">
                  <c:v>Tier 1 Capital:</c:v>
                </c:pt>
                <c:pt idx="2">
                  <c:v>Tangible Common Equity:</c:v>
                </c:pt>
                <c:pt idx="3">
                  <c:v>Common Equity:</c:v>
                </c:pt>
                <c:pt idx="4">
                  <c:v>Total Deposits:</c:v>
                </c:pt>
                <c:pt idx="5">
                  <c:v>Total Assets:</c:v>
                </c:pt>
                <c:pt idx="6">
                  <c:v>Total Gross Loans:</c:v>
                </c:pt>
                <c:pt idx="7">
                  <c:v>Post-Synergy Net Income to Common - Combined Year 3 - 2023-12-31:</c:v>
                </c:pt>
                <c:pt idx="8">
                  <c:v>Post-Synergy Net Income to Common - Combined Year 2 - 2022-12-31:</c:v>
                </c:pt>
                <c:pt idx="9">
                  <c:v>Post-Synergy Net Income to Common - Combined Year 1 - 2021-12-31:</c:v>
                </c:pt>
                <c:pt idx="10">
                  <c:v>Net Income to Common - Combined Year 3 - 2023-12-31:</c:v>
                </c:pt>
                <c:pt idx="11">
                  <c:v>Net Income to Common - Combined Year 2 - 2022-12-31:</c:v>
                </c:pt>
                <c:pt idx="12">
                  <c:v>Net Income to Common - Combined Year 1 - 2021-12-31:</c:v>
                </c:pt>
              </c:strCache>
            </c:strRef>
          </c:cat>
          <c:val>
            <c:numRef>
              <c:f>'Contrib.'!$H$34:$H$46</c:f>
              <c:numCache>
                <c:formatCode>0.0%_);\(0.0%\);\-_%_);@_)</c:formatCode>
                <c:ptCount val="13"/>
                <c:pt idx="0">
                  <c:v>0.59619585027941291</c:v>
                </c:pt>
                <c:pt idx="1">
                  <c:v>0.56519360750632797</c:v>
                </c:pt>
                <c:pt idx="2">
                  <c:v>0.56543416696581705</c:v>
                </c:pt>
                <c:pt idx="3">
                  <c:v>0.56403448512743015</c:v>
                </c:pt>
                <c:pt idx="4">
                  <c:v>0.59597350908006896</c:v>
                </c:pt>
                <c:pt idx="5">
                  <c:v>0.60327300898724723</c:v>
                </c:pt>
                <c:pt idx="6">
                  <c:v>0.6510101821619505</c:v>
                </c:pt>
                <c:pt idx="7">
                  <c:v>0.17829075307994291</c:v>
                </c:pt>
                <c:pt idx="8">
                  <c:v>0.17148918109791067</c:v>
                </c:pt>
                <c:pt idx="9">
                  <c:v>0.15539994690253678</c:v>
                </c:pt>
                <c:pt idx="10">
                  <c:v>0.11108274287229836</c:v>
                </c:pt>
                <c:pt idx="11">
                  <c:v>0.10564784117979953</c:v>
                </c:pt>
                <c:pt idx="12">
                  <c:v>0.11655425364593419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55-4166-B953-26BB1394C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976312"/>
        <c:axId val="136975920"/>
      </c:barChart>
      <c:catAx>
        <c:axId val="136976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5920"/>
        <c:crosses val="autoZero"/>
        <c:auto val="1"/>
        <c:lblAlgn val="ctr"/>
        <c:lblOffset val="100"/>
        <c:noMultiLvlLbl val="0"/>
      </c:catAx>
      <c:valAx>
        <c:axId val="13697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Offer</a:t>
            </a:r>
            <a:r>
              <a:rPr lang="en-US" b="1" baseline="0">
                <a:solidFill>
                  <a:sysClr val="windowText" lastClr="000000"/>
                </a:solidFill>
              </a:rPr>
              <a:t> Price vs. Implied Price per Share Based on Relative Contribution: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Offer 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'Contrib.'!$C$34:$C$46</c:f>
              <c:strCache>
                <c:ptCount val="13"/>
                <c:pt idx="0">
                  <c:v>Total Capital:</c:v>
                </c:pt>
                <c:pt idx="1">
                  <c:v>Tier 1 Capital:</c:v>
                </c:pt>
                <c:pt idx="2">
                  <c:v>Tangible Common Equity:</c:v>
                </c:pt>
                <c:pt idx="3">
                  <c:v>Common Equity:</c:v>
                </c:pt>
                <c:pt idx="4">
                  <c:v>Total Deposits:</c:v>
                </c:pt>
                <c:pt idx="5">
                  <c:v>Total Assets:</c:v>
                </c:pt>
                <c:pt idx="6">
                  <c:v>Total Gross Loans:</c:v>
                </c:pt>
                <c:pt idx="7">
                  <c:v>Post-Synergy Net Income to Common - Combined Year 3 - 2023-12-31:</c:v>
                </c:pt>
                <c:pt idx="8">
                  <c:v>Post-Synergy Net Income to Common - Combined Year 2 - 2022-12-31:</c:v>
                </c:pt>
                <c:pt idx="9">
                  <c:v>Post-Synergy Net Income to Common - Combined Year 1 - 2021-12-31:</c:v>
                </c:pt>
                <c:pt idx="10">
                  <c:v>Net Income to Common - Combined Year 3 - 2023-12-31:</c:v>
                </c:pt>
                <c:pt idx="11">
                  <c:v>Net Income to Common - Combined Year 2 - 2022-12-31:</c:v>
                </c:pt>
                <c:pt idx="12">
                  <c:v>Net Income to Common - Combined Year 1 - 2021-12-31:</c:v>
                </c:pt>
              </c:strCache>
            </c:strRef>
          </c:cat>
          <c:val>
            <c:numRef>
              <c:f>'Contrib.'!$I$34:$I$46</c:f>
              <c:numCache>
                <c:formatCode>_(* #,##0.0_);_(* \(#,##0.0\);_(* "-"?_);_(@_)</c:formatCode>
                <c:ptCount val="13"/>
                <c:pt idx="0">
                  <c:v>76.615000000000009</c:v>
                </c:pt>
                <c:pt idx="1">
                  <c:v>76.615000000000009</c:v>
                </c:pt>
                <c:pt idx="2">
                  <c:v>76.615000000000009</c:v>
                </c:pt>
                <c:pt idx="3">
                  <c:v>76.615000000000009</c:v>
                </c:pt>
                <c:pt idx="4">
                  <c:v>76.615000000000009</c:v>
                </c:pt>
                <c:pt idx="5">
                  <c:v>76.615000000000009</c:v>
                </c:pt>
                <c:pt idx="6">
                  <c:v>76.615000000000009</c:v>
                </c:pt>
                <c:pt idx="7">
                  <c:v>76.615000000000009</c:v>
                </c:pt>
                <c:pt idx="8">
                  <c:v>76.615000000000009</c:v>
                </c:pt>
                <c:pt idx="9">
                  <c:v>76.615000000000009</c:v>
                </c:pt>
                <c:pt idx="10">
                  <c:v>76.615000000000009</c:v>
                </c:pt>
                <c:pt idx="11">
                  <c:v>76.615000000000009</c:v>
                </c:pt>
                <c:pt idx="12">
                  <c:v>76.615000000000009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A-456D-BCF5-60BC7ACB70C0}"/>
            </c:ext>
          </c:extLst>
        </c:ser>
        <c:ser>
          <c:idx val="1"/>
          <c:order val="1"/>
          <c:tx>
            <c:v>Implied Price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-5.865102639296187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3A-456D-BCF5-60BC7ACB70C0}"/>
                </c:ext>
              </c:extLst>
            </c:dLbl>
            <c:dLbl>
              <c:idx val="8"/>
              <c:layout>
                <c:manualLayout>
                  <c:x val="0"/>
                  <c:y val="-1.17302052785923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3A-456D-BCF5-60BC7ACB70C0}"/>
                </c:ext>
              </c:extLst>
            </c:dLbl>
            <c:dLbl>
              <c:idx val="9"/>
              <c:layout>
                <c:manualLayout>
                  <c:x val="7.8271532822231339E-4"/>
                  <c:y val="-1.17302052785925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3A-456D-BCF5-60BC7ACB70C0}"/>
                </c:ext>
              </c:extLst>
            </c:dLbl>
            <c:dLbl>
              <c:idx val="10"/>
              <c:layout>
                <c:manualLayout>
                  <c:x val="1.1479692199545058E-16"/>
                  <c:y val="-3.9100684261974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3A-456D-BCF5-60BC7ACB70C0}"/>
                </c:ext>
              </c:extLst>
            </c:dLbl>
            <c:dLbl>
              <c:idx val="11"/>
              <c:layout>
                <c:manualLayout>
                  <c:x val="3.1308613128897128E-3"/>
                  <c:y val="-5.278592375366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A3A-456D-BCF5-60BC7ACB70C0}"/>
                </c:ext>
              </c:extLst>
            </c:dLbl>
            <c:dLbl>
              <c:idx val="12"/>
              <c:layout>
                <c:manualLayout>
                  <c:x val="3.9135766411120265E-3"/>
                  <c:y val="-3.519061583577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A3A-456D-BCF5-60BC7ACB70C0}"/>
                </c:ext>
              </c:extLst>
            </c:dLbl>
            <c:numFmt formatCode="#,##0.00\ [$₽-419]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'Contrib.'!$C$34:$C$46</c:f>
              <c:strCache>
                <c:ptCount val="13"/>
                <c:pt idx="0">
                  <c:v>Total Capital:</c:v>
                </c:pt>
                <c:pt idx="1">
                  <c:v>Tier 1 Capital:</c:v>
                </c:pt>
                <c:pt idx="2">
                  <c:v>Tangible Common Equity:</c:v>
                </c:pt>
                <c:pt idx="3">
                  <c:v>Common Equity:</c:v>
                </c:pt>
                <c:pt idx="4">
                  <c:v>Total Deposits:</c:v>
                </c:pt>
                <c:pt idx="5">
                  <c:v>Total Assets:</c:v>
                </c:pt>
                <c:pt idx="6">
                  <c:v>Total Gross Loans:</c:v>
                </c:pt>
                <c:pt idx="7">
                  <c:v>Post-Synergy Net Income to Common - Combined Year 3 - 2023-12-31:</c:v>
                </c:pt>
                <c:pt idx="8">
                  <c:v>Post-Synergy Net Income to Common - Combined Year 2 - 2022-12-31:</c:v>
                </c:pt>
                <c:pt idx="9">
                  <c:v>Post-Synergy Net Income to Common - Combined Year 1 - 2021-12-31:</c:v>
                </c:pt>
                <c:pt idx="10">
                  <c:v>Net Income to Common - Combined Year 3 - 2023-12-31:</c:v>
                </c:pt>
                <c:pt idx="11">
                  <c:v>Net Income to Common - Combined Year 2 - 2022-12-31:</c:v>
                </c:pt>
                <c:pt idx="12">
                  <c:v>Net Income to Common - Combined Year 1 - 2021-12-31:</c:v>
                </c:pt>
              </c:strCache>
            </c:strRef>
          </c:cat>
          <c:val>
            <c:numRef>
              <c:f>'Contrib.'!$J$34:$J$46</c:f>
              <c:numCache>
                <c:formatCode>_(* #,##0.0_);_(* \(#,##0.0\);_(* "-"?_);_(@_)</c:formatCode>
                <c:ptCount val="13"/>
                <c:pt idx="0">
                  <c:v>445.00666431922843</c:v>
                </c:pt>
                <c:pt idx="1">
                  <c:v>391.78667801546254</c:v>
                </c:pt>
                <c:pt idx="2">
                  <c:v>392.17040229989715</c:v>
                </c:pt>
                <c:pt idx="3">
                  <c:v>389.9436600173928</c:v>
                </c:pt>
                <c:pt idx="4">
                  <c:v>444.59590477009806</c:v>
                </c:pt>
                <c:pt idx="5">
                  <c:v>458.32177413486301</c:v>
                </c:pt>
                <c:pt idx="6">
                  <c:v>562.24210895270301</c:v>
                </c:pt>
                <c:pt idx="7">
                  <c:v>65.397175096120307</c:v>
                </c:pt>
                <c:pt idx="8">
                  <c:v>62.385963430698922</c:v>
                </c:pt>
                <c:pt idx="9">
                  <c:v>55.455944375737452</c:v>
                </c:pt>
                <c:pt idx="10">
                  <c:v>37.664620946995804</c:v>
                </c:pt>
                <c:pt idx="11">
                  <c:v>35.604132710380384</c:v>
                </c:pt>
                <c:pt idx="12">
                  <c:v>39.764597186604107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A-456D-BCF5-60BC7ACB7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971216"/>
        <c:axId val="136971608"/>
      </c:barChart>
      <c:catAx>
        <c:axId val="13697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1608"/>
        <c:crosses val="autoZero"/>
        <c:auto val="1"/>
        <c:lblAlgn val="ctr"/>
        <c:lblOffset val="100"/>
        <c:noMultiLvlLbl val="0"/>
      </c:catAx>
      <c:valAx>
        <c:axId val="13697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[$₽-419]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47</xdr:row>
      <xdr:rowOff>3734</xdr:rowOff>
    </xdr:from>
    <xdr:to>
      <xdr:col>13</xdr:col>
      <xdr:colOff>514349</xdr:colOff>
      <xdr:row>74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4C34F-C750-4DFB-B3E8-4BAC3A3E6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175933</xdr:colOff>
      <xdr:row>75</xdr:row>
      <xdr:rowOff>28575</xdr:rowOff>
    </xdr:from>
    <xdr:to>
      <xdr:col>18</xdr:col>
      <xdr:colOff>475700</xdr:colOff>
      <xdr:row>107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DEBF5-1F3D-47BF-B3C1-4685A9E39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FC1-8192-45DF-9928-A89F24034CC5}">
  <sheetPr>
    <pageSetUpPr autoPageBreaks="0"/>
  </sheetPr>
  <dimension ref="B2:L70"/>
  <sheetViews>
    <sheetView showGridLines="0" tabSelected="1" topLeftCell="A43" zoomScaleNormal="100" workbookViewId="0">
      <selection activeCell="F78" sqref="F78"/>
    </sheetView>
  </sheetViews>
  <sheetFormatPr defaultRowHeight="15.75" outlineLevelRow="1" x14ac:dyDescent="0.25"/>
  <cols>
    <col min="1" max="2" width="2.7109375" style="180" customWidth="1"/>
    <col min="3" max="3" width="50.42578125" style="180" customWidth="1"/>
    <col min="4" max="5" width="13.7109375" style="180" customWidth="1"/>
    <col min="6" max="6" width="17.5703125" style="180" customWidth="1"/>
    <col min="7" max="12" width="13.7109375" style="180" customWidth="1"/>
    <col min="13" max="13" width="2.7109375" style="180" customWidth="1"/>
    <col min="14" max="245" width="9.140625" style="180"/>
    <col min="246" max="246" width="2.7109375" style="180" customWidth="1"/>
    <col min="247" max="255" width="10.7109375" style="180" customWidth="1"/>
    <col min="256" max="256" width="2.7109375" style="180" customWidth="1"/>
    <col min="257" max="501" width="9.140625" style="180"/>
    <col min="502" max="502" width="2.7109375" style="180" customWidth="1"/>
    <col min="503" max="511" width="10.7109375" style="180" customWidth="1"/>
    <col min="512" max="512" width="2.7109375" style="180" customWidth="1"/>
    <col min="513" max="757" width="9.140625" style="180"/>
    <col min="758" max="758" width="2.7109375" style="180" customWidth="1"/>
    <col min="759" max="767" width="10.7109375" style="180" customWidth="1"/>
    <col min="768" max="768" width="2.7109375" style="180" customWidth="1"/>
    <col min="769" max="1013" width="9.140625" style="180"/>
    <col min="1014" max="1014" width="2.7109375" style="180" customWidth="1"/>
    <col min="1015" max="1023" width="10.7109375" style="180" customWidth="1"/>
    <col min="1024" max="1024" width="2.7109375" style="180" customWidth="1"/>
    <col min="1025" max="1269" width="9.140625" style="180"/>
    <col min="1270" max="1270" width="2.7109375" style="180" customWidth="1"/>
    <col min="1271" max="1279" width="10.7109375" style="180" customWidth="1"/>
    <col min="1280" max="1280" width="2.7109375" style="180" customWidth="1"/>
    <col min="1281" max="1525" width="9.140625" style="180"/>
    <col min="1526" max="1526" width="2.7109375" style="180" customWidth="1"/>
    <col min="1527" max="1535" width="10.7109375" style="180" customWidth="1"/>
    <col min="1536" max="1536" width="2.7109375" style="180" customWidth="1"/>
    <col min="1537" max="1781" width="9.140625" style="180"/>
    <col min="1782" max="1782" width="2.7109375" style="180" customWidth="1"/>
    <col min="1783" max="1791" width="10.7109375" style="180" customWidth="1"/>
    <col min="1792" max="1792" width="2.7109375" style="180" customWidth="1"/>
    <col min="1793" max="2037" width="9.140625" style="180"/>
    <col min="2038" max="2038" width="2.7109375" style="180" customWidth="1"/>
    <col min="2039" max="2047" width="10.7109375" style="180" customWidth="1"/>
    <col min="2048" max="2048" width="2.7109375" style="180" customWidth="1"/>
    <col min="2049" max="2293" width="9.140625" style="180"/>
    <col min="2294" max="2294" width="2.7109375" style="180" customWidth="1"/>
    <col min="2295" max="2303" width="10.7109375" style="180" customWidth="1"/>
    <col min="2304" max="2304" width="2.7109375" style="180" customWidth="1"/>
    <col min="2305" max="2549" width="9.140625" style="180"/>
    <col min="2550" max="2550" width="2.7109375" style="180" customWidth="1"/>
    <col min="2551" max="2559" width="10.7109375" style="180" customWidth="1"/>
    <col min="2560" max="2560" width="2.7109375" style="180" customWidth="1"/>
    <col min="2561" max="2805" width="9.140625" style="180"/>
    <col min="2806" max="2806" width="2.7109375" style="180" customWidth="1"/>
    <col min="2807" max="2815" width="10.7109375" style="180" customWidth="1"/>
    <col min="2816" max="2816" width="2.7109375" style="180" customWidth="1"/>
    <col min="2817" max="3061" width="9.140625" style="180"/>
    <col min="3062" max="3062" width="2.7109375" style="180" customWidth="1"/>
    <col min="3063" max="3071" width="10.7109375" style="180" customWidth="1"/>
    <col min="3072" max="3072" width="2.7109375" style="180" customWidth="1"/>
    <col min="3073" max="3317" width="9.140625" style="180"/>
    <col min="3318" max="3318" width="2.7109375" style="180" customWidth="1"/>
    <col min="3319" max="3327" width="10.7109375" style="180" customWidth="1"/>
    <col min="3328" max="3328" width="2.7109375" style="180" customWidth="1"/>
    <col min="3329" max="3573" width="9.140625" style="180"/>
    <col min="3574" max="3574" width="2.7109375" style="180" customWidth="1"/>
    <col min="3575" max="3583" width="10.7109375" style="180" customWidth="1"/>
    <col min="3584" max="3584" width="2.7109375" style="180" customWidth="1"/>
    <col min="3585" max="3829" width="9.140625" style="180"/>
    <col min="3830" max="3830" width="2.7109375" style="180" customWidth="1"/>
    <col min="3831" max="3839" width="10.7109375" style="180" customWidth="1"/>
    <col min="3840" max="3840" width="2.7109375" style="180" customWidth="1"/>
    <col min="3841" max="4085" width="9.140625" style="180"/>
    <col min="4086" max="4086" width="2.7109375" style="180" customWidth="1"/>
    <col min="4087" max="4095" width="10.7109375" style="180" customWidth="1"/>
    <col min="4096" max="4096" width="2.7109375" style="180" customWidth="1"/>
    <col min="4097" max="4341" width="9.140625" style="180"/>
    <col min="4342" max="4342" width="2.7109375" style="180" customWidth="1"/>
    <col min="4343" max="4351" width="10.7109375" style="180" customWidth="1"/>
    <col min="4352" max="4352" width="2.7109375" style="180" customWidth="1"/>
    <col min="4353" max="4597" width="9.140625" style="180"/>
    <col min="4598" max="4598" width="2.7109375" style="180" customWidth="1"/>
    <col min="4599" max="4607" width="10.7109375" style="180" customWidth="1"/>
    <col min="4608" max="4608" width="2.7109375" style="180" customWidth="1"/>
    <col min="4609" max="4853" width="9.140625" style="180"/>
    <col min="4854" max="4854" width="2.7109375" style="180" customWidth="1"/>
    <col min="4855" max="4863" width="10.7109375" style="180" customWidth="1"/>
    <col min="4864" max="4864" width="2.7109375" style="180" customWidth="1"/>
    <col min="4865" max="5109" width="9.140625" style="180"/>
    <col min="5110" max="5110" width="2.7109375" style="180" customWidth="1"/>
    <col min="5111" max="5119" width="10.7109375" style="180" customWidth="1"/>
    <col min="5120" max="5120" width="2.7109375" style="180" customWidth="1"/>
    <col min="5121" max="5365" width="9.140625" style="180"/>
    <col min="5366" max="5366" width="2.7109375" style="180" customWidth="1"/>
    <col min="5367" max="5375" width="10.7109375" style="180" customWidth="1"/>
    <col min="5376" max="5376" width="2.7109375" style="180" customWidth="1"/>
    <col min="5377" max="5621" width="9.140625" style="180"/>
    <col min="5622" max="5622" width="2.7109375" style="180" customWidth="1"/>
    <col min="5623" max="5631" width="10.7109375" style="180" customWidth="1"/>
    <col min="5632" max="5632" width="2.7109375" style="180" customWidth="1"/>
    <col min="5633" max="5877" width="9.140625" style="180"/>
    <col min="5878" max="5878" width="2.7109375" style="180" customWidth="1"/>
    <col min="5879" max="5887" width="10.7109375" style="180" customWidth="1"/>
    <col min="5888" max="5888" width="2.7109375" style="180" customWidth="1"/>
    <col min="5889" max="6133" width="9.140625" style="180"/>
    <col min="6134" max="6134" width="2.7109375" style="180" customWidth="1"/>
    <col min="6135" max="6143" width="10.7109375" style="180" customWidth="1"/>
    <col min="6144" max="6144" width="2.7109375" style="180" customWidth="1"/>
    <col min="6145" max="6389" width="9.140625" style="180"/>
    <col min="6390" max="6390" width="2.7109375" style="180" customWidth="1"/>
    <col min="6391" max="6399" width="10.7109375" style="180" customWidth="1"/>
    <col min="6400" max="6400" width="2.7109375" style="180" customWidth="1"/>
    <col min="6401" max="6645" width="9.140625" style="180"/>
    <col min="6646" max="6646" width="2.7109375" style="180" customWidth="1"/>
    <col min="6647" max="6655" width="10.7109375" style="180" customWidth="1"/>
    <col min="6656" max="6656" width="2.7109375" style="180" customWidth="1"/>
    <col min="6657" max="6901" width="9.140625" style="180"/>
    <col min="6902" max="6902" width="2.7109375" style="180" customWidth="1"/>
    <col min="6903" max="6911" width="10.7109375" style="180" customWidth="1"/>
    <col min="6912" max="6912" width="2.7109375" style="180" customWidth="1"/>
    <col min="6913" max="7157" width="9.140625" style="180"/>
    <col min="7158" max="7158" width="2.7109375" style="180" customWidth="1"/>
    <col min="7159" max="7167" width="10.7109375" style="180" customWidth="1"/>
    <col min="7168" max="7168" width="2.7109375" style="180" customWidth="1"/>
    <col min="7169" max="7413" width="9.140625" style="180"/>
    <col min="7414" max="7414" width="2.7109375" style="180" customWidth="1"/>
    <col min="7415" max="7423" width="10.7109375" style="180" customWidth="1"/>
    <col min="7424" max="7424" width="2.7109375" style="180" customWidth="1"/>
    <col min="7425" max="7669" width="9.140625" style="180"/>
    <col min="7670" max="7670" width="2.7109375" style="180" customWidth="1"/>
    <col min="7671" max="7679" width="10.7109375" style="180" customWidth="1"/>
    <col min="7680" max="7680" width="2.7109375" style="180" customWidth="1"/>
    <col min="7681" max="7925" width="9.140625" style="180"/>
    <col min="7926" max="7926" width="2.7109375" style="180" customWidth="1"/>
    <col min="7927" max="7935" width="10.7109375" style="180" customWidth="1"/>
    <col min="7936" max="7936" width="2.7109375" style="180" customWidth="1"/>
    <col min="7937" max="8181" width="9.140625" style="180"/>
    <col min="8182" max="8182" width="2.7109375" style="180" customWidth="1"/>
    <col min="8183" max="8191" width="10.7109375" style="180" customWidth="1"/>
    <col min="8192" max="8192" width="2.7109375" style="180" customWidth="1"/>
    <col min="8193" max="8437" width="9.140625" style="180"/>
    <col min="8438" max="8438" width="2.7109375" style="180" customWidth="1"/>
    <col min="8439" max="8447" width="10.7109375" style="180" customWidth="1"/>
    <col min="8448" max="8448" width="2.7109375" style="180" customWidth="1"/>
    <col min="8449" max="8693" width="9.140625" style="180"/>
    <col min="8694" max="8694" width="2.7109375" style="180" customWidth="1"/>
    <col min="8695" max="8703" width="10.7109375" style="180" customWidth="1"/>
    <col min="8704" max="8704" width="2.7109375" style="180" customWidth="1"/>
    <col min="8705" max="8949" width="9.140625" style="180"/>
    <col min="8950" max="8950" width="2.7109375" style="180" customWidth="1"/>
    <col min="8951" max="8959" width="10.7109375" style="180" customWidth="1"/>
    <col min="8960" max="8960" width="2.7109375" style="180" customWidth="1"/>
    <col min="8961" max="9205" width="9.140625" style="180"/>
    <col min="9206" max="9206" width="2.7109375" style="180" customWidth="1"/>
    <col min="9207" max="9215" width="10.7109375" style="180" customWidth="1"/>
    <col min="9216" max="9216" width="2.7109375" style="180" customWidth="1"/>
    <col min="9217" max="9461" width="9.140625" style="180"/>
    <col min="9462" max="9462" width="2.7109375" style="180" customWidth="1"/>
    <col min="9463" max="9471" width="10.7109375" style="180" customWidth="1"/>
    <col min="9472" max="9472" width="2.7109375" style="180" customWidth="1"/>
    <col min="9473" max="9717" width="9.140625" style="180"/>
    <col min="9718" max="9718" width="2.7109375" style="180" customWidth="1"/>
    <col min="9719" max="9727" width="10.7109375" style="180" customWidth="1"/>
    <col min="9728" max="9728" width="2.7109375" style="180" customWidth="1"/>
    <col min="9729" max="9973" width="9.140625" style="180"/>
    <col min="9974" max="9974" width="2.7109375" style="180" customWidth="1"/>
    <col min="9975" max="9983" width="10.7109375" style="180" customWidth="1"/>
    <col min="9984" max="9984" width="2.7109375" style="180" customWidth="1"/>
    <col min="9985" max="10229" width="9.140625" style="180"/>
    <col min="10230" max="10230" width="2.7109375" style="180" customWidth="1"/>
    <col min="10231" max="10239" width="10.7109375" style="180" customWidth="1"/>
    <col min="10240" max="10240" width="2.7109375" style="180" customWidth="1"/>
    <col min="10241" max="10485" width="9.140625" style="180"/>
    <col min="10486" max="10486" width="2.7109375" style="180" customWidth="1"/>
    <col min="10487" max="10495" width="10.7109375" style="180" customWidth="1"/>
    <col min="10496" max="10496" width="2.7109375" style="180" customWidth="1"/>
    <col min="10497" max="10741" width="9.140625" style="180"/>
    <col min="10742" max="10742" width="2.7109375" style="180" customWidth="1"/>
    <col min="10743" max="10751" width="10.7109375" style="180" customWidth="1"/>
    <col min="10752" max="10752" width="2.7109375" style="180" customWidth="1"/>
    <col min="10753" max="10997" width="9.140625" style="180"/>
    <col min="10998" max="10998" width="2.7109375" style="180" customWidth="1"/>
    <col min="10999" max="11007" width="10.7109375" style="180" customWidth="1"/>
    <col min="11008" max="11008" width="2.7109375" style="180" customWidth="1"/>
    <col min="11009" max="11253" width="9.140625" style="180"/>
    <col min="11254" max="11254" width="2.7109375" style="180" customWidth="1"/>
    <col min="11255" max="11263" width="10.7109375" style="180" customWidth="1"/>
    <col min="11264" max="11264" width="2.7109375" style="180" customWidth="1"/>
    <col min="11265" max="11509" width="9.140625" style="180"/>
    <col min="11510" max="11510" width="2.7109375" style="180" customWidth="1"/>
    <col min="11511" max="11519" width="10.7109375" style="180" customWidth="1"/>
    <col min="11520" max="11520" width="2.7109375" style="180" customWidth="1"/>
    <col min="11521" max="11765" width="9.140625" style="180"/>
    <col min="11766" max="11766" width="2.7109375" style="180" customWidth="1"/>
    <col min="11767" max="11775" width="10.7109375" style="180" customWidth="1"/>
    <col min="11776" max="11776" width="2.7109375" style="180" customWidth="1"/>
    <col min="11777" max="12021" width="9.140625" style="180"/>
    <col min="12022" max="12022" width="2.7109375" style="180" customWidth="1"/>
    <col min="12023" max="12031" width="10.7109375" style="180" customWidth="1"/>
    <col min="12032" max="12032" width="2.7109375" style="180" customWidth="1"/>
    <col min="12033" max="12277" width="9.140625" style="180"/>
    <col min="12278" max="12278" width="2.7109375" style="180" customWidth="1"/>
    <col min="12279" max="12287" width="10.7109375" style="180" customWidth="1"/>
    <col min="12288" max="12288" width="2.7109375" style="180" customWidth="1"/>
    <col min="12289" max="12533" width="9.140625" style="180"/>
    <col min="12534" max="12534" width="2.7109375" style="180" customWidth="1"/>
    <col min="12535" max="12543" width="10.7109375" style="180" customWidth="1"/>
    <col min="12544" max="12544" width="2.7109375" style="180" customWidth="1"/>
    <col min="12545" max="12789" width="9.140625" style="180"/>
    <col min="12790" max="12790" width="2.7109375" style="180" customWidth="1"/>
    <col min="12791" max="12799" width="10.7109375" style="180" customWidth="1"/>
    <col min="12800" max="12800" width="2.7109375" style="180" customWidth="1"/>
    <col min="12801" max="13045" width="9.140625" style="180"/>
    <col min="13046" max="13046" width="2.7109375" style="180" customWidth="1"/>
    <col min="13047" max="13055" width="10.7109375" style="180" customWidth="1"/>
    <col min="13056" max="13056" width="2.7109375" style="180" customWidth="1"/>
    <col min="13057" max="13301" width="9.140625" style="180"/>
    <col min="13302" max="13302" width="2.7109375" style="180" customWidth="1"/>
    <col min="13303" max="13311" width="10.7109375" style="180" customWidth="1"/>
    <col min="13312" max="13312" width="2.7109375" style="180" customWidth="1"/>
    <col min="13313" max="13557" width="9.140625" style="180"/>
    <col min="13558" max="13558" width="2.7109375" style="180" customWidth="1"/>
    <col min="13559" max="13567" width="10.7109375" style="180" customWidth="1"/>
    <col min="13568" max="13568" width="2.7109375" style="180" customWidth="1"/>
    <col min="13569" max="13813" width="9.140625" style="180"/>
    <col min="13814" max="13814" width="2.7109375" style="180" customWidth="1"/>
    <col min="13815" max="13823" width="10.7109375" style="180" customWidth="1"/>
    <col min="13824" max="13824" width="2.7109375" style="180" customWidth="1"/>
    <col min="13825" max="14069" width="9.140625" style="180"/>
    <col min="14070" max="14070" width="2.7109375" style="180" customWidth="1"/>
    <col min="14071" max="14079" width="10.7109375" style="180" customWidth="1"/>
    <col min="14080" max="14080" width="2.7109375" style="180" customWidth="1"/>
    <col min="14081" max="14325" width="9.140625" style="180"/>
    <col min="14326" max="14326" width="2.7109375" style="180" customWidth="1"/>
    <col min="14327" max="14335" width="10.7109375" style="180" customWidth="1"/>
    <col min="14336" max="14336" width="2.7109375" style="180" customWidth="1"/>
    <col min="14337" max="14581" width="9.140625" style="180"/>
    <col min="14582" max="14582" width="2.7109375" style="180" customWidth="1"/>
    <col min="14583" max="14591" width="10.7109375" style="180" customWidth="1"/>
    <col min="14592" max="14592" width="2.7109375" style="180" customWidth="1"/>
    <col min="14593" max="14837" width="9.140625" style="180"/>
    <col min="14838" max="14838" width="2.7109375" style="180" customWidth="1"/>
    <col min="14839" max="14847" width="10.7109375" style="180" customWidth="1"/>
    <col min="14848" max="14848" width="2.7109375" style="180" customWidth="1"/>
    <col min="14849" max="15093" width="9.140625" style="180"/>
    <col min="15094" max="15094" width="2.7109375" style="180" customWidth="1"/>
    <col min="15095" max="15103" width="10.7109375" style="180" customWidth="1"/>
    <col min="15104" max="15104" width="2.7109375" style="180" customWidth="1"/>
    <col min="15105" max="15349" width="9.140625" style="180"/>
    <col min="15350" max="15350" width="2.7109375" style="180" customWidth="1"/>
    <col min="15351" max="15359" width="10.7109375" style="180" customWidth="1"/>
    <col min="15360" max="15360" width="2.7109375" style="180" customWidth="1"/>
    <col min="15361" max="15605" width="9.140625" style="180"/>
    <col min="15606" max="15606" width="2.7109375" style="180" customWidth="1"/>
    <col min="15607" max="15615" width="10.7109375" style="180" customWidth="1"/>
    <col min="15616" max="15616" width="2.7109375" style="180" customWidth="1"/>
    <col min="15617" max="15861" width="9.140625" style="180"/>
    <col min="15862" max="15862" width="2.7109375" style="180" customWidth="1"/>
    <col min="15863" max="15871" width="10.7109375" style="180" customWidth="1"/>
    <col min="15872" max="15872" width="2.7109375" style="180" customWidth="1"/>
    <col min="15873" max="16117" width="9.140625" style="180"/>
    <col min="16118" max="16118" width="2.7109375" style="180" customWidth="1"/>
    <col min="16119" max="16127" width="10.7109375" style="180" customWidth="1"/>
    <col min="16128" max="16128" width="2.7109375" style="180" customWidth="1"/>
    <col min="16129" max="16384" width="9.140625" style="180"/>
  </cols>
  <sheetData>
    <row r="2" spans="2:12" ht="18.75" x14ac:dyDescent="0.3">
      <c r="B2" s="179" t="str">
        <f>"Transaction Summary - "&amp;Company_Name&amp;" and "&amp;Seller_Name</f>
        <v>Transaction Summary - TCS Group Holding PLC and Rosbank Group</v>
      </c>
    </row>
    <row r="3" spans="2:12" x14ac:dyDescent="0.25">
      <c r="B3" s="180" t="str">
        <f>'IRR-Synergies'!B3</f>
        <v>(RUB in Millions Except Per Share and Per Unit Data)</v>
      </c>
    </row>
    <row r="5" spans="2:12" x14ac:dyDescent="0.25">
      <c r="B5" s="181" t="s">
        <v>683</v>
      </c>
      <c r="C5" s="182"/>
      <c r="D5" s="183"/>
      <c r="E5" s="183"/>
      <c r="F5" s="183"/>
      <c r="G5" s="183"/>
      <c r="H5" s="183"/>
      <c r="I5" s="183"/>
      <c r="J5" s="183"/>
      <c r="K5" s="183"/>
      <c r="L5" s="183"/>
    </row>
    <row r="6" spans="2:12" outlineLevel="1" x14ac:dyDescent="0.25"/>
    <row r="7" spans="2:12" outlineLevel="1" x14ac:dyDescent="0.25">
      <c r="C7" s="186" t="s">
        <v>684</v>
      </c>
      <c r="D7" s="180" t="str">
        <f>Company_Name&amp;" / "&amp;Seller_Name</f>
        <v>TCS Group Holding PLC / Rosbank Group</v>
      </c>
    </row>
    <row r="8" spans="2:12" outlineLevel="1" x14ac:dyDescent="0.25">
      <c r="C8" s="186" t="s">
        <v>499</v>
      </c>
      <c r="D8" s="180" t="str">
        <f>TEXT(Close_Date,"mmmmmmm dd, yyyy")</f>
        <v>December 31, 2020</v>
      </c>
    </row>
    <row r="9" spans="2:12" outlineLevel="1" x14ac:dyDescent="0.25">
      <c r="C9" s="186" t="s">
        <v>685</v>
      </c>
      <c r="D9" s="180" t="str">
        <f>TEXT(Offer_Price,"₽0.00")&amp;" Per Share ("&amp;TEXT(Equity_Purchase_Price-'Merger-Model'!D18,"₽0,0")&amp;" Million) and Repayment of Subordinated Debt in Amount "&amp;TEXT('Merger-Model'!D18,"₽0,0")&amp;" Million; Undisturbed Share Price Premium of "&amp;TEXT(Purchase_Premium,"0.0%")</f>
        <v>₽76.62 Per Share (₽83,198 Million) and Repayment of Subordinated Debt in Amount ₽22,162 Million; Undisturbed Share Price Premium of 10.0%</v>
      </c>
    </row>
    <row r="10" spans="2:12" outlineLevel="1" x14ac:dyDescent="0.25"/>
    <row r="11" spans="2:12" outlineLevel="1" x14ac:dyDescent="0.25">
      <c r="C11" s="186" t="s">
        <v>686</v>
      </c>
      <c r="D11" s="381">
        <f ca="1">'IRR-Synergies'!I51</f>
        <v>0.11817544355440646</v>
      </c>
      <c r="F11" s="180" t="s">
        <v>707</v>
      </c>
    </row>
    <row r="12" spans="2:12" outlineLevel="1" x14ac:dyDescent="0.25">
      <c r="C12" s="186" t="s">
        <v>687</v>
      </c>
      <c r="D12" s="381">
        <f ca="1">'IRR-Synergies'!I31</f>
        <v>0.28299579776490746</v>
      </c>
      <c r="F12" s="180" t="s">
        <v>708</v>
      </c>
    </row>
    <row r="13" spans="2:12" outlineLevel="1" x14ac:dyDescent="0.25"/>
    <row r="14" spans="2:12" outlineLevel="1" x14ac:dyDescent="0.25">
      <c r="C14" s="186" t="s">
        <v>688</v>
      </c>
      <c r="D14" s="180" t="s">
        <v>709</v>
      </c>
      <c r="G14" s="186" t="s">
        <v>689</v>
      </c>
      <c r="I14" s="180" t="str">
        <f>TEXT(Cost_Synergies_Pct,"0.0%")&amp;" of Seller's Non-Interest Expense "&amp;TEXT('Merger-Model'!L172,"₽0,0")&amp;" For Year 1"</f>
        <v>20.0% of Seller's Non-Interest Expense ₽3,667 For Year 1</v>
      </c>
    </row>
    <row r="15" spans="2:12" outlineLevel="1" x14ac:dyDescent="0.25">
      <c r="C15" s="186"/>
      <c r="I15" s="180" t="str">
        <f>TEXT(Cost_Synergies_Pct_Realized_Year_1,"0.0%")&amp;" of Seller's Non-Interest Expense and "&amp;TEXT(Cost_Synergies_Pct_Realized_Year_2,"0.0%")&amp;" Thereafter"</f>
        <v>50.0% of Seller's Non-Interest Expense and 100.0% Thereafter</v>
      </c>
    </row>
    <row r="16" spans="2:12" outlineLevel="1" x14ac:dyDescent="0.25"/>
    <row r="17" spans="2:12" outlineLevel="1" x14ac:dyDescent="0.25">
      <c r="C17" s="186" t="s">
        <v>541</v>
      </c>
      <c r="D17" s="180" t="str">
        <f>"Recognized in the Amount of "&amp;TEXT('Merger-Model'!I80, "₽0,0")</f>
        <v>Recognized in the Amount of ₽1,000</v>
      </c>
      <c r="G17" s="186" t="s">
        <v>690</v>
      </c>
      <c r="I17" s="180" t="s">
        <v>703</v>
      </c>
    </row>
    <row r="18" spans="2:12" outlineLevel="1" x14ac:dyDescent="0.25">
      <c r="D18" s="188" t="str">
        <f>"Straight-Line Amortization Over 3 Years"</f>
        <v>Straight-Line Amortization Over 3 Years</v>
      </c>
      <c r="I18" s="96" t="s">
        <v>691</v>
      </c>
    </row>
    <row r="19" spans="2:12" outlineLevel="1" x14ac:dyDescent="0.25"/>
    <row r="20" spans="2:12" outlineLevel="1" x14ac:dyDescent="0.25">
      <c r="C20" s="186" t="s">
        <v>692</v>
      </c>
      <c r="D20" s="180" t="str">
        <f>TEXT(Marks!D9-1,"0.0%")&amp;" Mark on Target's Securities"</f>
        <v>-5.0% Mark on Target's Securities</v>
      </c>
      <c r="G20" s="186" t="s">
        <v>710</v>
      </c>
      <c r="I20" s="180" t="s">
        <v>704</v>
      </c>
    </row>
    <row r="21" spans="2:12" outlineLevel="1" x14ac:dyDescent="0.25">
      <c r="D21" s="180" t="str">
        <f>TEXT(Marks!D10-1,"0.0%")&amp;" Mark on Target's Gross Loans Above LLP"</f>
        <v>-8.0% Mark on Target's Gross Loans Above LLP</v>
      </c>
      <c r="F21" s="96"/>
      <c r="I21" s="96" t="s">
        <v>705</v>
      </c>
    </row>
    <row r="22" spans="2:12" outlineLevel="1" x14ac:dyDescent="0.25"/>
    <row r="23" spans="2:12" outlineLevel="1" x14ac:dyDescent="0.25">
      <c r="B23" s="186"/>
      <c r="C23" s="365"/>
      <c r="D23" s="366" t="s">
        <v>523</v>
      </c>
      <c r="E23" s="366" t="s">
        <v>524</v>
      </c>
      <c r="G23" s="365"/>
      <c r="H23" s="365"/>
      <c r="I23" s="365"/>
      <c r="J23" s="365"/>
      <c r="K23" s="366" t="s">
        <v>490</v>
      </c>
      <c r="L23" s="366" t="s">
        <v>491</v>
      </c>
    </row>
    <row r="24" spans="2:12" outlineLevel="1" x14ac:dyDescent="0.25">
      <c r="C24" s="367" t="s">
        <v>525</v>
      </c>
      <c r="D24" s="369" t="s">
        <v>526</v>
      </c>
      <c r="E24" s="369" t="s">
        <v>526</v>
      </c>
      <c r="G24" s="367" t="s">
        <v>493</v>
      </c>
      <c r="H24" s="367"/>
      <c r="I24" s="369" t="s">
        <v>494</v>
      </c>
      <c r="J24" s="370" t="s">
        <v>444</v>
      </c>
      <c r="K24" s="371" t="s">
        <v>495</v>
      </c>
      <c r="L24" s="371" t="s">
        <v>495</v>
      </c>
    </row>
    <row r="25" spans="2:12" outlineLevel="1" x14ac:dyDescent="0.25">
      <c r="C25" s="96" t="str">
        <f>'Merger-Model'!C37</f>
        <v>LTM (2020-12-31) P / TBV:</v>
      </c>
      <c r="D25" s="668">
        <f>'Merger-Model'!D37</f>
        <v>0.69290479846026576</v>
      </c>
      <c r="E25" s="668">
        <f>'Merger-Model'!E37</f>
        <v>0.76219527830629241</v>
      </c>
      <c r="G25" s="96" t="s">
        <v>585</v>
      </c>
      <c r="I25" s="669">
        <f>'Merger-Model'!N9</f>
        <v>0.1</v>
      </c>
      <c r="J25" s="376">
        <f>'Merger-Model'!O9</f>
        <v>10535.957804257901</v>
      </c>
      <c r="K25" s="670">
        <f>'Merger-Model'!P9</f>
        <v>0</v>
      </c>
      <c r="L25" s="670">
        <f ca="1">'Merger-Model'!Q9</f>
        <v>0.14680721247962356</v>
      </c>
    </row>
    <row r="26" spans="2:12" outlineLevel="1" x14ac:dyDescent="0.25">
      <c r="C26" s="96" t="str">
        <f>'Merger-Model'!C38</f>
        <v>LTM (2020-12-31) P / BV:</v>
      </c>
      <c r="D26" s="668">
        <f>'Merger-Model'!D38</f>
        <v>0.65797959146169915</v>
      </c>
      <c r="E26" s="668">
        <f>'Merger-Model'!E38</f>
        <v>0.72377755060786919</v>
      </c>
      <c r="G26" s="96" t="s">
        <v>586</v>
      </c>
      <c r="I26" s="669">
        <f ca="1">'Merger-Model'!N10</f>
        <v>0.268277059659777</v>
      </c>
      <c r="J26" s="376">
        <f ca="1">'Merger-Model'!O10</f>
        <v>28265.557804257896</v>
      </c>
      <c r="K26" s="670">
        <f>'Merger-Model'!P10</f>
        <v>0.08</v>
      </c>
      <c r="L26" s="670">
        <f>'Merger-Model'!Q10</f>
        <v>6.4000000000000001E-2</v>
      </c>
    </row>
    <row r="27" spans="2:12" outlineLevel="1" x14ac:dyDescent="0.25">
      <c r="C27" s="96" t="str">
        <f>'Merger-Model'!C39</f>
        <v>LTM (2020-12-31) P / E:</v>
      </c>
      <c r="D27" s="668">
        <f>'Merger-Model'!D39</f>
        <v>6.9578725386502676</v>
      </c>
      <c r="E27" s="668">
        <f>'Merger-Model'!E39</f>
        <v>7.6536597925152945</v>
      </c>
      <c r="G27" s="96" t="s">
        <v>498</v>
      </c>
      <c r="I27" s="669">
        <f ca="1">'Merger-Model'!N11</f>
        <v>0.63172294034022303</v>
      </c>
      <c r="J27" s="376">
        <f ca="1">'Merger-Model'!O11</f>
        <v>66558.062434063206</v>
      </c>
      <c r="K27" s="670"/>
      <c r="L27" s="670">
        <f ca="1">'Merger-Model'!Q11</f>
        <v>0.14680721247962356</v>
      </c>
    </row>
    <row r="28" spans="2:12" outlineLevel="1" x14ac:dyDescent="0.25">
      <c r="C28" s="96"/>
      <c r="D28" s="374"/>
      <c r="E28" s="374"/>
      <c r="F28" s="671"/>
      <c r="G28" s="96" t="s">
        <v>693</v>
      </c>
      <c r="H28" s="670"/>
      <c r="L28" s="670">
        <f ca="1">'Merger-Model'!Q13</f>
        <v>0.12459193699696776</v>
      </c>
    </row>
    <row r="29" spans="2:12" outlineLevel="1" x14ac:dyDescent="0.25">
      <c r="C29" s="96" t="str">
        <f>'Merger-Model'!C41</f>
        <v>Forward Year 1 (2021-12-31) P / TBV:</v>
      </c>
      <c r="D29" s="668">
        <f ca="1">'Merger-Model'!D41</f>
        <v>1.3846946673509277</v>
      </c>
      <c r="E29" s="668">
        <f ca="1">'Merger-Model'!E41</f>
        <v>1.5231641340860207</v>
      </c>
      <c r="F29" s="671"/>
      <c r="G29" s="96" t="s">
        <v>502</v>
      </c>
      <c r="H29" s="670"/>
      <c r="L29" s="670">
        <f>'Merger-Model'!Q14</f>
        <v>0.1031733441036275</v>
      </c>
    </row>
    <row r="30" spans="2:12" outlineLevel="1" x14ac:dyDescent="0.25">
      <c r="C30" s="96" t="str">
        <f>'Merger-Model'!C42</f>
        <v>Forward Year 1 (2021-12-31) P / BV:</v>
      </c>
      <c r="D30" s="668">
        <f ca="1">'Merger-Model'!D42</f>
        <v>1.2226649913556964</v>
      </c>
      <c r="E30" s="668">
        <f ca="1">'Merger-Model'!E42</f>
        <v>1.3449314904912661</v>
      </c>
      <c r="F30" s="671"/>
      <c r="G30" s="672"/>
      <c r="H30" s="670"/>
    </row>
    <row r="31" spans="2:12" outlineLevel="1" x14ac:dyDescent="0.25">
      <c r="C31" s="96" t="str">
        <f>'Merger-Model'!C43</f>
        <v>Forward Year 1 (2021-12-31) P / E:</v>
      </c>
      <c r="D31" s="668">
        <f ca="1">'Merger-Model'!D43</f>
        <v>11.931008107095227</v>
      </c>
      <c r="E31" s="668">
        <f ca="1">'Merger-Model'!E43</f>
        <v>13.124108917804751</v>
      </c>
      <c r="F31" s="671"/>
      <c r="G31" s="672"/>
      <c r="H31" s="670"/>
    </row>
    <row r="32" spans="2:12" x14ac:dyDescent="0.25">
      <c r="C32" s="96"/>
      <c r="F32" s="671"/>
      <c r="G32" s="672"/>
      <c r="H32" s="670"/>
    </row>
    <row r="33" spans="2:12" x14ac:dyDescent="0.25">
      <c r="B33" s="194"/>
      <c r="C33" s="194"/>
      <c r="D33" s="194"/>
      <c r="E33" s="195" t="s">
        <v>55</v>
      </c>
      <c r="F33" s="195"/>
      <c r="G33" s="196"/>
      <c r="H33" s="195" t="s">
        <v>0</v>
      </c>
      <c r="I33" s="195"/>
      <c r="J33" s="195"/>
      <c r="K33" s="195"/>
      <c r="L33" s="196"/>
    </row>
    <row r="34" spans="2:12" x14ac:dyDescent="0.25">
      <c r="B34" s="197" t="s">
        <v>694</v>
      </c>
      <c r="C34" s="197"/>
      <c r="D34" s="198" t="s">
        <v>1</v>
      </c>
      <c r="E34" s="199">
        <f>Buyer!E294</f>
        <v>43465</v>
      </c>
      <c r="F34" s="200">
        <f>Buyer!F294</f>
        <v>43830</v>
      </c>
      <c r="G34" s="201">
        <f>Buyer!G294</f>
        <v>44196</v>
      </c>
      <c r="H34" s="199">
        <f>Buyer!H294</f>
        <v>44561</v>
      </c>
      <c r="I34" s="200">
        <f>Buyer!I294</f>
        <v>44926</v>
      </c>
      <c r="J34" s="200">
        <f>Buyer!J294</f>
        <v>45291</v>
      </c>
      <c r="K34" s="200">
        <f>Buyer!K294</f>
        <v>45657</v>
      </c>
      <c r="L34" s="201">
        <f>Buyer!L294</f>
        <v>46022</v>
      </c>
    </row>
    <row r="35" spans="2:12" outlineLevel="1" x14ac:dyDescent="0.25">
      <c r="C35" s="202" t="s">
        <v>397</v>
      </c>
      <c r="D35" s="203"/>
      <c r="E35" s="203"/>
      <c r="F35" s="673"/>
      <c r="G35" s="673"/>
      <c r="H35" s="673"/>
      <c r="I35" s="673"/>
      <c r="J35" s="673"/>
      <c r="K35" s="203"/>
      <c r="L35" s="203"/>
    </row>
    <row r="36" spans="2:12" outlineLevel="1" x14ac:dyDescent="0.25">
      <c r="C36" s="96" t="s">
        <v>695</v>
      </c>
      <c r="D36" s="375" t="s">
        <v>11</v>
      </c>
      <c r="E36" s="381" t="str">
        <f>IFERROR(Buyer!E173/Buyer!D173-1,"N/A")</f>
        <v>N/A</v>
      </c>
      <c r="F36" s="381">
        <f>IFERROR(Buyer!F173/Buyer!E173-1,"N/A")</f>
        <v>0.54467788196506506</v>
      </c>
      <c r="G36" s="381">
        <f>IFERROR(Buyer!G173/Buyer!F173-1,"N/A")</f>
        <v>0.48147752252058096</v>
      </c>
      <c r="H36" s="381">
        <f ca="1">IFERROR(Buyer!H173/Buyer!G173-1,"N/A")</f>
        <v>0.22624882808656199</v>
      </c>
      <c r="I36" s="381">
        <f ca="1">IFERROR(Buyer!I173/Buyer!H173-1,"N/A")</f>
        <v>0.17541345434644118</v>
      </c>
      <c r="J36" s="381">
        <f ca="1">IFERROR(Buyer!J173/Buyer!I173-1,"N/A")</f>
        <v>0.16210397625466855</v>
      </c>
      <c r="K36" s="381">
        <f ca="1">IFERROR(Buyer!K173/Buyer!J173-1,"N/A")</f>
        <v>0.14793212634942399</v>
      </c>
      <c r="L36" s="381">
        <f ca="1">IFERROR(Buyer!L173/Buyer!K173-1,"N/A")</f>
        <v>0.13050129461121274</v>
      </c>
    </row>
    <row r="37" spans="2:12" outlineLevel="1" x14ac:dyDescent="0.25">
      <c r="C37" s="96" t="s">
        <v>696</v>
      </c>
      <c r="D37" s="375" t="s">
        <v>11</v>
      </c>
      <c r="E37" s="381" t="str">
        <f>IFERROR(Seller!E41/Seller!D41-1,"N/A")</f>
        <v>N/A</v>
      </c>
      <c r="F37" s="381">
        <f>IFERROR(Seller!F41/Seller!E41-1,"N/A")</f>
        <v>6.5418294077127515E-2</v>
      </c>
      <c r="G37" s="381">
        <f>IFERROR(Seller!G41/Seller!F41-1,"N/A")</f>
        <v>0.10576712327607884</v>
      </c>
      <c r="H37" s="381">
        <f ca="1">IFERROR(Seller!H41/Seller!G41-1,"N/A")</f>
        <v>1.8113252816097214E-2</v>
      </c>
      <c r="I37" s="381">
        <f ca="1">IFERROR(Seller!I41/Seller!H41-1,"N/A")</f>
        <v>3.339259553281515E-2</v>
      </c>
      <c r="J37" s="381">
        <f ca="1">IFERROR(Seller!J41/Seller!I41-1,"N/A")</f>
        <v>3.4053943196163061E-2</v>
      </c>
      <c r="K37" s="381">
        <f ca="1">IFERROR(Seller!K41/Seller!J41-1,"N/A")</f>
        <v>3.4701772089629657E-2</v>
      </c>
      <c r="L37" s="381">
        <f ca="1">IFERROR(Seller!L41/Seller!K41-1,"N/A")</f>
        <v>3.5335522959360821E-2</v>
      </c>
    </row>
    <row r="38" spans="2:12" outlineLevel="1" x14ac:dyDescent="0.25">
      <c r="C38" s="96" t="s">
        <v>697</v>
      </c>
      <c r="D38" s="375" t="s">
        <v>11</v>
      </c>
      <c r="E38" s="381"/>
      <c r="F38" s="381"/>
      <c r="G38" s="381"/>
      <c r="H38" s="381">
        <f ca="1">IFERROR('Merger-Model'!L85/'Merger-Model'!K85-1,"N/A")</f>
        <v>0.10819997719442132</v>
      </c>
      <c r="I38" s="381">
        <f ca="1">IFERROR('Merger-Model'!M85/'Merger-Model'!L85-1,"N/A")</f>
        <v>9.8380961192550576E-2</v>
      </c>
      <c r="J38" s="381">
        <f ca="1">IFERROR('Merger-Model'!N85/'Merger-Model'!M85-1,"N/A")</f>
        <v>9.6733974733085981E-2</v>
      </c>
      <c r="K38" s="381">
        <f ca="1">IFERROR('Merger-Model'!O85/'Merger-Model'!N85-1,"N/A")</f>
        <v>9.4566330813886212E-2</v>
      </c>
      <c r="L38" s="381">
        <f ca="1">IFERROR('Merger-Model'!P85/'Merger-Model'!O85-1,"N/A")</f>
        <v>8.804957236031874E-2</v>
      </c>
    </row>
    <row r="39" spans="2:12" outlineLevel="1" x14ac:dyDescent="0.25"/>
    <row r="40" spans="2:12" outlineLevel="1" x14ac:dyDescent="0.25">
      <c r="C40" s="367" t="s">
        <v>698</v>
      </c>
      <c r="D40" s="368"/>
      <c r="E40" s="368"/>
      <c r="F40" s="674"/>
      <c r="G40" s="674"/>
      <c r="H40" s="674"/>
      <c r="I40" s="674"/>
      <c r="J40" s="674"/>
      <c r="K40" s="368"/>
      <c r="L40" s="368"/>
    </row>
    <row r="41" spans="2:12" outlineLevel="1" x14ac:dyDescent="0.25">
      <c r="C41" s="96" t="str">
        <f>+$C$36</f>
        <v>Acquirer:</v>
      </c>
      <c r="D41" s="375" t="s">
        <v>11</v>
      </c>
      <c r="E41" s="383">
        <f>Buyer!E305</f>
        <v>0.7167844195707973</v>
      </c>
      <c r="F41" s="383">
        <f>Buyer!F305</f>
        <v>0.56293294892274126</v>
      </c>
      <c r="G41" s="383">
        <f>Buyer!G305</f>
        <v>0.42025961433344899</v>
      </c>
      <c r="H41" s="383">
        <f ca="1">Buyer!H305</f>
        <v>0.58399503507970141</v>
      </c>
      <c r="I41" s="383">
        <f ca="1">Buyer!I305</f>
        <v>0.58481842068579437</v>
      </c>
      <c r="J41" s="383">
        <f ca="1">Buyer!J305</f>
        <v>0.50336513138341954</v>
      </c>
      <c r="K41" s="383">
        <f ca="1">Buyer!K305</f>
        <v>0.46438954530383836</v>
      </c>
      <c r="L41" s="383">
        <f ca="1">Buyer!L305</f>
        <v>0.4089444616536535</v>
      </c>
    </row>
    <row r="42" spans="2:12" outlineLevel="1" x14ac:dyDescent="0.25">
      <c r="C42" s="96" t="str">
        <f>+$C$37</f>
        <v>Target:</v>
      </c>
      <c r="D42" s="375" t="s">
        <v>11</v>
      </c>
      <c r="E42" s="383">
        <f>Seller!E268</f>
        <v>8.3541219051464333E-2</v>
      </c>
      <c r="F42" s="383">
        <f>Seller!F268</f>
        <v>7.646902679594289E-2</v>
      </c>
      <c r="G42" s="383">
        <f>Seller!G268</f>
        <v>0.10231592818316587</v>
      </c>
      <c r="H42" s="383">
        <f ca="1">Seller!H268</f>
        <v>7.7413841415293866E-2</v>
      </c>
      <c r="I42" s="383">
        <f ca="1">Seller!I268</f>
        <v>0.10923956893222213</v>
      </c>
      <c r="J42" s="383">
        <f ca="1">Seller!J268</f>
        <v>0.11275692941373396</v>
      </c>
      <c r="K42" s="383">
        <f ca="1">Seller!K268</f>
        <v>0.11381807397353902</v>
      </c>
      <c r="L42" s="383">
        <f ca="1">Seller!L268</f>
        <v>0.11407184614996659</v>
      </c>
    </row>
    <row r="43" spans="2:12" outlineLevel="1" x14ac:dyDescent="0.25">
      <c r="C43" s="96" t="str">
        <f>+$C$38</f>
        <v>Combined:</v>
      </c>
      <c r="D43" s="375" t="s">
        <v>11</v>
      </c>
      <c r="E43" s="381"/>
      <c r="F43" s="381"/>
      <c r="G43" s="381"/>
      <c r="H43" s="381">
        <f ca="1">'Merger-Model'!L254</f>
        <v>0.4832270614875519</v>
      </c>
      <c r="I43" s="381">
        <f ca="1">'Merger-Model'!M254</f>
        <v>0.51067839006257498</v>
      </c>
      <c r="J43" s="381">
        <f ca="1">'Merger-Model'!N254</f>
        <v>0.45332012753859813</v>
      </c>
      <c r="K43" s="381">
        <f ca="1">'Merger-Model'!O254</f>
        <v>0.42660126731473891</v>
      </c>
      <c r="L43" s="381">
        <f ca="1">'Merger-Model'!P254</f>
        <v>0.38635785344044954</v>
      </c>
    </row>
    <row r="44" spans="2:12" outlineLevel="1" x14ac:dyDescent="0.25"/>
    <row r="45" spans="2:12" outlineLevel="1" x14ac:dyDescent="0.25">
      <c r="C45" s="367" t="s">
        <v>20</v>
      </c>
      <c r="D45" s="368"/>
      <c r="E45" s="368"/>
      <c r="F45" s="674"/>
      <c r="G45" s="674"/>
      <c r="H45" s="674"/>
      <c r="I45" s="674"/>
      <c r="J45" s="674"/>
      <c r="K45" s="368"/>
      <c r="L45" s="368"/>
    </row>
    <row r="46" spans="2:12" outlineLevel="1" x14ac:dyDescent="0.25">
      <c r="C46" s="96" t="str">
        <f>+$C$36</f>
        <v>Acquirer:</v>
      </c>
      <c r="D46" s="375" t="s">
        <v>11</v>
      </c>
      <c r="E46" s="381">
        <f>Buyer!E310</f>
        <v>0.17022339124537852</v>
      </c>
      <c r="F46" s="381">
        <f>Buyer!F310</f>
        <v>0.19507638787201093</v>
      </c>
      <c r="G46" s="381">
        <f>Buyer!G310</f>
        <v>0.15943427040418937</v>
      </c>
      <c r="H46" s="381">
        <f ca="1">Buyer!H310</f>
        <v>0.17851559283237306</v>
      </c>
      <c r="I46" s="381">
        <f ca="1">Buyer!I310</f>
        <v>0.16613789501661155</v>
      </c>
      <c r="J46" s="381">
        <f ca="1">Buyer!J310</f>
        <v>0.15435219860859789</v>
      </c>
      <c r="K46" s="381">
        <f ca="1">Buyer!K310</f>
        <v>0.16255134975308957</v>
      </c>
      <c r="L46" s="381">
        <f ca="1">Buyer!L310</f>
        <v>0.17163140394395379</v>
      </c>
    </row>
    <row r="47" spans="2:12" outlineLevel="1" x14ac:dyDescent="0.25">
      <c r="C47" s="96" t="str">
        <f>+$C$37</f>
        <v>Target:</v>
      </c>
      <c r="D47" s="375" t="s">
        <v>11</v>
      </c>
      <c r="E47" s="381">
        <f>Seller!E271</f>
        <v>4.2848153416660859E-2</v>
      </c>
      <c r="F47" s="381">
        <f>Seller!F271</f>
        <v>4.5319854433350411E-2</v>
      </c>
      <c r="G47" s="381">
        <f>Seller!G271</f>
        <v>4.4322652319610953E-2</v>
      </c>
      <c r="H47" s="381">
        <f ca="1">Seller!H271</f>
        <v>4.3282476947736112E-2</v>
      </c>
      <c r="I47" s="381">
        <f ca="1">Seller!I271</f>
        <v>4.1832428658473468E-2</v>
      </c>
      <c r="J47" s="381">
        <f ca="1">Seller!J271</f>
        <v>4.2736515238133974E-2</v>
      </c>
      <c r="K47" s="381">
        <f ca="1">Seller!K271</f>
        <v>4.3168866754009987E-2</v>
      </c>
      <c r="L47" s="381">
        <f ca="1">Seller!L271</f>
        <v>4.3442161477340209E-2</v>
      </c>
    </row>
    <row r="48" spans="2:12" outlineLevel="1" x14ac:dyDescent="0.25">
      <c r="C48" s="96" t="str">
        <f>+$C$38</f>
        <v>Combined:</v>
      </c>
      <c r="D48" s="375" t="s">
        <v>11</v>
      </c>
      <c r="E48" s="381"/>
      <c r="F48" s="381"/>
      <c r="G48" s="381"/>
      <c r="H48" s="381">
        <f ca="1">'Merger-Model'!L259</f>
        <v>0.11285479726067983</v>
      </c>
      <c r="I48" s="381">
        <f ca="1">'Merger-Model'!M259</f>
        <v>0.11101320264884539</v>
      </c>
      <c r="J48" s="381">
        <f ca="1">'Merger-Model'!N259</f>
        <v>0.10785993307017677</v>
      </c>
      <c r="K48" s="381">
        <f ca="1">'Merger-Model'!O259</f>
        <v>0.11500583302840257</v>
      </c>
      <c r="L48" s="381">
        <f ca="1">'Merger-Model'!P259</f>
        <v>0.12302924238980573</v>
      </c>
    </row>
    <row r="49" spans="3:12" outlineLevel="1" x14ac:dyDescent="0.25">
      <c r="C49" s="186"/>
      <c r="F49" s="675"/>
      <c r="G49" s="675"/>
      <c r="H49" s="675"/>
      <c r="I49" s="675"/>
      <c r="J49" s="675"/>
    </row>
    <row r="50" spans="3:12" outlineLevel="1" x14ac:dyDescent="0.25">
      <c r="C50" s="367" t="s">
        <v>699</v>
      </c>
      <c r="D50" s="368"/>
      <c r="E50" s="368"/>
      <c r="F50" s="674"/>
      <c r="G50" s="674"/>
      <c r="H50" s="674"/>
      <c r="I50" s="674"/>
      <c r="J50" s="674"/>
      <c r="K50" s="368"/>
      <c r="L50" s="368"/>
    </row>
    <row r="51" spans="3:12" outlineLevel="1" x14ac:dyDescent="0.25">
      <c r="C51" s="96" t="s">
        <v>714</v>
      </c>
      <c r="D51" s="375" t="s">
        <v>3</v>
      </c>
      <c r="E51" s="376"/>
      <c r="F51" s="376"/>
      <c r="G51" s="376"/>
      <c r="H51" s="376">
        <f ca="1">'Merger-Model'!L144</f>
        <v>-2367.1488483429084</v>
      </c>
      <c r="I51" s="376">
        <f ca="1">'Merger-Model'!M144</f>
        <v>-2460.0101310733266</v>
      </c>
      <c r="J51" s="376">
        <f ca="1">'Merger-Model'!N144</f>
        <v>-2378.47339501735</v>
      </c>
      <c r="K51" s="376">
        <f ca="1">'Merger-Model'!O144</f>
        <v>-2355.8243016684673</v>
      </c>
      <c r="L51" s="376">
        <f ca="1">'Merger-Model'!P144</f>
        <v>-2355.8243016684673</v>
      </c>
    </row>
    <row r="52" spans="3:12" outlineLevel="1" x14ac:dyDescent="0.25">
      <c r="C52" s="96" t="s">
        <v>549</v>
      </c>
      <c r="D52" s="375" t="s">
        <v>3</v>
      </c>
      <c r="E52" s="376"/>
      <c r="F52" s="376"/>
      <c r="G52" s="376"/>
      <c r="H52" s="376">
        <f ca="1">'Merger-Model'!L145</f>
        <v>451.09960312034087</v>
      </c>
      <c r="I52" s="376">
        <f ca="1">'Merger-Model'!M145</f>
        <v>2432.2738494355572</v>
      </c>
      <c r="J52" s="376">
        <f ca="1">'Merger-Model'!N145</f>
        <v>1074.5100192880991</v>
      </c>
      <c r="K52" s="376">
        <f ca="1">'Merger-Model'!O145</f>
        <v>542.96683587673806</v>
      </c>
      <c r="L52" s="376">
        <f ca="1">'Merger-Model'!P145</f>
        <v>469.39932149306225</v>
      </c>
    </row>
    <row r="53" spans="3:12" outlineLevel="1" x14ac:dyDescent="0.25">
      <c r="C53" s="96" t="s">
        <v>550</v>
      </c>
      <c r="D53" s="375" t="s">
        <v>3</v>
      </c>
      <c r="E53" s="376"/>
      <c r="F53" s="376"/>
      <c r="G53" s="376"/>
      <c r="H53" s="376">
        <f>'Merger-Model'!L159</f>
        <v>3201.1768218195921</v>
      </c>
      <c r="I53" s="376">
        <f ca="1">'Merger-Model'!M159</f>
        <v>3221.6679485550121</v>
      </c>
      <c r="J53" s="376">
        <f ca="1">'Merger-Model'!N159</f>
        <v>3394.4575953628796</v>
      </c>
      <c r="K53" s="376">
        <f ca="1">'Merger-Model'!O159</f>
        <v>3546.5162437836007</v>
      </c>
      <c r="L53" s="376">
        <f ca="1">'Merger-Model'!P159</f>
        <v>3696.2151809416096</v>
      </c>
    </row>
    <row r="54" spans="3:12" outlineLevel="1" x14ac:dyDescent="0.25">
      <c r="C54" s="96" t="s">
        <v>551</v>
      </c>
      <c r="D54" s="375" t="s">
        <v>3</v>
      </c>
      <c r="E54" s="376"/>
      <c r="F54" s="376"/>
      <c r="G54" s="376"/>
      <c r="H54" s="376">
        <f>'Merger-Model'!L172</f>
        <v>3666.7111705329025</v>
      </c>
      <c r="I54" s="376">
        <f ca="1">'Merger-Model'!M172</f>
        <v>7380.3644798351716</v>
      </c>
      <c r="J54" s="376">
        <f ca="1">'Merger-Model'!N172</f>
        <v>7776.1999886920139</v>
      </c>
      <c r="K54" s="376">
        <f ca="1">'Merger-Model'!O172</f>
        <v>8124.5438483251555</v>
      </c>
      <c r="L54" s="376">
        <f ca="1">'Merger-Model'!P172</f>
        <v>8467.4819586805625</v>
      </c>
    </row>
    <row r="55" spans="3:12" outlineLevel="1" x14ac:dyDescent="0.25">
      <c r="C55" s="96" t="s">
        <v>552</v>
      </c>
      <c r="D55" s="375" t="s">
        <v>3</v>
      </c>
      <c r="E55" s="376"/>
      <c r="F55" s="376"/>
      <c r="G55" s="376"/>
      <c r="H55" s="376">
        <f>'Merger-Model'!L173</f>
        <v>-2400.8826163646941</v>
      </c>
      <c r="I55" s="376">
        <f ca="1">'Merger-Model'!M173</f>
        <v>-2416.2509614162591</v>
      </c>
      <c r="J55" s="376">
        <f ca="1">'Merger-Model'!N173</f>
        <v>-2545.8431965221598</v>
      </c>
      <c r="K55" s="376">
        <f ca="1">'Merger-Model'!O173</f>
        <v>-2659.8871828377005</v>
      </c>
      <c r="L55" s="376">
        <f ca="1">'Merger-Model'!P173</f>
        <v>-2772.1613857062071</v>
      </c>
    </row>
    <row r="56" spans="3:12" outlineLevel="1" x14ac:dyDescent="0.25">
      <c r="C56" s="96" t="s">
        <v>553</v>
      </c>
      <c r="D56" s="375" t="s">
        <v>3</v>
      </c>
      <c r="E56" s="376"/>
      <c r="F56" s="376"/>
      <c r="G56" s="376"/>
      <c r="H56" s="376">
        <f>'Merger-Model'!L174</f>
        <v>-333.33333333333326</v>
      </c>
      <c r="I56" s="376">
        <f>'Merger-Model'!M174</f>
        <v>-333.33333333333331</v>
      </c>
      <c r="J56" s="376">
        <f>'Merger-Model'!N174</f>
        <v>-333.33333333333343</v>
      </c>
      <c r="K56" s="376">
        <f>'Merger-Model'!O174</f>
        <v>0</v>
      </c>
      <c r="L56" s="376">
        <f>'Merger-Model'!P174</f>
        <v>0</v>
      </c>
    </row>
    <row r="57" spans="3:12" outlineLevel="1" x14ac:dyDescent="0.25">
      <c r="C57" s="96" t="s">
        <v>554</v>
      </c>
      <c r="D57" s="375" t="s">
        <v>3</v>
      </c>
      <c r="E57" s="376"/>
      <c r="F57" s="376"/>
      <c r="G57" s="376"/>
      <c r="H57" s="376">
        <f>'Merger-Model'!L175</f>
        <v>-5041.7278594827412</v>
      </c>
      <c r="I57" s="376">
        <f>'Merger-Model'!M175</f>
        <v>0</v>
      </c>
      <c r="J57" s="376">
        <f>'Merger-Model'!N175</f>
        <v>0</v>
      </c>
      <c r="K57" s="376">
        <f>'Merger-Model'!O175</f>
        <v>0</v>
      </c>
      <c r="L57" s="376">
        <f>'Merger-Model'!P175</f>
        <v>0</v>
      </c>
    </row>
    <row r="58" spans="3:12" outlineLevel="1" x14ac:dyDescent="0.25">
      <c r="C58" s="96" t="s">
        <v>555</v>
      </c>
      <c r="D58" s="377" t="s">
        <v>3</v>
      </c>
      <c r="E58" s="376"/>
      <c r="F58" s="376"/>
      <c r="G58" s="376"/>
      <c r="H58" s="376">
        <f>SUM('Merger-Model'!L142:L143)</f>
        <v>12499.283333333335</v>
      </c>
      <c r="I58" s="376">
        <f>SUM('Merger-Model'!M142:M143)</f>
        <v>12499.283333333335</v>
      </c>
      <c r="J58" s="376">
        <f>SUM('Merger-Model'!N142:N143)</f>
        <v>12499.283333333335</v>
      </c>
      <c r="K58" s="376">
        <f>SUM('Merger-Model'!O142:O143)</f>
        <v>12499.283333333335</v>
      </c>
      <c r="L58" s="376">
        <f>SUM('Merger-Model'!P142:P143)</f>
        <v>12499.283333333333</v>
      </c>
    </row>
    <row r="59" spans="3:12" outlineLevel="1" x14ac:dyDescent="0.25">
      <c r="C59" s="373" t="s">
        <v>700</v>
      </c>
      <c r="D59" s="375" t="s">
        <v>3</v>
      </c>
      <c r="E59" s="380"/>
      <c r="F59" s="380"/>
      <c r="G59" s="380"/>
      <c r="H59" s="380">
        <f ca="1">SUM(H51:H58)</f>
        <v>9675.1782712824934</v>
      </c>
      <c r="I59" s="380">
        <f t="shared" ref="I59:L59" ca="1" si="0">SUM(I51:I58)</f>
        <v>20323.995185336156</v>
      </c>
      <c r="J59" s="380">
        <f t="shared" ca="1" si="0"/>
        <v>19486.801011803487</v>
      </c>
      <c r="K59" s="380">
        <f t="shared" ca="1" si="0"/>
        <v>19697.598776812662</v>
      </c>
      <c r="L59" s="380">
        <f t="shared" ca="1" si="0"/>
        <v>20004.394107073895</v>
      </c>
    </row>
    <row r="60" spans="3:12" outlineLevel="1" x14ac:dyDescent="0.25"/>
    <row r="61" spans="3:12" outlineLevel="1" x14ac:dyDescent="0.25">
      <c r="C61" s="367" t="s">
        <v>701</v>
      </c>
      <c r="D61" s="368"/>
      <c r="E61" s="368"/>
      <c r="F61" s="674"/>
      <c r="G61" s="674"/>
      <c r="H61" s="674"/>
      <c r="I61" s="674"/>
      <c r="J61" s="674"/>
      <c r="K61" s="368"/>
      <c r="L61" s="368"/>
    </row>
    <row r="62" spans="3:12" outlineLevel="1" x14ac:dyDescent="0.25">
      <c r="C62" s="96" t="s">
        <v>561</v>
      </c>
      <c r="D62" s="375" t="s">
        <v>11</v>
      </c>
      <c r="E62" s="381"/>
      <c r="F62" s="381"/>
      <c r="G62" s="381"/>
      <c r="H62" s="381">
        <f ca="1">'Merger-Model'!L192</f>
        <v>5.3841825665853854E-2</v>
      </c>
      <c r="I62" s="381">
        <f ca="1">'Merger-Model'!M192</f>
        <v>0.1397115467586057</v>
      </c>
      <c r="J62" s="381">
        <f ca="1">'Merger-Model'!N192</f>
        <v>0.13276544957938996</v>
      </c>
      <c r="K62" s="381">
        <f ca="1">'Merger-Model'!O192</f>
        <v>0.11825739528892798</v>
      </c>
      <c r="L62" s="381">
        <f ca="1">'Merger-Model'!P192</f>
        <v>0.11728797051108192</v>
      </c>
    </row>
    <row r="63" spans="3:12" outlineLevel="1" x14ac:dyDescent="0.25">
      <c r="C63" s="96" t="s">
        <v>564</v>
      </c>
      <c r="D63" s="375" t="s">
        <v>11</v>
      </c>
      <c r="E63" s="381"/>
      <c r="F63" s="381"/>
      <c r="G63" s="381"/>
      <c r="H63" s="381">
        <f ca="1">'Merger-Model'!L197</f>
        <v>-0.14133087597537045</v>
      </c>
      <c r="I63" s="381">
        <f ca="1">'Merger-Model'!M197</f>
        <v>0.17125626985410181</v>
      </c>
      <c r="J63" s="381">
        <f ca="1">'Merger-Model'!N197</f>
        <v>0.169217024715523</v>
      </c>
      <c r="K63" s="381">
        <f ca="1">'Merger-Model'!O197</f>
        <v>0.15216859034980648</v>
      </c>
      <c r="L63" s="381">
        <f ca="1">'Merger-Model'!P197</f>
        <v>0.16052225818049515</v>
      </c>
    </row>
    <row r="64" spans="3:12" outlineLevel="1" x14ac:dyDescent="0.25">
      <c r="C64" s="96" t="s">
        <v>567</v>
      </c>
      <c r="D64" s="375" t="s">
        <v>11</v>
      </c>
      <c r="E64" s="381"/>
      <c r="F64" s="381"/>
      <c r="G64" s="381"/>
      <c r="H64" s="381">
        <f ca="1">'Merger-Model'!L202</f>
        <v>0.44717835217018026</v>
      </c>
      <c r="I64" s="381">
        <f ca="1">'Merger-Model'!M202</f>
        <v>0.38852959947641325</v>
      </c>
      <c r="J64" s="381">
        <f ca="1">'Merger-Model'!N202</f>
        <v>0.34066154021855205</v>
      </c>
      <c r="K64" s="381">
        <f ca="1">'Merger-Model'!O202</f>
        <v>0.30000703159604986</v>
      </c>
      <c r="L64" s="381">
        <f ca="1">'Merger-Model'!P202</f>
        <v>0.26539582188862765</v>
      </c>
    </row>
    <row r="65" spans="3:12" outlineLevel="1" x14ac:dyDescent="0.25">
      <c r="C65" s="96" t="s">
        <v>570</v>
      </c>
      <c r="D65" s="375" t="s">
        <v>11</v>
      </c>
      <c r="E65" s="381"/>
      <c r="F65" s="381"/>
      <c r="G65" s="381"/>
      <c r="H65" s="381">
        <f ca="1">'Merger-Model'!L207</f>
        <v>0.33334270173715536</v>
      </c>
      <c r="I65" s="381">
        <f ca="1">'Merger-Model'!M207</f>
        <v>0.28144701164080593</v>
      </c>
      <c r="J65" s="381">
        <f ca="1">'Merger-Model'!N207</f>
        <v>0.23776016406921505</v>
      </c>
      <c r="K65" s="381">
        <f ca="1">'Merger-Model'!O207</f>
        <v>0.19987841342894594</v>
      </c>
      <c r="L65" s="381">
        <f ca="1">'Merger-Model'!P207</f>
        <v>0.1677721842052268</v>
      </c>
    </row>
    <row r="66" spans="3:12" outlineLevel="1" x14ac:dyDescent="0.25"/>
    <row r="67" spans="3:12" outlineLevel="1" x14ac:dyDescent="0.25">
      <c r="C67" s="367" t="s">
        <v>25</v>
      </c>
      <c r="D67" s="368"/>
      <c r="E67" s="368"/>
      <c r="F67" s="674"/>
      <c r="G67" s="674"/>
      <c r="H67" s="674"/>
      <c r="I67" s="674"/>
      <c r="J67" s="674"/>
      <c r="K67" s="368"/>
      <c r="L67" s="368"/>
    </row>
    <row r="68" spans="3:12" outlineLevel="1" x14ac:dyDescent="0.25">
      <c r="C68" s="96" t="s">
        <v>702</v>
      </c>
      <c r="D68" s="375" t="s">
        <v>11</v>
      </c>
      <c r="E68" s="381"/>
      <c r="F68" s="381"/>
      <c r="G68" s="381"/>
      <c r="H68" s="381">
        <f ca="1">'Merger-Model'!L228</f>
        <v>0.10913693255795646</v>
      </c>
      <c r="I68" s="381">
        <f ca="1">'Merger-Model'!M228</f>
        <v>0.11022521886670875</v>
      </c>
      <c r="J68" s="381">
        <f ca="1">'Merger-Model'!N228</f>
        <v>0.11120862450838337</v>
      </c>
      <c r="K68" s="381">
        <f ca="1">'Merger-Model'!O228</f>
        <v>0.11210649924479725</v>
      </c>
      <c r="L68" s="381">
        <f ca="1">'Merger-Model'!P228</f>
        <v>0.11290861559176819</v>
      </c>
    </row>
    <row r="69" spans="3:12" outlineLevel="1" x14ac:dyDescent="0.25">
      <c r="C69" s="96" t="s">
        <v>27</v>
      </c>
      <c r="D69" s="375" t="s">
        <v>11</v>
      </c>
      <c r="E69" s="381"/>
      <c r="F69" s="381"/>
      <c r="G69" s="381"/>
      <c r="H69" s="381">
        <f ca="1">'Merger-Model'!L229</f>
        <v>0.12</v>
      </c>
      <c r="I69" s="381">
        <f ca="1">'Merger-Model'!M229</f>
        <v>0.12000000000000001</v>
      </c>
      <c r="J69" s="381">
        <f ca="1">'Merger-Model'!N229</f>
        <v>0.12000000000000001</v>
      </c>
      <c r="K69" s="381">
        <f ca="1">'Merger-Model'!O229</f>
        <v>0.11999999999999995</v>
      </c>
      <c r="L69" s="381">
        <f ca="1">'Merger-Model'!P229</f>
        <v>0.11999999999999987</v>
      </c>
    </row>
    <row r="70" spans="3:12" outlineLevel="1" x14ac:dyDescent="0.25">
      <c r="C70" s="96" t="s">
        <v>28</v>
      </c>
      <c r="D70" s="375" t="s">
        <v>11</v>
      </c>
      <c r="E70" s="381"/>
      <c r="F70" s="381"/>
      <c r="G70" s="381"/>
      <c r="H70" s="381">
        <f ca="1">'Merger-Model'!L230</f>
        <v>0.13122682710825506</v>
      </c>
      <c r="I70" s="381">
        <f ca="1">'Merger-Model'!M230</f>
        <v>0.13010209854536728</v>
      </c>
      <c r="J70" s="381">
        <f ca="1">'Merger-Model'!N230</f>
        <v>0.12908576267382207</v>
      </c>
      <c r="K70" s="381">
        <f ca="1">'Merger-Model'!O230</f>
        <v>0.12815782178747759</v>
      </c>
      <c r="L70" s="381">
        <f ca="1">'Merger-Model'!P230</f>
        <v>0.1273288458471003</v>
      </c>
    </row>
  </sheetData>
  <pageMargins left="0.7" right="0.7" top="0.75" bottom="0.75" header="0.3" footer="0.3"/>
  <pageSetup scale="49" orientation="portrait" r:id="rId1"/>
  <rowBreaks count="1" manualBreakCount="1">
    <brk id="32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A4DA-B95E-4E52-82C6-C1AE50191A90}">
  <sheetPr>
    <pageSetUpPr autoPageBreaks="0"/>
  </sheetPr>
  <dimension ref="B2:Q76"/>
  <sheetViews>
    <sheetView showGridLines="0" zoomScale="115" zoomScaleNormal="115" workbookViewId="0">
      <selection activeCell="Q48" sqref="Q48"/>
    </sheetView>
  </sheetViews>
  <sheetFormatPr defaultRowHeight="15" outlineLevelRow="1" x14ac:dyDescent="0.25"/>
  <cols>
    <col min="1" max="2" width="2.7109375" style="223" customWidth="1"/>
    <col min="3" max="3" width="52.85546875" style="223" customWidth="1"/>
    <col min="4" max="6" width="11.5703125" style="223" customWidth="1"/>
    <col min="7" max="7" width="13.7109375" style="223" customWidth="1"/>
    <col min="8" max="8" width="11.5703125" style="223" customWidth="1"/>
    <col min="9" max="9" width="13.5703125" style="223" bestFit="1" customWidth="1"/>
    <col min="10" max="10" width="12.28515625" style="223" bestFit="1" customWidth="1"/>
    <col min="11" max="16" width="11.5703125" style="223" customWidth="1"/>
    <col min="17" max="17" width="14.5703125" style="223" customWidth="1"/>
    <col min="18" max="18" width="2.7109375" style="223" customWidth="1"/>
    <col min="19" max="28" width="12.7109375" style="223" customWidth="1"/>
    <col min="29" max="16384" width="9.140625" style="223"/>
  </cols>
  <sheetData>
    <row r="2" spans="2:17" x14ac:dyDescent="0.25">
      <c r="B2" s="1" t="str">
        <f>"Value of Synergies and IRR Calculations - "&amp;Company_Name&amp;" and "&amp;Seller_Name</f>
        <v>Value of Synergies and IRR Calculations - TCS Group Holding PLC and Rosbank Group</v>
      </c>
    </row>
    <row r="3" spans="2:17" x14ac:dyDescent="0.25">
      <c r="B3" s="223" t="str">
        <f>'Contrib.'!B3</f>
        <v>(RUB in Millions Except Per Share and Per Unit Data)</v>
      </c>
    </row>
    <row r="5" spans="2:17" x14ac:dyDescent="0.25">
      <c r="B5" s="227" t="s">
        <v>649</v>
      </c>
      <c r="C5" s="510"/>
      <c r="D5" s="510"/>
      <c r="E5" s="510"/>
      <c r="F5" s="510"/>
      <c r="G5" s="510"/>
      <c r="H5" s="510"/>
      <c r="I5" s="510"/>
      <c r="J5" s="510"/>
      <c r="K5" s="510"/>
      <c r="L5" s="510"/>
      <c r="M5" s="510"/>
      <c r="N5" s="510"/>
      <c r="O5" s="510"/>
    </row>
    <row r="6" spans="2:17" outlineLevel="1" x14ac:dyDescent="0.25"/>
    <row r="7" spans="2:17" outlineLevel="1" x14ac:dyDescent="0.25">
      <c r="C7" s="223" t="str">
        <f>DDM!C9</f>
        <v>Cost of Equity:</v>
      </c>
      <c r="D7" s="678">
        <f>DDM!D9</f>
        <v>0.15870000000000001</v>
      </c>
      <c r="L7" s="679"/>
    </row>
    <row r="8" spans="2:17" outlineLevel="1" x14ac:dyDescent="0.25">
      <c r="C8" s="223" t="s">
        <v>706</v>
      </c>
      <c r="D8" s="680">
        <f ca="1">('Capital &amp; Dividends'!L20/Buyer!L233)/(DDM!D9-'IRR-Synergies'!Q29)</f>
        <v>4.7762102280028289</v>
      </c>
      <c r="L8" s="353"/>
    </row>
    <row r="9" spans="2:17" outlineLevel="1" x14ac:dyDescent="0.25">
      <c r="C9" s="230" t="s">
        <v>650</v>
      </c>
      <c r="D9" s="34">
        <v>0.03</v>
      </c>
      <c r="L9" s="221"/>
    </row>
    <row r="10" spans="2:17" outlineLevel="1" x14ac:dyDescent="0.25">
      <c r="C10" s="230" t="s">
        <v>651</v>
      </c>
      <c r="D10" s="34">
        <v>0.25</v>
      </c>
      <c r="F10" s="230"/>
      <c r="J10" s="119"/>
      <c r="L10" s="221"/>
    </row>
    <row r="11" spans="2:17" outlineLevel="1" x14ac:dyDescent="0.25">
      <c r="C11" s="223" t="s">
        <v>652</v>
      </c>
      <c r="D11" s="34">
        <v>0.03</v>
      </c>
      <c r="F11" s="230"/>
      <c r="J11" s="119"/>
      <c r="L11" s="221"/>
    </row>
    <row r="12" spans="2:17" outlineLevel="1" x14ac:dyDescent="0.25">
      <c r="J12" s="235"/>
      <c r="L12" s="681"/>
    </row>
    <row r="13" spans="2:17" outlineLevel="1" x14ac:dyDescent="0.25">
      <c r="J13" s="235"/>
    </row>
    <row r="14" spans="2:17" outlineLevel="1" x14ac:dyDescent="0.25">
      <c r="C14" s="230"/>
      <c r="D14" s="682"/>
    </row>
    <row r="15" spans="2:17" x14ac:dyDescent="0.25">
      <c r="B15" s="224"/>
      <c r="C15" s="224"/>
      <c r="D15" s="224"/>
      <c r="E15" s="225" t="s">
        <v>55</v>
      </c>
      <c r="F15" s="225"/>
      <c r="G15" s="226"/>
      <c r="H15" s="225" t="s">
        <v>0</v>
      </c>
      <c r="I15" s="225"/>
      <c r="J15" s="225"/>
      <c r="K15" s="225"/>
      <c r="L15" s="225"/>
      <c r="M15" s="225"/>
      <c r="N15" s="225"/>
      <c r="O15" s="225"/>
      <c r="P15" s="225"/>
      <c r="Q15" s="225"/>
    </row>
    <row r="16" spans="2:17" x14ac:dyDescent="0.25">
      <c r="B16" s="227" t="s">
        <v>711</v>
      </c>
      <c r="C16" s="227"/>
      <c r="D16" s="7" t="s">
        <v>1</v>
      </c>
      <c r="E16" s="8">
        <f>Buyer!E30</f>
        <v>43465</v>
      </c>
      <c r="F16" s="228">
        <f>Buyer!F30</f>
        <v>43830</v>
      </c>
      <c r="G16" s="229">
        <f>Buyer!G30</f>
        <v>44196</v>
      </c>
      <c r="H16" s="8">
        <f>Buyer!H30</f>
        <v>44561</v>
      </c>
      <c r="I16" s="228">
        <f>Buyer!I30</f>
        <v>44926</v>
      </c>
      <c r="J16" s="228">
        <f>Buyer!J30</f>
        <v>45291</v>
      </c>
      <c r="K16" s="228">
        <f>Buyer!K30</f>
        <v>45657</v>
      </c>
      <c r="L16" s="228">
        <f>Buyer!L30</f>
        <v>46022</v>
      </c>
      <c r="M16" s="228">
        <f>EOMONTH(L16,12)</f>
        <v>46387</v>
      </c>
      <c r="N16" s="228">
        <f t="shared" ref="N16:Q16" si="0">EOMONTH(M16,12)</f>
        <v>46752</v>
      </c>
      <c r="O16" s="228">
        <f t="shared" si="0"/>
        <v>47118</v>
      </c>
      <c r="P16" s="228">
        <f t="shared" si="0"/>
        <v>47483</v>
      </c>
      <c r="Q16" s="228">
        <f t="shared" si="0"/>
        <v>47848</v>
      </c>
    </row>
    <row r="17" spans="3:17" outlineLevel="1" x14ac:dyDescent="0.25"/>
    <row r="18" spans="3:17" outlineLevel="1" x14ac:dyDescent="0.25">
      <c r="C18" s="1" t="s">
        <v>653</v>
      </c>
      <c r="K18" s="249"/>
      <c r="L18" s="249"/>
    </row>
    <row r="19" spans="3:17" outlineLevel="1" x14ac:dyDescent="0.25">
      <c r="C19" s="232" t="s">
        <v>681</v>
      </c>
      <c r="D19" s="14" t="s">
        <v>3</v>
      </c>
      <c r="H19" s="391">
        <f ca="1">'Merger-Model'!L145</f>
        <v>451.09960312034087</v>
      </c>
      <c r="I19" s="391">
        <f ca="1">'Merger-Model'!M145</f>
        <v>2432.2738494355572</v>
      </c>
      <c r="J19" s="391">
        <f ca="1">'Merger-Model'!N145</f>
        <v>1074.5100192881009</v>
      </c>
      <c r="K19" s="391">
        <f ca="1">'Merger-Model'!O145</f>
        <v>542.96683587674136</v>
      </c>
      <c r="L19" s="391">
        <f ca="1">'Merger-Model'!P145</f>
        <v>469.39932149306776</v>
      </c>
      <c r="M19" s="119">
        <f ca="1">+L19*(1+$L$8)</f>
        <v>469.39932149306776</v>
      </c>
      <c r="N19" s="119">
        <f t="shared" ref="N19:Q19" ca="1" si="1">+M19*(1+$L$8)</f>
        <v>469.39932149306776</v>
      </c>
      <c r="O19" s="119">
        <f t="shared" ca="1" si="1"/>
        <v>469.39932149306776</v>
      </c>
      <c r="P19" s="119">
        <f t="shared" ca="1" si="1"/>
        <v>469.39932149306776</v>
      </c>
      <c r="Q19" s="119">
        <f t="shared" ca="1" si="1"/>
        <v>469.39932149306776</v>
      </c>
    </row>
    <row r="20" spans="3:17" outlineLevel="1" x14ac:dyDescent="0.25">
      <c r="C20" s="232" t="s">
        <v>550</v>
      </c>
      <c r="D20" s="14" t="s">
        <v>3</v>
      </c>
      <c r="H20" s="391">
        <f>'Merger-Model'!L159</f>
        <v>3201.1768218195921</v>
      </c>
      <c r="I20" s="391">
        <f ca="1">'Merger-Model'!M159</f>
        <v>3221.6679485550121</v>
      </c>
      <c r="J20" s="391">
        <f ca="1">'Merger-Model'!N159</f>
        <v>3394.4575953628796</v>
      </c>
      <c r="K20" s="391">
        <f ca="1">'Merger-Model'!O159</f>
        <v>3546.5162437836007</v>
      </c>
      <c r="L20" s="391">
        <f ca="1">'Merger-Model'!P159</f>
        <v>3696.2151809416073</v>
      </c>
      <c r="M20" s="119">
        <f ca="1">+L20*(1+$D$9)</f>
        <v>3807.1016363698554</v>
      </c>
      <c r="N20" s="119">
        <f ca="1">+M20*(1+$D$9)</f>
        <v>3921.3146854609513</v>
      </c>
      <c r="O20" s="119">
        <f ca="1">+N20*(1+$D$9)</f>
        <v>4038.9541260247797</v>
      </c>
      <c r="P20" s="119">
        <f ca="1">+O20*(1+$D$9)</f>
        <v>4160.1227498055232</v>
      </c>
      <c r="Q20" s="119">
        <f ca="1">+P20*(1+$D$9)</f>
        <v>4284.9264322996887</v>
      </c>
    </row>
    <row r="21" spans="3:17" outlineLevel="1" x14ac:dyDescent="0.25">
      <c r="C21" s="232" t="s">
        <v>552</v>
      </c>
      <c r="D21" s="14" t="s">
        <v>3</v>
      </c>
      <c r="H21" s="391">
        <f>'Merger-Model'!L173</f>
        <v>-2400.8826163646941</v>
      </c>
      <c r="I21" s="391">
        <f ca="1">'Merger-Model'!M173</f>
        <v>-2416.2509614162591</v>
      </c>
      <c r="J21" s="391">
        <f ca="1">'Merger-Model'!N173</f>
        <v>-2545.8431965221598</v>
      </c>
      <c r="K21" s="391">
        <f ca="1">'Merger-Model'!O173</f>
        <v>-2659.8871828377005</v>
      </c>
      <c r="L21" s="391">
        <f ca="1">'Merger-Model'!P173</f>
        <v>-2772.1613857062057</v>
      </c>
      <c r="M21" s="119">
        <f ca="1">-M20*(1-$D$10)</f>
        <v>-2855.3262272773918</v>
      </c>
      <c r="N21" s="119">
        <f ca="1">-N20*(1-$D$10)</f>
        <v>-2940.9860140957135</v>
      </c>
      <c r="O21" s="119">
        <f ca="1">-O20*(1-$D$10)</f>
        <v>-3029.215594518585</v>
      </c>
      <c r="P21" s="119">
        <f ca="1">-P20*(1-$D$10)</f>
        <v>-3120.0920623541424</v>
      </c>
      <c r="Q21" s="119">
        <f ca="1">-Q20*(1-$D$10)</f>
        <v>-3213.6948242247663</v>
      </c>
    </row>
    <row r="22" spans="3:17" outlineLevel="1" x14ac:dyDescent="0.25">
      <c r="C22" s="232" t="s">
        <v>551</v>
      </c>
      <c r="D22" s="14" t="s">
        <v>3</v>
      </c>
      <c r="H22" s="391">
        <f>'Merger-Model'!L172</f>
        <v>3666.7111705329025</v>
      </c>
      <c r="I22" s="391">
        <f ca="1">'Merger-Model'!M172</f>
        <v>7380.3644798351716</v>
      </c>
      <c r="J22" s="391">
        <f ca="1">'Merger-Model'!N172</f>
        <v>7776.1999886920139</v>
      </c>
      <c r="K22" s="391">
        <f ca="1">'Merger-Model'!O172</f>
        <v>8124.5438483251555</v>
      </c>
      <c r="L22" s="391">
        <f ca="1">'Merger-Model'!P172</f>
        <v>8467.4819586805588</v>
      </c>
      <c r="M22" s="119">
        <f ca="1">+L22*(1+$D$11)</f>
        <v>8721.5064174409763</v>
      </c>
      <c r="N22" s="119">
        <f ca="1">+M22*(1+$D$11)</f>
        <v>8983.1516099642049</v>
      </c>
      <c r="O22" s="119">
        <f ca="1">+N22*(1+$D$11)</f>
        <v>9252.6461582631309</v>
      </c>
      <c r="P22" s="119">
        <f ca="1">+O22*(1+$D$11)</f>
        <v>9530.2255430110254</v>
      </c>
      <c r="Q22" s="119">
        <f ca="1">+P22*(1+$D$11)</f>
        <v>9816.1323093013561</v>
      </c>
    </row>
    <row r="23" spans="3:17" outlineLevel="1" x14ac:dyDescent="0.25">
      <c r="C23" s="247" t="s">
        <v>554</v>
      </c>
      <c r="D23" s="16" t="s">
        <v>3</v>
      </c>
      <c r="E23" s="551"/>
      <c r="F23" s="551"/>
      <c r="G23" s="551"/>
      <c r="H23" s="446">
        <f>'Merger-Model'!L175</f>
        <v>-5041.7278594827412</v>
      </c>
      <c r="I23" s="446">
        <f>'Merger-Model'!M175</f>
        <v>0</v>
      </c>
      <c r="J23" s="446">
        <f>'Merger-Model'!N175</f>
        <v>0</v>
      </c>
      <c r="K23" s="446">
        <f>'Merger-Model'!O175</f>
        <v>0</v>
      </c>
      <c r="L23" s="446">
        <f>'Merger-Model'!P175</f>
        <v>0</v>
      </c>
      <c r="M23" s="119">
        <f t="shared" ref="M23:Q23" si="2">+L23</f>
        <v>0</v>
      </c>
      <c r="N23" s="119">
        <f t="shared" si="2"/>
        <v>0</v>
      </c>
      <c r="O23" s="119">
        <f t="shared" si="2"/>
        <v>0</v>
      </c>
      <c r="P23" s="119">
        <f t="shared" si="2"/>
        <v>0</v>
      </c>
      <c r="Q23" s="119">
        <f t="shared" si="2"/>
        <v>0</v>
      </c>
    </row>
    <row r="24" spans="3:17" outlineLevel="1" x14ac:dyDescent="0.25">
      <c r="C24" s="309" t="s">
        <v>654</v>
      </c>
      <c r="D24" s="58" t="s">
        <v>3</v>
      </c>
      <c r="E24" s="312"/>
      <c r="F24" s="312"/>
      <c r="G24" s="312"/>
      <c r="H24" s="311">
        <f t="shared" ref="H24:Q24" ca="1" si="3">SUM(H19:H23)</f>
        <v>-123.62288037459984</v>
      </c>
      <c r="I24" s="311">
        <f t="shared" ca="1" si="3"/>
        <v>10618.055316409482</v>
      </c>
      <c r="J24" s="311">
        <f t="shared" ca="1" si="3"/>
        <v>9699.3244068208351</v>
      </c>
      <c r="K24" s="311">
        <f t="shared" ca="1" si="3"/>
        <v>9554.1397451477969</v>
      </c>
      <c r="L24" s="311">
        <f t="shared" ca="1" si="3"/>
        <v>9860.9350754090283</v>
      </c>
      <c r="M24" s="245">
        <f t="shared" ca="1" si="3"/>
        <v>10142.681148026508</v>
      </c>
      <c r="N24" s="245">
        <f t="shared" ca="1" si="3"/>
        <v>10432.879602822512</v>
      </c>
      <c r="O24" s="245">
        <f t="shared" ca="1" si="3"/>
        <v>10731.784011262393</v>
      </c>
      <c r="P24" s="245">
        <f t="shared" ca="1" si="3"/>
        <v>11039.655551955475</v>
      </c>
      <c r="Q24" s="245">
        <f t="shared" ca="1" si="3"/>
        <v>11356.763238869346</v>
      </c>
    </row>
    <row r="25" spans="3:17" outlineLevel="1" x14ac:dyDescent="0.25">
      <c r="C25" s="232" t="s">
        <v>655</v>
      </c>
      <c r="D25" s="16" t="s">
        <v>3</v>
      </c>
      <c r="H25" s="119">
        <f ca="1">-H24*Buyer!$D$15</f>
        <v>24.72457607491997</v>
      </c>
      <c r="I25" s="119">
        <f ca="1">-I24*Buyer!$D$15</f>
        <v>-2123.6110632818963</v>
      </c>
      <c r="J25" s="119">
        <f ca="1">-J24*Buyer!$D$15</f>
        <v>-1939.8648813641671</v>
      </c>
      <c r="K25" s="119">
        <f ca="1">-K24*Buyer!$D$15</f>
        <v>-1910.8279490295595</v>
      </c>
      <c r="L25" s="119">
        <f ca="1">-L24*Buyer!$D$15</f>
        <v>-1972.1870150818058</v>
      </c>
      <c r="M25" s="119">
        <f ca="1">-M24*Buyer!$D$15</f>
        <v>-2028.5362296053017</v>
      </c>
      <c r="N25" s="119">
        <f ca="1">-N24*Buyer!$D$15</f>
        <v>-2086.5759205645022</v>
      </c>
      <c r="O25" s="119">
        <f ca="1">-O24*Buyer!$D$15</f>
        <v>-2146.3568022524787</v>
      </c>
      <c r="P25" s="119">
        <f ca="1">-P24*Buyer!$D$15</f>
        <v>-2207.931110391095</v>
      </c>
      <c r="Q25" s="119">
        <f ca="1">-Q24*Buyer!$D$15</f>
        <v>-2271.3526477738692</v>
      </c>
    </row>
    <row r="26" spans="3:17" outlineLevel="1" x14ac:dyDescent="0.25">
      <c r="C26" s="83" t="s">
        <v>656</v>
      </c>
      <c r="D26" s="58" t="s">
        <v>3</v>
      </c>
      <c r="E26" s="302"/>
      <c r="F26" s="302"/>
      <c r="G26" s="302"/>
      <c r="H26" s="245">
        <f ca="1">SUM(H24:H25)</f>
        <v>-98.898304299679879</v>
      </c>
      <c r="I26" s="245">
        <f ca="1">SUM(I24:I25)</f>
        <v>8494.4442531275854</v>
      </c>
      <c r="J26" s="245">
        <f t="shared" ref="J26:Q26" ca="1" si="4">SUM(J24:J25)</f>
        <v>7759.4595254566684</v>
      </c>
      <c r="K26" s="245">
        <f t="shared" ca="1" si="4"/>
        <v>7643.3117961182379</v>
      </c>
      <c r="L26" s="245">
        <f t="shared" ca="1" si="4"/>
        <v>7888.7480603272224</v>
      </c>
      <c r="M26" s="245">
        <f t="shared" ca="1" si="4"/>
        <v>8114.1449184212061</v>
      </c>
      <c r="N26" s="245">
        <f t="shared" ca="1" si="4"/>
        <v>8346.3036822580088</v>
      </c>
      <c r="O26" s="245">
        <f t="shared" ca="1" si="4"/>
        <v>8585.4272090099148</v>
      </c>
      <c r="P26" s="245">
        <f t="shared" ca="1" si="4"/>
        <v>8831.72444156438</v>
      </c>
      <c r="Q26" s="245">
        <f t="shared" ca="1" si="4"/>
        <v>9085.4105910954768</v>
      </c>
    </row>
    <row r="27" spans="3:17" outlineLevel="1" x14ac:dyDescent="0.25">
      <c r="C27" s="232" t="s">
        <v>657</v>
      </c>
      <c r="D27" s="16" t="s">
        <v>3</v>
      </c>
      <c r="I27" s="683">
        <v>0</v>
      </c>
      <c r="J27" s="119">
        <f>+I27</f>
        <v>0</v>
      </c>
      <c r="K27" s="119">
        <f t="shared" ref="K27:P27" si="5">+J27</f>
        <v>0</v>
      </c>
      <c r="L27" s="119">
        <f t="shared" si="5"/>
        <v>0</v>
      </c>
      <c r="M27" s="119">
        <f t="shared" si="5"/>
        <v>0</v>
      </c>
      <c r="N27" s="119">
        <f t="shared" si="5"/>
        <v>0</v>
      </c>
      <c r="O27" s="119">
        <f t="shared" si="5"/>
        <v>0</v>
      </c>
      <c r="P27" s="119">
        <f t="shared" si="5"/>
        <v>0</v>
      </c>
      <c r="Q27" s="119">
        <f ca="1">Q26*D8</f>
        <v>43393.830990795446</v>
      </c>
    </row>
    <row r="28" spans="3:17" outlineLevel="1" x14ac:dyDescent="0.25">
      <c r="C28" s="83" t="s">
        <v>658</v>
      </c>
      <c r="D28" s="58" t="s">
        <v>3</v>
      </c>
      <c r="E28" s="302"/>
      <c r="F28" s="302"/>
      <c r="G28" s="302"/>
      <c r="H28" s="245">
        <f ca="1">SUM(H26:H27)</f>
        <v>-98.898304299679879</v>
      </c>
      <c r="I28" s="245">
        <f ca="1">SUM(I26:I27)</f>
        <v>8494.4442531275854</v>
      </c>
      <c r="J28" s="245">
        <f t="shared" ref="J28:Q28" ca="1" si="6">SUM(J26:J27)</f>
        <v>7759.4595254566684</v>
      </c>
      <c r="K28" s="245">
        <f t="shared" ca="1" si="6"/>
        <v>7643.3117961182379</v>
      </c>
      <c r="L28" s="245">
        <f t="shared" ca="1" si="6"/>
        <v>7888.7480603272224</v>
      </c>
      <c r="M28" s="245">
        <f t="shared" ca="1" si="6"/>
        <v>8114.1449184212061</v>
      </c>
      <c r="N28" s="245">
        <f t="shared" ca="1" si="6"/>
        <v>8346.3036822580088</v>
      </c>
      <c r="O28" s="245">
        <f t="shared" ca="1" si="6"/>
        <v>8585.4272090099148</v>
      </c>
      <c r="P28" s="245">
        <f t="shared" ca="1" si="6"/>
        <v>8831.72444156438</v>
      </c>
      <c r="Q28" s="245">
        <f t="shared" ca="1" si="6"/>
        <v>52479.241581890921</v>
      </c>
    </row>
    <row r="29" spans="3:17" outlineLevel="1" x14ac:dyDescent="0.25">
      <c r="P29" s="684" t="s">
        <v>682</v>
      </c>
      <c r="Q29" s="685">
        <f ca="1">Q26/P26-1</f>
        <v>2.8724418567362076E-2</v>
      </c>
    </row>
    <row r="30" spans="3:17" outlineLevel="1" x14ac:dyDescent="0.25">
      <c r="C30" s="686" t="s">
        <v>659</v>
      </c>
      <c r="D30" s="687" t="s">
        <v>3</v>
      </c>
      <c r="E30" s="688"/>
      <c r="F30" s="688"/>
      <c r="G30" s="688"/>
      <c r="H30" s="688"/>
      <c r="I30" s="689">
        <f ca="1">NPV($D$7,H28:Q28)*'Merger-Model'!D14</f>
        <v>29816.317840333671</v>
      </c>
    </row>
    <row r="31" spans="3:17" outlineLevel="1" x14ac:dyDescent="0.25">
      <c r="C31" s="690" t="s">
        <v>660</v>
      </c>
      <c r="D31" s="691" t="s">
        <v>11</v>
      </c>
      <c r="E31" s="692"/>
      <c r="F31" s="692"/>
      <c r="G31" s="692"/>
      <c r="H31" s="692"/>
      <c r="I31" s="693">
        <f ca="1">+I30/Equity_Purchase_Price</f>
        <v>0.28299579776490746</v>
      </c>
    </row>
    <row r="33" spans="2:17" x14ac:dyDescent="0.25">
      <c r="B33" s="224"/>
      <c r="C33" s="224"/>
      <c r="D33" s="224"/>
      <c r="E33" s="225" t="s">
        <v>55</v>
      </c>
      <c r="F33" s="225"/>
      <c r="G33" s="226"/>
      <c r="H33" s="225" t="s">
        <v>0</v>
      </c>
      <c r="I33" s="225"/>
      <c r="J33" s="225"/>
      <c r="K33" s="225"/>
      <c r="L33" s="225"/>
      <c r="M33" s="225"/>
      <c r="N33" s="225"/>
      <c r="O33" s="225"/>
      <c r="P33" s="225"/>
      <c r="Q33" s="225"/>
    </row>
    <row r="34" spans="2:17" x14ac:dyDescent="0.25">
      <c r="B34" s="227" t="s">
        <v>661</v>
      </c>
      <c r="C34" s="227"/>
      <c r="D34" s="7" t="s">
        <v>1</v>
      </c>
      <c r="E34" s="8">
        <f t="shared" ref="E34:Q34" si="7">E16</f>
        <v>43465</v>
      </c>
      <c r="F34" s="228">
        <f t="shared" si="7"/>
        <v>43830</v>
      </c>
      <c r="G34" s="229">
        <f t="shared" si="7"/>
        <v>44196</v>
      </c>
      <c r="H34" s="8">
        <f t="shared" si="7"/>
        <v>44561</v>
      </c>
      <c r="I34" s="228">
        <f t="shared" si="7"/>
        <v>44926</v>
      </c>
      <c r="J34" s="228">
        <f t="shared" si="7"/>
        <v>45291</v>
      </c>
      <c r="K34" s="228">
        <f t="shared" si="7"/>
        <v>45657</v>
      </c>
      <c r="L34" s="228">
        <f t="shared" si="7"/>
        <v>46022</v>
      </c>
      <c r="M34" s="228">
        <f t="shared" si="7"/>
        <v>46387</v>
      </c>
      <c r="N34" s="228">
        <f t="shared" si="7"/>
        <v>46752</v>
      </c>
      <c r="O34" s="228">
        <f t="shared" si="7"/>
        <v>47118</v>
      </c>
      <c r="P34" s="228">
        <f t="shared" si="7"/>
        <v>47483</v>
      </c>
      <c r="Q34" s="228">
        <f t="shared" si="7"/>
        <v>47848</v>
      </c>
    </row>
    <row r="35" spans="2:17" outlineLevel="1" x14ac:dyDescent="0.25"/>
    <row r="36" spans="2:17" outlineLevel="1" x14ac:dyDescent="0.25">
      <c r="C36" s="223" t="s">
        <v>662</v>
      </c>
      <c r="D36" s="14" t="s">
        <v>3</v>
      </c>
      <c r="E36" s="507"/>
      <c r="F36" s="507"/>
      <c r="G36" s="507"/>
      <c r="H36" s="432">
        <f ca="1">DDM!F40</f>
        <v>9056.1335373198417</v>
      </c>
      <c r="I36" s="432">
        <f ca="1">DDM!G40</f>
        <v>8705.8320316302961</v>
      </c>
      <c r="J36" s="432">
        <f ca="1">DDM!H40</f>
        <v>9370.9468777471811</v>
      </c>
      <c r="K36" s="432">
        <f ca="1">DDM!I40</f>
        <v>9867.2703439221987</v>
      </c>
      <c r="L36" s="432">
        <f ca="1">DDM!J40</f>
        <v>10319.060138500843</v>
      </c>
      <c r="M36" s="432">
        <f ca="1">DDM!K40</f>
        <v>10984.364974163373</v>
      </c>
      <c r="N36" s="432">
        <f ca="1">DDM!L40</f>
        <v>9724.4889639468711</v>
      </c>
      <c r="O36" s="432">
        <f ca="1">DDM!M40</f>
        <v>10146.929409600205</v>
      </c>
      <c r="P36" s="432">
        <f ca="1">DDM!N40</f>
        <v>10584.297009319716</v>
      </c>
      <c r="Q36" s="432">
        <f ca="1">DDM!O40</f>
        <v>11037.119221901101</v>
      </c>
    </row>
    <row r="37" spans="2:17" outlineLevel="1" x14ac:dyDescent="0.25">
      <c r="C37" s="232" t="s">
        <v>663</v>
      </c>
      <c r="D37" s="16" t="s">
        <v>3</v>
      </c>
      <c r="H37" s="119">
        <f t="shared" ref="H37:Q37" ca="1" si="8">+H24*(1-Seller_Tax_Rate)</f>
        <v>-98.898304299679879</v>
      </c>
      <c r="I37" s="119">
        <f t="shared" ca="1" si="8"/>
        <v>8494.4442531275854</v>
      </c>
      <c r="J37" s="119">
        <f t="shared" ca="1" si="8"/>
        <v>7759.4595254566684</v>
      </c>
      <c r="K37" s="119">
        <f t="shared" ca="1" si="8"/>
        <v>7643.3117961182379</v>
      </c>
      <c r="L37" s="119">
        <f t="shared" ca="1" si="8"/>
        <v>7888.7480603272234</v>
      </c>
      <c r="M37" s="119">
        <f t="shared" ca="1" si="8"/>
        <v>8114.144918421207</v>
      </c>
      <c r="N37" s="119">
        <f t="shared" ca="1" si="8"/>
        <v>8346.3036822580088</v>
      </c>
      <c r="O37" s="119">
        <f t="shared" ca="1" si="8"/>
        <v>8585.4272090099148</v>
      </c>
      <c r="P37" s="119">
        <f t="shared" ca="1" si="8"/>
        <v>8831.72444156438</v>
      </c>
      <c r="Q37" s="119">
        <f t="shared" ca="1" si="8"/>
        <v>9085.4105910954768</v>
      </c>
    </row>
    <row r="38" spans="2:17" outlineLevel="1" x14ac:dyDescent="0.25">
      <c r="C38" s="83" t="s">
        <v>664</v>
      </c>
      <c r="D38" s="58" t="s">
        <v>3</v>
      </c>
      <c r="E38" s="302"/>
      <c r="F38" s="302"/>
      <c r="G38" s="302"/>
      <c r="H38" s="245">
        <f ca="1">SUM(H36:H37)</f>
        <v>8957.2352330201611</v>
      </c>
      <c r="I38" s="245">
        <f t="shared" ref="I38:J38" ca="1" si="9">SUM(I36:I37)</f>
        <v>17200.276284757882</v>
      </c>
      <c r="J38" s="245">
        <f t="shared" ca="1" si="9"/>
        <v>17130.406403203851</v>
      </c>
      <c r="K38" s="245">
        <f t="shared" ref="K38:Q38" ca="1" si="10">SUM(K36:K37)</f>
        <v>17510.582140040438</v>
      </c>
      <c r="L38" s="245">
        <f t="shared" ca="1" si="10"/>
        <v>18207.808198828068</v>
      </c>
      <c r="M38" s="245">
        <f t="shared" ca="1" si="10"/>
        <v>19098.509892584581</v>
      </c>
      <c r="N38" s="245">
        <f t="shared" ca="1" si="10"/>
        <v>18070.792646204878</v>
      </c>
      <c r="O38" s="245">
        <f t="shared" ca="1" si="10"/>
        <v>18732.35661861012</v>
      </c>
      <c r="P38" s="245">
        <f t="shared" ca="1" si="10"/>
        <v>19416.021450884095</v>
      </c>
      <c r="Q38" s="245">
        <f t="shared" ca="1" si="10"/>
        <v>20122.529812996578</v>
      </c>
    </row>
    <row r="39" spans="2:17" outlineLevel="1" x14ac:dyDescent="0.25">
      <c r="P39" s="684" t="s">
        <v>682</v>
      </c>
      <c r="Q39" s="694">
        <f ca="1">Q38/P38-1</f>
        <v>3.6387905931176912E-2</v>
      </c>
    </row>
    <row r="40" spans="2:17" outlineLevel="1" x14ac:dyDescent="0.25">
      <c r="C40" s="223" t="s">
        <v>665</v>
      </c>
      <c r="D40" s="14" t="s">
        <v>11</v>
      </c>
      <c r="I40" s="249">
        <f t="shared" ref="I40:L41" ca="1" si="11">I46/H46-1</f>
        <v>-2.8560479725167842E-2</v>
      </c>
      <c r="J40" s="249">
        <f t="shared" ca="1" si="11"/>
        <v>-2.0992539184374492E-2</v>
      </c>
      <c r="K40" s="249">
        <f t="shared" ca="1" si="11"/>
        <v>3.958705557133535E-2</v>
      </c>
      <c r="L40" s="249">
        <f t="shared" ca="1" si="11"/>
        <v>-6.7716398612421846E-3</v>
      </c>
      <c r="M40" s="34">
        <v>0.03</v>
      </c>
      <c r="N40" s="34">
        <v>0.03</v>
      </c>
      <c r="O40" s="34">
        <v>0.03</v>
      </c>
      <c r="P40" s="34">
        <v>0.03</v>
      </c>
      <c r="Q40" s="34">
        <v>0.03</v>
      </c>
    </row>
    <row r="41" spans="2:17" outlineLevel="1" x14ac:dyDescent="0.25">
      <c r="C41" s="223" t="s">
        <v>666</v>
      </c>
      <c r="D41" s="14" t="s">
        <v>11</v>
      </c>
      <c r="I41" s="249">
        <f t="shared" ca="1" si="11"/>
        <v>-0.28782014373233433</v>
      </c>
      <c r="J41" s="249">
        <f t="shared" ca="1" si="11"/>
        <v>-1.9285040779117413E-2</v>
      </c>
      <c r="K41" s="249">
        <f t="shared" ca="1" si="11"/>
        <v>5.4969640926293417E-2</v>
      </c>
      <c r="L41" s="249">
        <f t="shared" ca="1" si="11"/>
        <v>-1.3921093257873718E-2</v>
      </c>
      <c r="M41" s="34">
        <v>0.03</v>
      </c>
      <c r="N41" s="34">
        <v>0.03</v>
      </c>
      <c r="O41" s="34">
        <v>0.03</v>
      </c>
      <c r="P41" s="34">
        <v>0.03</v>
      </c>
      <c r="Q41" s="34">
        <v>0.03</v>
      </c>
    </row>
    <row r="42" spans="2:17" outlineLevel="1" x14ac:dyDescent="0.25"/>
    <row r="43" spans="2:17" outlineLevel="1" x14ac:dyDescent="0.25">
      <c r="C43" s="1" t="s">
        <v>667</v>
      </c>
    </row>
    <row r="44" spans="2:17" outlineLevel="1" x14ac:dyDescent="0.25">
      <c r="C44" s="232" t="s">
        <v>668</v>
      </c>
      <c r="D44" s="14" t="s">
        <v>3</v>
      </c>
      <c r="G44" s="391">
        <f>-Equity_Purchase_Price</f>
        <v>-105359.578042579</v>
      </c>
      <c r="H44" s="695"/>
      <c r="I44" s="695"/>
      <c r="J44" s="696"/>
      <c r="K44" s="284"/>
      <c r="L44" s="284"/>
      <c r="M44" s="284"/>
      <c r="N44" s="284"/>
      <c r="O44" s="284"/>
      <c r="P44" s="284"/>
      <c r="Q44" s="284"/>
    </row>
    <row r="45" spans="2:17" outlineLevel="1" x14ac:dyDescent="0.25">
      <c r="C45" s="232" t="s">
        <v>669</v>
      </c>
      <c r="D45" s="14" t="s">
        <v>3</v>
      </c>
      <c r="H45" s="391">
        <f ca="1">'Merger-Model'!L239</f>
        <v>0</v>
      </c>
      <c r="I45" s="391">
        <f ca="1">'Merger-Model'!M239</f>
        <v>0</v>
      </c>
      <c r="J45" s="391">
        <f ca="1">'Merger-Model'!N239</f>
        <v>0</v>
      </c>
      <c r="K45" s="391">
        <f ca="1">'Merger-Model'!O239</f>
        <v>0</v>
      </c>
      <c r="L45" s="391">
        <f ca="1">'Merger-Model'!P239</f>
        <v>0</v>
      </c>
      <c r="M45" s="34">
        <v>0</v>
      </c>
      <c r="N45" s="119">
        <f>+M45</f>
        <v>0</v>
      </c>
      <c r="O45" s="119">
        <f t="shared" ref="O45:Q45" si="12">+N45</f>
        <v>0</v>
      </c>
      <c r="P45" s="119">
        <f t="shared" si="12"/>
        <v>0</v>
      </c>
      <c r="Q45" s="119">
        <f t="shared" si="12"/>
        <v>0</v>
      </c>
    </row>
    <row r="46" spans="2:17" outlineLevel="1" x14ac:dyDescent="0.25">
      <c r="C46" s="232" t="s">
        <v>670</v>
      </c>
      <c r="D46" s="14" t="s">
        <v>3</v>
      </c>
      <c r="H46" s="119">
        <f ca="1">'Merger-Model'!L238</f>
        <v>70179.129947164329</v>
      </c>
      <c r="I46" s="119">
        <f ca="1">'Merger-Model'!M238</f>
        <v>68174.780329178422</v>
      </c>
      <c r="J46" s="119">
        <f ca="1">'Merger-Model'!N238</f>
        <v>66743.618581732066</v>
      </c>
      <c r="K46" s="119">
        <f ca="1">'Merger-Model'!O238</f>
        <v>69385.801919559177</v>
      </c>
      <c r="L46" s="119">
        <f ca="1">'Merger-Model'!P238</f>
        <v>68915.946257476651</v>
      </c>
      <c r="M46" s="119">
        <f ca="1">+L46*(1+M40)</f>
        <v>70983.424645200954</v>
      </c>
      <c r="N46" s="119">
        <f t="shared" ref="N46:Q46" ca="1" si="13">+M46*(1+N40)</f>
        <v>73112.927384556984</v>
      </c>
      <c r="O46" s="119">
        <f t="shared" ca="1" si="13"/>
        <v>75306.315206093699</v>
      </c>
      <c r="P46" s="119">
        <f t="shared" ca="1" si="13"/>
        <v>77565.504662276508</v>
      </c>
      <c r="Q46" s="119">
        <f t="shared" ca="1" si="13"/>
        <v>79892.469802144798</v>
      </c>
    </row>
    <row r="47" spans="2:17" outlineLevel="1" x14ac:dyDescent="0.25">
      <c r="C47" s="232" t="s">
        <v>671</v>
      </c>
      <c r="D47" s="14" t="s">
        <v>3</v>
      </c>
      <c r="H47" s="119">
        <f ca="1">-'Capital &amp; Dividends'!H24</f>
        <v>-71471.059163114289</v>
      </c>
      <c r="I47" s="119">
        <f ca="1">-'Capital &amp; Dividends'!I24</f>
        <v>-50900.248642084567</v>
      </c>
      <c r="J47" s="119">
        <f ca="1">-'Capital &amp; Dividends'!J24</f>
        <v>-49918.635271354753</v>
      </c>
      <c r="K47" s="119">
        <f ca="1">-'Capital &amp; Dividends'!K24</f>
        <v>-52662.644727751729</v>
      </c>
      <c r="L47" s="119">
        <f ca="1">-'Capital &amp; Dividends'!L24</f>
        <v>-51929.523139290424</v>
      </c>
      <c r="M47" s="119">
        <f t="shared" ref="M47:Q47" ca="1" si="14">+L47*(1+M41)</f>
        <v>-53487.408833469141</v>
      </c>
      <c r="N47" s="119">
        <f t="shared" ca="1" si="14"/>
        <v>-55092.031098473213</v>
      </c>
      <c r="O47" s="119">
        <f t="shared" ca="1" si="14"/>
        <v>-56744.792031427409</v>
      </c>
      <c r="P47" s="119">
        <f t="shared" ca="1" si="14"/>
        <v>-58447.135792370231</v>
      </c>
      <c r="Q47" s="119">
        <f t="shared" ca="1" si="14"/>
        <v>-60200.549866141337</v>
      </c>
    </row>
    <row r="48" spans="2:17" outlineLevel="1" x14ac:dyDescent="0.25">
      <c r="C48" s="232" t="s">
        <v>672</v>
      </c>
      <c r="D48" s="16" t="s">
        <v>3</v>
      </c>
      <c r="J48" s="697">
        <v>0</v>
      </c>
      <c r="K48" s="119">
        <f>+J48</f>
        <v>0</v>
      </c>
      <c r="L48" s="119">
        <f t="shared" ref="L48:P48" si="15">+K48</f>
        <v>0</v>
      </c>
      <c r="M48" s="119">
        <f t="shared" si="15"/>
        <v>0</v>
      </c>
      <c r="N48" s="119">
        <f t="shared" si="15"/>
        <v>0</v>
      </c>
      <c r="O48" s="119">
        <f t="shared" si="15"/>
        <v>0</v>
      </c>
      <c r="P48" s="119">
        <f t="shared" si="15"/>
        <v>0</v>
      </c>
      <c r="Q48" s="119">
        <f ca="1">Q38*D8*'Merger-Model'!D14</f>
        <v>67276.602894288269</v>
      </c>
    </row>
    <row r="49" spans="2:17" outlineLevel="1" x14ac:dyDescent="0.25">
      <c r="C49" s="83" t="s">
        <v>673</v>
      </c>
      <c r="D49" s="58" t="s">
        <v>3</v>
      </c>
      <c r="E49" s="302"/>
      <c r="F49" s="302"/>
      <c r="G49" s="414">
        <f>SUM(G44:G48)</f>
        <v>-105359.578042579</v>
      </c>
      <c r="H49" s="414">
        <f ca="1">SUM(H44:H48)</f>
        <v>-1291.9292159499601</v>
      </c>
      <c r="I49" s="414">
        <f t="shared" ref="I49:Q49" ca="1" si="16">SUM(I44:I48)</f>
        <v>17274.531687093855</v>
      </c>
      <c r="J49" s="414">
        <f t="shared" ca="1" si="16"/>
        <v>16824.983310377313</v>
      </c>
      <c r="K49" s="414">
        <f t="shared" ca="1" si="16"/>
        <v>16723.157191807448</v>
      </c>
      <c r="L49" s="414">
        <f t="shared" ca="1" si="16"/>
        <v>16986.423118186227</v>
      </c>
      <c r="M49" s="414">
        <f t="shared" ca="1" si="16"/>
        <v>17496.015811731813</v>
      </c>
      <c r="N49" s="414">
        <f t="shared" ca="1" si="16"/>
        <v>18020.896286083771</v>
      </c>
      <c r="O49" s="414">
        <f t="shared" ca="1" si="16"/>
        <v>18561.52317466629</v>
      </c>
      <c r="P49" s="414">
        <f t="shared" ca="1" si="16"/>
        <v>19118.368869906277</v>
      </c>
      <c r="Q49" s="414">
        <f t="shared" ca="1" si="16"/>
        <v>86968.522830291739</v>
      </c>
    </row>
    <row r="50" spans="2:17" outlineLevel="1" x14ac:dyDescent="0.25">
      <c r="K50" s="401"/>
      <c r="L50" s="401"/>
    </row>
    <row r="51" spans="2:17" outlineLevel="1" x14ac:dyDescent="0.25">
      <c r="C51" s="698" t="s">
        <v>661</v>
      </c>
      <c r="D51" s="699" t="s">
        <v>11</v>
      </c>
      <c r="E51" s="700"/>
      <c r="F51" s="700"/>
      <c r="G51" s="700"/>
      <c r="H51" s="700"/>
      <c r="I51" s="701">
        <f ca="1">IRR(G49:Q49)</f>
        <v>0.11817544355440646</v>
      </c>
    </row>
    <row r="53" spans="2:17" x14ac:dyDescent="0.25">
      <c r="B53" s="227" t="s">
        <v>674</v>
      </c>
      <c r="C53" s="510"/>
      <c r="D53" s="510"/>
      <c r="E53" s="510"/>
      <c r="F53" s="510"/>
      <c r="G53" s="510"/>
      <c r="H53" s="510"/>
      <c r="I53" s="510"/>
      <c r="J53" s="510"/>
      <c r="K53" s="510"/>
      <c r="L53" s="510"/>
      <c r="M53" s="510"/>
      <c r="N53" s="510"/>
      <c r="O53" s="510"/>
      <c r="P53" s="510"/>
      <c r="Q53" s="510"/>
    </row>
    <row r="54" spans="2:17" outlineLevel="1" x14ac:dyDescent="0.25"/>
    <row r="55" spans="2:17" outlineLevel="1" x14ac:dyDescent="0.25">
      <c r="C55" s="511"/>
      <c r="D55" s="512"/>
      <c r="E55" s="513" t="s">
        <v>675</v>
      </c>
      <c r="F55" s="514"/>
      <c r="G55" s="514"/>
      <c r="H55" s="514"/>
      <c r="I55" s="514"/>
      <c r="J55" s="514"/>
      <c r="K55" s="514"/>
      <c r="L55" s="514"/>
      <c r="M55" s="515"/>
    </row>
    <row r="56" spans="2:17" outlineLevel="1" x14ac:dyDescent="0.25">
      <c r="C56" s="516"/>
      <c r="D56" s="517">
        <f ca="1">+$I$31</f>
        <v>0.28299579776490746</v>
      </c>
      <c r="E56" s="702">
        <f>F56+0.5%</f>
        <v>0.17870000000000003</v>
      </c>
      <c r="F56" s="702">
        <f>G56+0.5%</f>
        <v>0.17370000000000002</v>
      </c>
      <c r="G56" s="702">
        <f>H56+0.5%</f>
        <v>0.16870000000000002</v>
      </c>
      <c r="H56" s="702">
        <f>I56+0.5%</f>
        <v>0.16370000000000001</v>
      </c>
      <c r="I56" s="703">
        <v>0.15870000000000001</v>
      </c>
      <c r="J56" s="702">
        <f t="shared" ref="J56:M56" si="17">I56-0.5%</f>
        <v>0.1537</v>
      </c>
      <c r="K56" s="702">
        <f t="shared" si="17"/>
        <v>0.1487</v>
      </c>
      <c r="L56" s="702">
        <f t="shared" si="17"/>
        <v>0.14369999999999999</v>
      </c>
      <c r="M56" s="704">
        <f t="shared" si="17"/>
        <v>0.13869999999999999</v>
      </c>
    </row>
    <row r="57" spans="2:17" outlineLevel="1" x14ac:dyDescent="0.25">
      <c r="C57" s="710" t="s">
        <v>676</v>
      </c>
      <c r="D57" s="705">
        <f>D58-0.5</f>
        <v>3.2762102280028209</v>
      </c>
      <c r="E57" s="520">
        <f t="dataTable" ref="E57:M63" dt2D="1" dtr="1" r1="D7" r2="D8" ca="1"/>
        <v>0.23706962000246293</v>
      </c>
      <c r="F57" s="521">
        <v>0.24302947897916624</v>
      </c>
      <c r="G57" s="521">
        <v>0.24920460597159078</v>
      </c>
      <c r="H57" s="521">
        <v>0.25560458825246474</v>
      </c>
      <c r="I57" s="522">
        <v>0.26223950605502355</v>
      </c>
      <c r="J57" s="521">
        <v>0.26911996090872764</v>
      </c>
      <c r="K57" s="521">
        <v>0.27625710576307527</v>
      </c>
      <c r="L57" s="521">
        <v>0.28366267702198267</v>
      </c>
      <c r="M57" s="521">
        <v>0.291349028620215</v>
      </c>
    </row>
    <row r="58" spans="2:17" outlineLevel="1" x14ac:dyDescent="0.25">
      <c r="C58" s="711"/>
      <c r="D58" s="705">
        <f>D59-0.5</f>
        <v>3.7762102280028209</v>
      </c>
      <c r="E58" s="524">
        <v>0.24290011927195432</v>
      </c>
      <c r="F58" s="525">
        <v>0.24911317540459926</v>
      </c>
      <c r="G58" s="525">
        <v>0.25555364709694695</v>
      </c>
      <c r="H58" s="525">
        <v>0.26223176017740613</v>
      </c>
      <c r="I58" s="526">
        <v>0.26915826995831815</v>
      </c>
      <c r="J58" s="525">
        <v>0.27634449183130533</v>
      </c>
      <c r="K58" s="525">
        <v>0.28380233380116254</v>
      </c>
      <c r="L58" s="525">
        <v>0.29154433109149502</v>
      </c>
      <c r="M58" s="525">
        <v>0.29958368296513443</v>
      </c>
    </row>
    <row r="59" spans="2:17" outlineLevel="1" x14ac:dyDescent="0.25">
      <c r="C59" s="711"/>
      <c r="D59" s="705">
        <f>D60-0.5</f>
        <v>4.2762102280028209</v>
      </c>
      <c r="E59" s="524">
        <v>0.24873061854144554</v>
      </c>
      <c r="F59" s="525">
        <v>0.25519687183003226</v>
      </c>
      <c r="G59" s="525">
        <v>0.26190268822230311</v>
      </c>
      <c r="H59" s="525">
        <v>0.26885893210234768</v>
      </c>
      <c r="I59" s="526">
        <v>0.27607703386161275</v>
      </c>
      <c r="J59" s="525">
        <v>0.28356902275388302</v>
      </c>
      <c r="K59" s="525">
        <v>0.29134756183924992</v>
      </c>
      <c r="L59" s="525">
        <v>0.29942598516100738</v>
      </c>
      <c r="M59" s="525">
        <v>0.30781833731005398</v>
      </c>
    </row>
    <row r="60" spans="2:17" outlineLevel="1" x14ac:dyDescent="0.25">
      <c r="C60" s="711"/>
      <c r="D60" s="706">
        <v>4.7762102280028209</v>
      </c>
      <c r="E60" s="527">
        <v>0.25456111781093693</v>
      </c>
      <c r="F60" s="526">
        <v>0.26128056825546531</v>
      </c>
      <c r="G60" s="526">
        <v>0.26825172934765934</v>
      </c>
      <c r="H60" s="526">
        <v>0.27548610402728907</v>
      </c>
      <c r="I60" s="526">
        <v>0.28299579776490735</v>
      </c>
      <c r="J60" s="526">
        <v>0.29079355367646065</v>
      </c>
      <c r="K60" s="526">
        <v>0.29889278987733731</v>
      </c>
      <c r="L60" s="526">
        <v>0.30730763923051979</v>
      </c>
      <c r="M60" s="526">
        <v>0.31605299165497341</v>
      </c>
    </row>
    <row r="61" spans="2:17" outlineLevel="1" x14ac:dyDescent="0.25">
      <c r="C61" s="711"/>
      <c r="D61" s="705">
        <f t="shared" ref="D61:D63" si="18">D60+0.5</f>
        <v>5.2762102280028209</v>
      </c>
      <c r="E61" s="524">
        <v>0.26039161708042824</v>
      </c>
      <c r="F61" s="525">
        <v>0.2673642646808983</v>
      </c>
      <c r="G61" s="525">
        <v>0.27460077047301551</v>
      </c>
      <c r="H61" s="525">
        <v>0.28211327595223057</v>
      </c>
      <c r="I61" s="526">
        <v>0.2899145616682019</v>
      </c>
      <c r="J61" s="525">
        <v>0.29801808459903839</v>
      </c>
      <c r="K61" s="525">
        <v>0.30643801791542458</v>
      </c>
      <c r="L61" s="525">
        <v>0.31518929330003209</v>
      </c>
      <c r="M61" s="525">
        <v>0.32428764599989285</v>
      </c>
    </row>
    <row r="62" spans="2:17" outlineLevel="1" x14ac:dyDescent="0.25">
      <c r="C62" s="711"/>
      <c r="D62" s="705">
        <f t="shared" si="18"/>
        <v>5.7762102280028209</v>
      </c>
      <c r="E62" s="524">
        <v>0.26622211634991949</v>
      </c>
      <c r="F62" s="525">
        <v>0.27344796110633129</v>
      </c>
      <c r="G62" s="525">
        <v>0.28094981159837168</v>
      </c>
      <c r="H62" s="525">
        <v>0.28874044787717196</v>
      </c>
      <c r="I62" s="526">
        <v>0.2968333255714965</v>
      </c>
      <c r="J62" s="525">
        <v>0.30524261552161602</v>
      </c>
      <c r="K62" s="525">
        <v>0.3139832459535119</v>
      </c>
      <c r="L62" s="525">
        <v>0.32307094736954445</v>
      </c>
      <c r="M62" s="525">
        <v>0.33252230034481228</v>
      </c>
    </row>
    <row r="63" spans="2:17" outlineLevel="1" x14ac:dyDescent="0.25">
      <c r="C63" s="712"/>
      <c r="D63" s="707">
        <f t="shared" si="18"/>
        <v>6.2762102280028209</v>
      </c>
      <c r="E63" s="524">
        <v>0.27205261561941085</v>
      </c>
      <c r="F63" s="525">
        <v>0.27953165753176434</v>
      </c>
      <c r="G63" s="525">
        <v>0.2872988527237279</v>
      </c>
      <c r="H63" s="525">
        <v>0.2953676198021134</v>
      </c>
      <c r="I63" s="526">
        <v>0.3037520894747911</v>
      </c>
      <c r="J63" s="525">
        <v>0.31246714644419366</v>
      </c>
      <c r="K63" s="525">
        <v>0.32152847399159923</v>
      </c>
      <c r="L63" s="525">
        <v>0.3309526014390568</v>
      </c>
      <c r="M63" s="525">
        <v>0.34075695468973177</v>
      </c>
    </row>
    <row r="64" spans="2:17" outlineLevel="1" x14ac:dyDescent="0.25"/>
    <row r="65" spans="2:17" x14ac:dyDescent="0.25">
      <c r="B65" s="227" t="s">
        <v>677</v>
      </c>
      <c r="C65" s="510"/>
      <c r="D65" s="510"/>
      <c r="E65" s="510"/>
      <c r="F65" s="510"/>
      <c r="G65" s="510"/>
      <c r="H65" s="510"/>
      <c r="I65" s="510"/>
      <c r="J65" s="510"/>
      <c r="K65" s="510"/>
      <c r="L65" s="510"/>
      <c r="M65" s="510"/>
      <c r="N65" s="510"/>
      <c r="O65" s="510"/>
      <c r="P65" s="510"/>
      <c r="Q65" s="510"/>
    </row>
    <row r="66" spans="2:17" outlineLevel="1" x14ac:dyDescent="0.25"/>
    <row r="67" spans="2:17" outlineLevel="1" x14ac:dyDescent="0.25">
      <c r="C67" s="511"/>
      <c r="D67" s="512"/>
      <c r="E67" s="513" t="s">
        <v>678</v>
      </c>
      <c r="F67" s="514"/>
      <c r="G67" s="514"/>
      <c r="H67" s="514"/>
      <c r="I67" s="514"/>
      <c r="J67" s="514"/>
      <c r="K67" s="514"/>
      <c r="L67" s="514"/>
      <c r="M67" s="515"/>
    </row>
    <row r="68" spans="2:17" outlineLevel="1" x14ac:dyDescent="0.25">
      <c r="C68" s="516"/>
      <c r="D68" s="517">
        <f ca="1">+$I$51</f>
        <v>0.11817544355440646</v>
      </c>
      <c r="E68" s="676">
        <f>F68*1.05</f>
        <v>-128065.22560811757</v>
      </c>
      <c r="F68" s="676">
        <f>G68*1.05</f>
        <v>-121966.88153154054</v>
      </c>
      <c r="G68" s="676">
        <f>H68*1.05</f>
        <v>-116158.93479194336</v>
      </c>
      <c r="H68" s="676">
        <f>I68*1.05</f>
        <v>-110627.55694470796</v>
      </c>
      <c r="I68" s="677">
        <v>-105359.578042579</v>
      </c>
      <c r="J68" s="676">
        <f>I68*0.95</f>
        <v>-100091.59914045004</v>
      </c>
      <c r="K68" s="676">
        <f>J68*0.95</f>
        <v>-95087.019183427532</v>
      </c>
      <c r="L68" s="676">
        <f>K68*0.95</f>
        <v>-90332.668224256151</v>
      </c>
      <c r="M68" s="676">
        <f>L68*0.95</f>
        <v>-85816.034813043341</v>
      </c>
    </row>
    <row r="69" spans="2:17" outlineLevel="1" x14ac:dyDescent="0.25">
      <c r="C69" s="710" t="s">
        <v>712</v>
      </c>
      <c r="D69" s="708">
        <v>3.2762102280028209</v>
      </c>
      <c r="E69" s="520">
        <f t="dataTable" ref="E69:M75" dt2D="1" dtr="1" r1="G44" r2="D8" ca="1"/>
        <v>7.2522290445649729E-2</v>
      </c>
      <c r="F69" s="521">
        <v>8.0668000747695867E-2</v>
      </c>
      <c r="G69" s="521">
        <v>8.8954933796239866E-2</v>
      </c>
      <c r="H69" s="521">
        <v>9.7387858656183601E-2</v>
      </c>
      <c r="I69" s="522">
        <v>0.10597174119150887</v>
      </c>
      <c r="J69" s="521">
        <v>0.115164457772996</v>
      </c>
      <c r="K69" s="521">
        <v>0.12453599544492255</v>
      </c>
      <c r="L69" s="521">
        <v>0.13409288325900581</v>
      </c>
      <c r="M69" s="521">
        <v>0.14384192898658266</v>
      </c>
    </row>
    <row r="70" spans="2:17" outlineLevel="1" x14ac:dyDescent="0.25">
      <c r="C70" s="711"/>
      <c r="D70" s="705">
        <v>3.7762102280028209</v>
      </c>
      <c r="E70" s="524">
        <v>7.6938692594344271E-2</v>
      </c>
      <c r="F70" s="525">
        <v>8.504255556907947E-2</v>
      </c>
      <c r="G70" s="525">
        <v>9.3286091129238136E-2</v>
      </c>
      <c r="H70" s="525">
        <v>0.10167404257728241</v>
      </c>
      <c r="I70" s="526">
        <v>0.11021135138444027</v>
      </c>
      <c r="J70" s="525">
        <v>0.11935335428454863</v>
      </c>
      <c r="K70" s="525">
        <v>0.12867236015303418</v>
      </c>
      <c r="L70" s="525">
        <v>0.1381748764703199</v>
      </c>
      <c r="M70" s="525">
        <v>0.14786769249024512</v>
      </c>
    </row>
    <row r="71" spans="2:17" outlineLevel="1" x14ac:dyDescent="0.25">
      <c r="C71" s="711"/>
      <c r="D71" s="705">
        <v>4.2762102280028209</v>
      </c>
      <c r="E71" s="524">
        <v>8.1160973012735615E-2</v>
      </c>
      <c r="F71" s="525">
        <v>8.9227185829819033E-2</v>
      </c>
      <c r="G71" s="525">
        <v>9.7431592830470315E-2</v>
      </c>
      <c r="H71" s="525">
        <v>0.10577890953846514</v>
      </c>
      <c r="I71" s="526">
        <v>0.11427405071035523</v>
      </c>
      <c r="J71" s="525">
        <v>0.12337004186191125</v>
      </c>
      <c r="K71" s="525">
        <v>0.13264128595868874</v>
      </c>
      <c r="L71" s="525">
        <v>0.14209426497635969</v>
      </c>
      <c r="M71" s="525">
        <v>0.15173574524747413</v>
      </c>
    </row>
    <row r="72" spans="2:17" outlineLevel="1" x14ac:dyDescent="0.25">
      <c r="C72" s="711"/>
      <c r="D72" s="706">
        <v>4.7762102280028209</v>
      </c>
      <c r="E72" s="527">
        <v>8.5207075832419044E-2</v>
      </c>
      <c r="F72" s="526">
        <v>9.323925391190846E-2</v>
      </c>
      <c r="G72" s="526">
        <v>0.10140821699286695</v>
      </c>
      <c r="H72" s="526">
        <v>0.10971865141609594</v>
      </c>
      <c r="I72" s="526">
        <v>0.11817544355440646</v>
      </c>
      <c r="J72" s="526">
        <v>0.12722950664668531</v>
      </c>
      <c r="K72" s="526">
        <v>0.13645714097669503</v>
      </c>
      <c r="L72" s="526">
        <v>0.1458647999894247</v>
      </c>
      <c r="M72" s="526">
        <v>0.15545922365058518</v>
      </c>
    </row>
    <row r="73" spans="2:17" outlineLevel="1" x14ac:dyDescent="0.25">
      <c r="C73" s="711"/>
      <c r="D73" s="705">
        <v>5.2762102280028209</v>
      </c>
      <c r="E73" s="524">
        <v>8.9092481593316952E-2</v>
      </c>
      <c r="F73" s="525">
        <v>9.7093762916803161E-2</v>
      </c>
      <c r="G73" s="525">
        <v>0.10523048606214824</v>
      </c>
      <c r="H73" s="525">
        <v>0.11350730725463487</v>
      </c>
      <c r="I73" s="526">
        <v>0.12192908332241958</v>
      </c>
      <c r="J73" s="525">
        <v>0.13094478967704082</v>
      </c>
      <c r="K73" s="525">
        <v>0.14013245268722407</v>
      </c>
      <c r="L73" s="525">
        <v>0.14949849496661738</v>
      </c>
      <c r="M73" s="525">
        <v>0.15904962744130913</v>
      </c>
    </row>
    <row r="74" spans="2:17" outlineLevel="1" x14ac:dyDescent="0.25">
      <c r="C74" s="711"/>
      <c r="D74" s="705">
        <v>5.7762102280028209</v>
      </c>
      <c r="E74" s="524">
        <v>9.2830646653722537E-2</v>
      </c>
      <c r="F74" s="525">
        <v>0.1008037734117202</v>
      </c>
      <c r="G74" s="525">
        <v>0.10891106129013117</v>
      </c>
      <c r="H74" s="525">
        <v>0.11715713582954601</v>
      </c>
      <c r="I74" s="526">
        <v>0.12554682354825197</v>
      </c>
      <c r="J74" s="525">
        <v>0.13452731594353851</v>
      </c>
      <c r="K74" s="525">
        <v>0.14367821549354498</v>
      </c>
      <c r="L74" s="525">
        <v>0.15300591226128946</v>
      </c>
      <c r="M74" s="525">
        <v>0.16251708608323634</v>
      </c>
    </row>
    <row r="75" spans="2:17" outlineLevel="1" x14ac:dyDescent="0.25">
      <c r="C75" s="712"/>
      <c r="D75" s="707">
        <v>6.2762102280028209</v>
      </c>
      <c r="E75" s="524">
        <v>9.6433347719447005E-2</v>
      </c>
      <c r="F75" s="525">
        <v>0.10438073101095924</v>
      </c>
      <c r="G75" s="525">
        <v>0.11246105359265823</v>
      </c>
      <c r="H75" s="525">
        <v>0.12067891003161435</v>
      </c>
      <c r="I75" s="526">
        <v>0.12903909607908393</v>
      </c>
      <c r="J75" s="525">
        <v>0.13798715586824062</v>
      </c>
      <c r="K75" s="525">
        <v>0.14710413585630389</v>
      </c>
      <c r="L75" s="525">
        <v>0.15639639230158431</v>
      </c>
      <c r="M75" s="525">
        <v>0.16587057240476599</v>
      </c>
    </row>
    <row r="76" spans="2:17" outlineLevel="1" x14ac:dyDescent="0.25"/>
  </sheetData>
  <mergeCells count="2">
    <mergeCell ref="C57:C63"/>
    <mergeCell ref="C69:C75"/>
  </mergeCells>
  <pageMargins left="0.7" right="0.7" top="0.75" bottom="0.75" header="0.3" footer="0.3"/>
  <pageSetup scale="35" orientation="portrait" horizontalDpi="300" verticalDpi="300" r:id="rId1"/>
  <rowBreaks count="1" manualBreakCount="1">
    <brk id="52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548-F097-4A15-83BD-22A90AF9D779}">
  <sheetPr>
    <pageSetUpPr autoPageBreaks="0"/>
  </sheetPr>
  <dimension ref="B2:M49"/>
  <sheetViews>
    <sheetView showGridLines="0" topLeftCell="A25" zoomScale="70" zoomScaleNormal="70" workbookViewId="0">
      <selection activeCell="R70" sqref="R70"/>
    </sheetView>
  </sheetViews>
  <sheetFormatPr defaultRowHeight="15.75" x14ac:dyDescent="0.25"/>
  <cols>
    <col min="1" max="2" width="2.7109375" style="180" customWidth="1"/>
    <col min="3" max="3" width="52.85546875" style="180" customWidth="1"/>
    <col min="4" max="4" width="12.7109375" style="180" customWidth="1"/>
    <col min="5" max="5" width="13.42578125" style="180" bestFit="1" customWidth="1"/>
    <col min="6" max="6" width="14.5703125" style="180" bestFit="1" customWidth="1"/>
    <col min="7" max="11" width="12.7109375" style="180" customWidth="1"/>
    <col min="12" max="12" width="2.7109375" style="180" customWidth="1"/>
    <col min="13" max="23" width="12.7109375" style="180" customWidth="1"/>
    <col min="24" max="16384" width="9.140625" style="180"/>
  </cols>
  <sheetData>
    <row r="2" spans="2:11" ht="18.75" x14ac:dyDescent="0.3">
      <c r="B2" s="179" t="str">
        <f>"Relative Contribution Analysis - "&amp;Company_Name&amp;" and "&amp;Seller_Name</f>
        <v>Relative Contribution Analysis - TCS Group Holding PLC and Rosbank Group</v>
      </c>
    </row>
    <row r="3" spans="2:11" x14ac:dyDescent="0.25">
      <c r="B3" s="180" t="str">
        <f>'Merger-Model'!B3</f>
        <v>(RUB in Millions Except Per Share and Per Unit Data)</v>
      </c>
    </row>
    <row r="5" spans="2:11" x14ac:dyDescent="0.25">
      <c r="B5" s="643"/>
      <c r="C5" s="643"/>
      <c r="D5" s="643"/>
      <c r="E5" s="643"/>
      <c r="F5" s="644"/>
      <c r="G5" s="645"/>
      <c r="H5" s="644"/>
      <c r="I5" s="643"/>
      <c r="J5" s="643"/>
      <c r="K5" s="643"/>
    </row>
    <row r="6" spans="2:11" x14ac:dyDescent="0.25">
      <c r="B6" s="646" t="s">
        <v>631</v>
      </c>
      <c r="C6" s="647"/>
      <c r="D6" s="647" t="s">
        <v>648</v>
      </c>
      <c r="E6" s="647"/>
      <c r="F6" s="648"/>
      <c r="G6" s="649" t="s">
        <v>632</v>
      </c>
      <c r="H6" s="648"/>
      <c r="I6" s="647" t="s">
        <v>633</v>
      </c>
      <c r="J6" s="647"/>
      <c r="K6" s="647"/>
    </row>
    <row r="7" spans="2:11" x14ac:dyDescent="0.25">
      <c r="B7" s="650"/>
      <c r="C7" s="650"/>
      <c r="D7" s="365"/>
      <c r="E7" s="365"/>
      <c r="F7" s="365"/>
      <c r="G7" s="651"/>
      <c r="H7" s="652"/>
      <c r="I7" s="366" t="s">
        <v>634</v>
      </c>
      <c r="J7" s="366" t="s">
        <v>635</v>
      </c>
      <c r="K7" s="366" t="s">
        <v>636</v>
      </c>
    </row>
    <row r="8" spans="2:11" x14ac:dyDescent="0.25">
      <c r="B8" s="367" t="s">
        <v>637</v>
      </c>
      <c r="C8" s="367"/>
      <c r="D8" s="370" t="s">
        <v>527</v>
      </c>
      <c r="E8" s="370" t="s">
        <v>545</v>
      </c>
      <c r="F8" s="370" t="s">
        <v>638</v>
      </c>
      <c r="G8" s="653" t="str">
        <f>+$D$8</f>
        <v>Buyer:</v>
      </c>
      <c r="H8" s="654" t="str">
        <f>+$E$8</f>
        <v>Seller:</v>
      </c>
      <c r="I8" s="369" t="s">
        <v>639</v>
      </c>
      <c r="J8" s="369" t="s">
        <v>526</v>
      </c>
      <c r="K8" s="369" t="s">
        <v>640</v>
      </c>
    </row>
    <row r="9" spans="2:11" x14ac:dyDescent="0.25">
      <c r="C9" s="180" t="s">
        <v>641</v>
      </c>
      <c r="D9" s="376">
        <f>Buyer!J9*Buyer!J8</f>
        <v>467570.58480000001</v>
      </c>
      <c r="E9" s="376">
        <f>Seller_Share_Price*Seller!D17</f>
        <v>108048.8026527</v>
      </c>
      <c r="F9" s="193">
        <f>+D9+E9</f>
        <v>575619.38745270006</v>
      </c>
      <c r="G9" s="655">
        <f>+D9/F9</f>
        <v>0.81229123791182478</v>
      </c>
      <c r="H9" s="656">
        <f>1-G9</f>
        <v>0.18770876208817522</v>
      </c>
      <c r="I9" s="657">
        <f>+Seller_Share_Price/Buyer_Share_Price</f>
        <v>2.943538162454569E-2</v>
      </c>
      <c r="J9" s="193">
        <f>IFERROR(+I9*Buyer_Share_Price,"N/A")</f>
        <v>69.650000000000006</v>
      </c>
      <c r="K9" s="372">
        <f>(J9-Offer_Price)/Offer_Price</f>
        <v>-9.0909090909090939E-2</v>
      </c>
    </row>
    <row r="10" spans="2:11" x14ac:dyDescent="0.25">
      <c r="C10" s="180" t="str">
        <f>"Pro-Forma Ownership @ "&amp;TEXT(Purchase_Premium,"0.0%")&amp;" Premium:"</f>
        <v>Pro-Forma Ownership @ 10.0% Premium:</v>
      </c>
      <c r="D10" s="376">
        <f>D9</f>
        <v>467570.58480000001</v>
      </c>
      <c r="E10" s="376">
        <f>Offer_Price*Seller!D17</f>
        <v>118853.68291797001</v>
      </c>
      <c r="F10" s="193">
        <f>+D10+E10</f>
        <v>586424.26771797007</v>
      </c>
      <c r="G10" s="658">
        <f>+D10/F10</f>
        <v>0.79732475366259814</v>
      </c>
      <c r="H10" s="659">
        <f>1-G10</f>
        <v>0.20267524633740186</v>
      </c>
      <c r="I10" s="657">
        <f>+Offer_Price/Buyer_Share_Price</f>
        <v>3.2378919787000263E-2</v>
      </c>
      <c r="J10" s="193">
        <f>IFERROR(+I10*Buyer_Share_Price,"N/A")</f>
        <v>76.615000000000009</v>
      </c>
      <c r="K10" s="372">
        <f>(J10-Offer_Price)/Offer_Price</f>
        <v>0</v>
      </c>
    </row>
    <row r="11" spans="2:11" x14ac:dyDescent="0.25">
      <c r="G11" s="378"/>
      <c r="H11" s="379"/>
    </row>
    <row r="12" spans="2:11" x14ac:dyDescent="0.25">
      <c r="B12" s="367" t="s">
        <v>5</v>
      </c>
      <c r="C12" s="367"/>
      <c r="D12" s="367"/>
      <c r="E12" s="367"/>
      <c r="F12" s="367"/>
      <c r="G12" s="660"/>
      <c r="H12" s="661"/>
      <c r="I12" s="367"/>
      <c r="J12" s="367"/>
      <c r="K12" s="367"/>
    </row>
    <row r="13" spans="2:11" x14ac:dyDescent="0.25">
      <c r="C13" s="662" t="str">
        <f>"Combined Year 1 - "&amp;TEXT('Merger-Model'!L68,"yyyy-mm-dd")&amp;":"</f>
        <v>Combined Year 1 - 2021-12-31:</v>
      </c>
      <c r="D13" s="376" cm="1">
        <f t="array" aca="1" ref="D13:D15" ca="1">TRANSPOSE(Buyer!H235:J235)</f>
        <v>68642.734191955446</v>
      </c>
      <c r="E13" s="376" cm="1">
        <f t="array" aca="1" ref="E13:E15" ca="1">TRANSPOSE(Seller!H194:J194)</f>
        <v>9056.1335373198417</v>
      </c>
      <c r="F13" s="193">
        <f t="shared" ref="F13:F15" ca="1" si="0">+D13+E13</f>
        <v>77698.867729275284</v>
      </c>
      <c r="G13" s="658">
        <f t="shared" ref="G13:G15" ca="1" si="1">+D13/F13</f>
        <v>0.88344574635406581</v>
      </c>
      <c r="H13" s="659">
        <f t="shared" ref="H13:H15" ca="1" si="2">1-G13</f>
        <v>0.11655425364593419</v>
      </c>
      <c r="I13" s="657">
        <f ca="1">(E13/Seller_shares)/('Contrib.'!D13/Buyer_shares)</f>
        <v>1.6805256185700324E-2</v>
      </c>
      <c r="J13" s="193">
        <f ca="1">IFERROR(+I13*Buyer_Share_Price,"N/A")</f>
        <v>39.764597186604107</v>
      </c>
      <c r="K13" s="372">
        <f ca="1">(J13-Offer_Price)/Offer_Price</f>
        <v>-0.48098156775299744</v>
      </c>
    </row>
    <row r="14" spans="2:11" x14ac:dyDescent="0.25">
      <c r="C14" s="662" t="str">
        <f>"Combined Year 2 - "&amp;TEXT('Merger-Model'!M68,"yyyy-mm-dd")&amp;":"</f>
        <v>Combined Year 2 - 2022-12-31:</v>
      </c>
      <c r="D14" s="376">
        <f ca="1"/>
        <v>73698.426630068774</v>
      </c>
      <c r="E14" s="376">
        <f ca="1"/>
        <v>8705.8320316302961</v>
      </c>
      <c r="F14" s="193">
        <f t="shared" ca="1" si="0"/>
        <v>82404.258661699074</v>
      </c>
      <c r="G14" s="658">
        <f t="shared" ca="1" si="1"/>
        <v>0.89435215882020047</v>
      </c>
      <c r="H14" s="659">
        <f t="shared" ca="1" si="2"/>
        <v>0.10564784117979953</v>
      </c>
      <c r="I14" s="657">
        <f ca="1">(E14/Seller_shares)/('Contrib.'!D14/Buyer_shares)</f>
        <v>1.5046966744307493E-2</v>
      </c>
      <c r="J14" s="193">
        <f ca="1">IFERROR(+I14*Buyer_Share_Price,"N/A")</f>
        <v>35.604132710380384</v>
      </c>
      <c r="K14" s="372">
        <f ca="1">(J14-Offer_Price)/Offer_Price</f>
        <v>-0.53528509155673976</v>
      </c>
    </row>
    <row r="15" spans="2:11" x14ac:dyDescent="0.25">
      <c r="C15" s="662" t="str">
        <f>"Combined Year 3 - "&amp;TEXT('Merger-Model'!N68,"yyyy-mm-dd")&amp;":"</f>
        <v>Combined Year 3 - 2023-12-31:</v>
      </c>
      <c r="D15" s="376">
        <f ca="1"/>
        <v>74989.113338987794</v>
      </c>
      <c r="E15" s="376">
        <f ca="1"/>
        <v>9370.9468777471811</v>
      </c>
      <c r="F15" s="193">
        <f t="shared" ca="1" si="0"/>
        <v>84360.060216734972</v>
      </c>
      <c r="G15" s="658">
        <f t="shared" ca="1" si="1"/>
        <v>0.88891725712770164</v>
      </c>
      <c r="H15" s="659">
        <f t="shared" ca="1" si="2"/>
        <v>0.11108274287229836</v>
      </c>
      <c r="I15" s="657">
        <f ca="1">(E15/Seller_shares)/('Contrib.'!D15/Buyer_shares)</f>
        <v>1.5917767283828842E-2</v>
      </c>
      <c r="J15" s="193">
        <f ca="1">IFERROR(+I15*Buyer_Share_Price,"N/A")</f>
        <v>37.664620946995804</v>
      </c>
      <c r="K15" s="372">
        <f ca="1">(J15-Offer_Price)/Offer_Price</f>
        <v>-0.50839103377934092</v>
      </c>
    </row>
    <row r="16" spans="2:11" x14ac:dyDescent="0.25">
      <c r="G16" s="378"/>
      <c r="H16" s="379"/>
    </row>
    <row r="17" spans="2:11" x14ac:dyDescent="0.25">
      <c r="B17" s="367" t="s">
        <v>642</v>
      </c>
      <c r="C17" s="367"/>
      <c r="D17" s="367"/>
      <c r="E17" s="367"/>
      <c r="F17" s="367"/>
      <c r="G17" s="660"/>
      <c r="H17" s="661"/>
      <c r="I17" s="367"/>
      <c r="J17" s="367"/>
      <c r="K17" s="367"/>
    </row>
    <row r="18" spans="2:11" x14ac:dyDescent="0.25">
      <c r="C18" s="662" t="str">
        <f>C13</f>
        <v>Combined Year 1 - 2021-12-31:</v>
      </c>
      <c r="D18" s="376">
        <f ca="1">D13</f>
        <v>68642.734191955446</v>
      </c>
      <c r="E18" s="376">
        <f ca="1">E13+('Merger-Model'!L159+'Merger-Model'!L172+'Merger-Model'!L173)*(1-Seller_Tax_Rate)</f>
        <v>12629.737838110083</v>
      </c>
      <c r="F18" s="193">
        <f t="shared" ref="F18:F20" ca="1" si="3">+D18+E18</f>
        <v>81272.472030065532</v>
      </c>
      <c r="G18" s="658">
        <f t="shared" ref="G18:G20" ca="1" si="4">+D18/F18</f>
        <v>0.84460005309746322</v>
      </c>
      <c r="H18" s="659">
        <f t="shared" ref="H18:H20" ca="1" si="5">1-G18</f>
        <v>0.15539994690253678</v>
      </c>
      <c r="I18" s="657">
        <f ca="1">(E18/Seller_shares)/('Contrib.'!D18/Buyer_shares)</f>
        <v>2.3436710496043216E-2</v>
      </c>
      <c r="J18" s="193">
        <f ca="1">IFERROR(+I18*Buyer_Share_Price,"N/A")</f>
        <v>55.455944375737452</v>
      </c>
      <c r="K18" s="372">
        <f ca="1">(J18-Offer_Price)/Offer_Price</f>
        <v>-0.27617379918113366</v>
      </c>
    </row>
    <row r="19" spans="2:11" x14ac:dyDescent="0.25">
      <c r="C19" s="662" t="str">
        <f t="shared" ref="C19:C20" si="6">C14</f>
        <v>Combined Year 2 - 2022-12-31:</v>
      </c>
      <c r="D19" s="376">
        <f t="shared" ref="D19:D20" ca="1" si="7">D14</f>
        <v>73698.426630068774</v>
      </c>
      <c r="E19" s="376">
        <f ca="1">E14+('Merger-Model'!M159+'Merger-Model'!M172+'Merger-Model'!M173)*(1-Seller_Tax_Rate)</f>
        <v>15254.457205209435</v>
      </c>
      <c r="F19" s="193">
        <f t="shared" ca="1" si="3"/>
        <v>88952.883835278204</v>
      </c>
      <c r="G19" s="658">
        <f t="shared" ca="1" si="4"/>
        <v>0.82851081890208933</v>
      </c>
      <c r="H19" s="659">
        <f t="shared" ca="1" si="5"/>
        <v>0.17148918109791067</v>
      </c>
      <c r="I19" s="657">
        <f ca="1">(E19/Seller_shares)/('Contrib.'!D19/Buyer_shares)</f>
        <v>2.6365465062420306E-2</v>
      </c>
      <c r="J19" s="193">
        <f ca="1">IFERROR(+I19*Buyer_Share_Price,"N/A")</f>
        <v>62.385963430698922</v>
      </c>
      <c r="K19" s="372">
        <f ca="1">(J19-Offer_Price)/Offer_Price</f>
        <v>-0.18572128916401598</v>
      </c>
    </row>
    <row r="20" spans="2:11" x14ac:dyDescent="0.25">
      <c r="C20" s="662" t="str">
        <f t="shared" si="6"/>
        <v>Combined Year 3 - 2023-12-31:</v>
      </c>
      <c r="D20" s="376">
        <f t="shared" ca="1" si="7"/>
        <v>74989.113338987794</v>
      </c>
      <c r="E20" s="376">
        <f ca="1">E15+('Merger-Model'!N159+'Merger-Model'!N172+'Merger-Model'!N173)*(1-Seller_Tax_Rate)</f>
        <v>16270.798387773368</v>
      </c>
      <c r="F20" s="193">
        <f t="shared" ca="1" si="3"/>
        <v>91259.911726761158</v>
      </c>
      <c r="G20" s="658">
        <f t="shared" ca="1" si="4"/>
        <v>0.82170924692005709</v>
      </c>
      <c r="H20" s="659">
        <f t="shared" ca="1" si="5"/>
        <v>0.17829075307994291</v>
      </c>
      <c r="I20" s="657">
        <f ca="1">(E20/Seller_shares)/('Contrib.'!D20/Buyer_shares)</f>
        <v>2.7638058953647331E-2</v>
      </c>
      <c r="J20" s="193">
        <f ca="1">IFERROR(+I20*Buyer_Share_Price,"N/A")</f>
        <v>65.397175096120307</v>
      </c>
      <c r="K20" s="372">
        <f ca="1">(J20-Offer_Price)/Offer_Price</f>
        <v>-0.14641812835449586</v>
      </c>
    </row>
    <row r="21" spans="2:11" x14ac:dyDescent="0.25">
      <c r="G21" s="378"/>
      <c r="H21" s="379"/>
    </row>
    <row r="22" spans="2:11" x14ac:dyDescent="0.25">
      <c r="B22" s="367" t="s">
        <v>643</v>
      </c>
      <c r="C22" s="367"/>
      <c r="D22" s="367"/>
      <c r="E22" s="367"/>
      <c r="F22" s="367"/>
      <c r="G22" s="660"/>
      <c r="H22" s="661"/>
      <c r="I22" s="367"/>
      <c r="J22" s="367"/>
      <c r="K22" s="367"/>
    </row>
    <row r="23" spans="2:11" x14ac:dyDescent="0.25">
      <c r="C23" s="180" t="s">
        <v>80</v>
      </c>
      <c r="D23" s="376">
        <f>+'Merger-Model'!G73</f>
        <v>447421</v>
      </c>
      <c r="E23" s="376">
        <f>+'Merger-Model'!H73</f>
        <v>834625</v>
      </c>
      <c r="F23" s="193">
        <f t="shared" ref="F23:F27" si="8">+D23+E23</f>
        <v>1282046</v>
      </c>
      <c r="G23" s="658">
        <f t="shared" ref="G23:G27" si="9">+D23/F23</f>
        <v>0.3489898178380495</v>
      </c>
      <c r="H23" s="659">
        <f t="shared" ref="H23:H27" si="10">1-G23</f>
        <v>0.6510101821619505</v>
      </c>
      <c r="I23" s="657">
        <f>(E23/Seller_shares)/(D23/Buyer_shares)</f>
        <v>0.23761394174317602</v>
      </c>
      <c r="J23" s="205">
        <f>IFERROR(+I23*Buyer_Share_Price,"N/A")</f>
        <v>562.24210895270301</v>
      </c>
      <c r="K23" s="372">
        <f>(J23-Offer_Price)/Offer_Price</f>
        <v>6.3385382621249482</v>
      </c>
    </row>
    <row r="24" spans="2:11" x14ac:dyDescent="0.25">
      <c r="C24" s="180" t="s">
        <v>7</v>
      </c>
      <c r="D24" s="376">
        <f>'Merger-Model'!G85</f>
        <v>859294</v>
      </c>
      <c r="E24" s="376">
        <f>'Merger-Model'!H85</f>
        <v>1306664</v>
      </c>
      <c r="F24" s="193">
        <f t="shared" si="8"/>
        <v>2165958</v>
      </c>
      <c r="G24" s="658">
        <f t="shared" si="9"/>
        <v>0.39672699101275277</v>
      </c>
      <c r="H24" s="659">
        <f t="shared" si="10"/>
        <v>0.60327300898724723</v>
      </c>
      <c r="I24" s="657">
        <f>(E24/Seller_shares)/(D24/Buyer_shares)</f>
        <v>0.1936952810983277</v>
      </c>
      <c r="J24" s="205">
        <f>IFERROR(+I24*Buyer_Share_Price,"N/A")</f>
        <v>458.32177413486301</v>
      </c>
      <c r="K24" s="372">
        <f>(J24-Offer_Price)/Offer_Price</f>
        <v>4.9821415406234149</v>
      </c>
    </row>
    <row r="25" spans="2:11" x14ac:dyDescent="0.25">
      <c r="C25" s="180" t="s">
        <v>644</v>
      </c>
      <c r="D25" s="376">
        <f>'Merger-Model'!G88</f>
        <v>626837</v>
      </c>
      <c r="E25" s="376">
        <f>'Merger-Model'!H88</f>
        <v>924638</v>
      </c>
      <c r="F25" s="193">
        <f t="shared" si="8"/>
        <v>1551475</v>
      </c>
      <c r="G25" s="658">
        <f t="shared" si="9"/>
        <v>0.40402649091993104</v>
      </c>
      <c r="H25" s="659">
        <f t="shared" si="10"/>
        <v>0.59597350908006896</v>
      </c>
      <c r="I25" s="657">
        <f>(E25/Seller_shares)/(D25/Buyer_shares)</f>
        <v>0.18789447416536983</v>
      </c>
      <c r="J25" s="205">
        <f>IFERROR(+I25*Buyer_Share_Price,"N/A")</f>
        <v>444.59590477009806</v>
      </c>
      <c r="K25" s="372">
        <f>(J25-Offer_Price)/Offer_Price</f>
        <v>4.8029877278613586</v>
      </c>
    </row>
    <row r="26" spans="2:11" x14ac:dyDescent="0.25">
      <c r="C26" s="180" t="s">
        <v>498</v>
      </c>
      <c r="D26" s="376">
        <f>SUM('Merger-Model'!G98:G101,'Merger-Model'!G103)</f>
        <v>126927</v>
      </c>
      <c r="E26" s="376">
        <f>SUM('Merger-Model'!H98:H101,'Merger-Model'!H103)</f>
        <v>164213</v>
      </c>
      <c r="F26" s="193">
        <f t="shared" si="8"/>
        <v>291140</v>
      </c>
      <c r="G26" s="658">
        <f t="shared" si="9"/>
        <v>0.4359655148725699</v>
      </c>
      <c r="H26" s="659">
        <f t="shared" si="10"/>
        <v>0.56403448512743015</v>
      </c>
      <c r="I26" s="657">
        <f>(E26/Seller_shares)/(D26/Buyer_shares)</f>
        <v>0.16479742203422906</v>
      </c>
      <c r="J26" s="205">
        <f>IFERROR(+I26*Buyer_Share_Price,"N/A")</f>
        <v>389.9436600173928</v>
      </c>
      <c r="K26" s="372">
        <f>(J26-Offer_Price)/Offer_Price</f>
        <v>4.0896516350243788</v>
      </c>
    </row>
    <row r="27" spans="2:11" x14ac:dyDescent="0.25">
      <c r="C27" s="180" t="s">
        <v>388</v>
      </c>
      <c r="D27" s="376">
        <f>SUM('Merger-Model'!G98:G101,'Merger-Model'!G103)-SUM('Merger-Model'!G79:G81)</f>
        <v>119845</v>
      </c>
      <c r="E27" s="376">
        <f>SUM('Merger-Model'!H98:H101,'Merger-Model'!H103)-SUM('Merger-Model'!H79:H81)</f>
        <v>155936</v>
      </c>
      <c r="F27" s="193">
        <f t="shared" si="8"/>
        <v>275781</v>
      </c>
      <c r="G27" s="658">
        <f t="shared" si="9"/>
        <v>0.43456583303418295</v>
      </c>
      <c r="H27" s="659">
        <f t="shared" si="10"/>
        <v>0.56543416696581705</v>
      </c>
      <c r="I27" s="657">
        <f>(E27/Seller_shares)/(D27/Buyer_shares)</f>
        <v>0.16573848461664153</v>
      </c>
      <c r="J27" s="205">
        <f>IFERROR(+I27*Buyer_Share_Price,"N/A")</f>
        <v>392.17040229989715</v>
      </c>
      <c r="K27" s="372">
        <f>(J27-Offer_Price)/Offer_Price</f>
        <v>4.1187156862219814</v>
      </c>
    </row>
    <row r="28" spans="2:11" x14ac:dyDescent="0.25">
      <c r="G28" s="378"/>
      <c r="H28" s="379"/>
    </row>
    <row r="29" spans="2:11" x14ac:dyDescent="0.25">
      <c r="B29" s="367" t="s">
        <v>645</v>
      </c>
      <c r="C29" s="367"/>
      <c r="D29" s="367"/>
      <c r="E29" s="367"/>
      <c r="F29" s="367"/>
      <c r="G29" s="660"/>
      <c r="H29" s="661"/>
      <c r="I29" s="367"/>
      <c r="J29" s="367"/>
      <c r="K29" s="367"/>
    </row>
    <row r="30" spans="2:11" x14ac:dyDescent="0.25">
      <c r="C30" s="180" t="s">
        <v>293</v>
      </c>
      <c r="D30" s="376">
        <f>'Capital &amp; Dividends'!G43</f>
        <v>140689</v>
      </c>
      <c r="E30" s="376">
        <f>Seller!G227</f>
        <v>182878</v>
      </c>
      <c r="F30" s="193">
        <f t="shared" ref="F30:F31" si="11">+D30+E30</f>
        <v>323567</v>
      </c>
      <c r="G30" s="658">
        <f t="shared" ref="G30:G31" si="12">+D30/F30</f>
        <v>0.43480639249367209</v>
      </c>
      <c r="H30" s="659">
        <f t="shared" ref="H30:H31" si="13">1-G30</f>
        <v>0.56519360750632797</v>
      </c>
      <c r="I30" s="657">
        <f>(E30/Seller_shares)/(D30/Buyer_shares)</f>
        <v>0.1655763156180638</v>
      </c>
      <c r="J30" s="205">
        <f>IFERROR(+I30*Buyer_Share_Price,"N/A")</f>
        <v>391.78667801546254</v>
      </c>
      <c r="K30" s="372">
        <f>(J30-Offer_Price)/Offer_Price</f>
        <v>4.1137072115834039</v>
      </c>
    </row>
    <row r="31" spans="2:11" x14ac:dyDescent="0.25">
      <c r="C31" s="180" t="s">
        <v>393</v>
      </c>
      <c r="D31" s="376">
        <f>D30</f>
        <v>140689</v>
      </c>
      <c r="E31" s="376">
        <f>E30+Seller!G230</f>
        <v>207720</v>
      </c>
      <c r="F31" s="193">
        <f t="shared" si="11"/>
        <v>348409</v>
      </c>
      <c r="G31" s="658">
        <f t="shared" si="12"/>
        <v>0.40380414972058704</v>
      </c>
      <c r="H31" s="659">
        <f t="shared" si="13"/>
        <v>0.59619585027941291</v>
      </c>
      <c r="I31" s="657">
        <f>(E31/Seller_shares)/(D31/Buyer_shares)</f>
        <v>0.18806806876816351</v>
      </c>
      <c r="J31" s="205">
        <f>IFERROR(+I31*Buyer_Share_Price,"N/A")</f>
        <v>445.00666431922843</v>
      </c>
      <c r="K31" s="372">
        <f>(J31-Offer_Price)/Offer_Price</f>
        <v>4.8083490741921082</v>
      </c>
    </row>
    <row r="33" spans="3:13" x14ac:dyDescent="0.25">
      <c r="C33" s="186" t="s">
        <v>646</v>
      </c>
      <c r="G33" s="186" t="s">
        <v>527</v>
      </c>
      <c r="H33" s="186" t="s">
        <v>545</v>
      </c>
      <c r="I33" s="186" t="s">
        <v>640</v>
      </c>
      <c r="J33" s="186" t="s">
        <v>647</v>
      </c>
    </row>
    <row r="34" spans="3:13" x14ac:dyDescent="0.25">
      <c r="C34" s="96" t="str">
        <f>+C31</f>
        <v>Total Capital:</v>
      </c>
      <c r="G34" s="663">
        <f>G31</f>
        <v>0.40380414972058704</v>
      </c>
      <c r="H34" s="663">
        <f t="shared" ref="H34" si="14">H31</f>
        <v>0.59619585027941291</v>
      </c>
      <c r="I34" s="376">
        <f t="shared" ref="I34:I46" si="15">Offer_Price</f>
        <v>76.615000000000009</v>
      </c>
      <c r="J34" s="193">
        <f>J31</f>
        <v>445.00666431922843</v>
      </c>
    </row>
    <row r="35" spans="3:13" x14ac:dyDescent="0.25">
      <c r="C35" s="96" t="str">
        <f>+C30</f>
        <v>Tier 1 Capital:</v>
      </c>
      <c r="G35" s="663">
        <f>G30</f>
        <v>0.43480639249367209</v>
      </c>
      <c r="H35" s="663">
        <f t="shared" ref="H35" si="16">H30</f>
        <v>0.56519360750632797</v>
      </c>
      <c r="I35" s="376">
        <f t="shared" si="15"/>
        <v>76.615000000000009</v>
      </c>
      <c r="J35" s="193">
        <f>J30</f>
        <v>391.78667801546254</v>
      </c>
    </row>
    <row r="36" spans="3:13" x14ac:dyDescent="0.25">
      <c r="C36" s="96" t="str">
        <f>+C27</f>
        <v>Tangible Common Equity:</v>
      </c>
      <c r="G36" s="663">
        <f>+G27</f>
        <v>0.43456583303418295</v>
      </c>
      <c r="H36" s="663">
        <f t="shared" ref="H36" si="17">+H27</f>
        <v>0.56543416696581705</v>
      </c>
      <c r="I36" s="376">
        <f t="shared" si="15"/>
        <v>76.615000000000009</v>
      </c>
      <c r="J36" s="193">
        <f t="shared" ref="J36" si="18">+J27</f>
        <v>392.17040229989715</v>
      </c>
    </row>
    <row r="37" spans="3:13" x14ac:dyDescent="0.25">
      <c r="C37" s="96" t="str">
        <f>+C26</f>
        <v>Common Equity:</v>
      </c>
      <c r="G37" s="663">
        <f>+G26</f>
        <v>0.4359655148725699</v>
      </c>
      <c r="H37" s="663">
        <f t="shared" ref="H37" si="19">+H26</f>
        <v>0.56403448512743015</v>
      </c>
      <c r="I37" s="376">
        <f t="shared" si="15"/>
        <v>76.615000000000009</v>
      </c>
      <c r="J37" s="193">
        <f t="shared" ref="J37" si="20">+J26</f>
        <v>389.9436600173928</v>
      </c>
    </row>
    <row r="38" spans="3:13" x14ac:dyDescent="0.25">
      <c r="C38" s="96" t="str">
        <f>+C25</f>
        <v>Total Deposits:</v>
      </c>
      <c r="G38" s="663">
        <f>+G25</f>
        <v>0.40402649091993104</v>
      </c>
      <c r="H38" s="663">
        <f t="shared" ref="H38" si="21">+H25</f>
        <v>0.59597350908006896</v>
      </c>
      <c r="I38" s="376">
        <f t="shared" si="15"/>
        <v>76.615000000000009</v>
      </c>
      <c r="J38" s="193">
        <f t="shared" ref="J38" si="22">+J25</f>
        <v>444.59590477009806</v>
      </c>
    </row>
    <row r="39" spans="3:13" x14ac:dyDescent="0.25">
      <c r="C39" s="96" t="str">
        <f>+C24</f>
        <v>Total Assets:</v>
      </c>
      <c r="G39" s="663">
        <f>+G24</f>
        <v>0.39672699101275277</v>
      </c>
      <c r="H39" s="663">
        <f t="shared" ref="H39" si="23">+H24</f>
        <v>0.60327300898724723</v>
      </c>
      <c r="I39" s="376">
        <f t="shared" si="15"/>
        <v>76.615000000000009</v>
      </c>
      <c r="J39" s="193">
        <f t="shared" ref="J39" si="24">+J24</f>
        <v>458.32177413486301</v>
      </c>
    </row>
    <row r="40" spans="3:13" x14ac:dyDescent="0.25">
      <c r="C40" s="96" t="str">
        <f>+C23</f>
        <v>Total Gross Loans:</v>
      </c>
      <c r="G40" s="663">
        <f>+G23</f>
        <v>0.3489898178380495</v>
      </c>
      <c r="H40" s="663">
        <f t="shared" ref="H40" si="25">+H23</f>
        <v>0.6510101821619505</v>
      </c>
      <c r="I40" s="376">
        <f t="shared" si="15"/>
        <v>76.615000000000009</v>
      </c>
      <c r="J40" s="193">
        <f t="shared" ref="J40" si="26">+J23</f>
        <v>562.24210895270301</v>
      </c>
    </row>
    <row r="41" spans="3:13" x14ac:dyDescent="0.25">
      <c r="C41" s="664" t="str">
        <f>"Post-Synergy Net Income to Common"&amp;" - "&amp;C20</f>
        <v>Post-Synergy Net Income to Common - Combined Year 3 - 2023-12-31:</v>
      </c>
      <c r="G41" s="663">
        <f ca="1">G20</f>
        <v>0.82170924692005709</v>
      </c>
      <c r="H41" s="663">
        <f t="shared" ref="H41" ca="1" si="27">H20</f>
        <v>0.17829075307994291</v>
      </c>
      <c r="I41" s="376">
        <f t="shared" si="15"/>
        <v>76.615000000000009</v>
      </c>
      <c r="J41" s="193">
        <f t="shared" ref="J41" ca="1" si="28">J20</f>
        <v>65.397175096120307</v>
      </c>
    </row>
    <row r="42" spans="3:13" x14ac:dyDescent="0.25">
      <c r="C42" s="96" t="str">
        <f>"Post-Synergy Net Income to Common"&amp;" - "&amp;C19</f>
        <v>Post-Synergy Net Income to Common - Combined Year 2 - 2022-12-31:</v>
      </c>
      <c r="G42" s="663">
        <f ca="1">G19</f>
        <v>0.82851081890208933</v>
      </c>
      <c r="H42" s="663">
        <f t="shared" ref="H42" ca="1" si="29">H19</f>
        <v>0.17148918109791067</v>
      </c>
      <c r="I42" s="376">
        <f t="shared" si="15"/>
        <v>76.615000000000009</v>
      </c>
      <c r="J42" s="193">
        <f t="shared" ref="J42" ca="1" si="30">J19</f>
        <v>62.385963430698922</v>
      </c>
    </row>
    <row r="43" spans="3:13" x14ac:dyDescent="0.25">
      <c r="C43" s="96" t="str">
        <f>"Post-Synergy Net Income to Common"&amp;" - "&amp;C18</f>
        <v>Post-Synergy Net Income to Common - Combined Year 1 - 2021-12-31:</v>
      </c>
      <c r="G43" s="663">
        <f ca="1">G18</f>
        <v>0.84460005309746322</v>
      </c>
      <c r="H43" s="663">
        <f t="shared" ref="H43" ca="1" si="31">H18</f>
        <v>0.15539994690253678</v>
      </c>
      <c r="I43" s="376">
        <f t="shared" si="15"/>
        <v>76.615000000000009</v>
      </c>
      <c r="J43" s="193">
        <f t="shared" ref="J43" ca="1" si="32">J18</f>
        <v>55.455944375737452</v>
      </c>
    </row>
    <row r="44" spans="3:13" x14ac:dyDescent="0.25">
      <c r="C44" s="96" t="str">
        <f>"Net Income to Common"&amp;" - "&amp;C15</f>
        <v>Net Income to Common - Combined Year 3 - 2023-12-31:</v>
      </c>
      <c r="G44" s="663">
        <f ca="1">G15</f>
        <v>0.88891725712770164</v>
      </c>
      <c r="H44" s="663">
        <f t="shared" ref="H44" ca="1" si="33">H15</f>
        <v>0.11108274287229836</v>
      </c>
      <c r="I44" s="376">
        <f t="shared" si="15"/>
        <v>76.615000000000009</v>
      </c>
      <c r="J44" s="193">
        <f t="shared" ref="J44" ca="1" si="34">J15</f>
        <v>37.664620946995804</v>
      </c>
    </row>
    <row r="45" spans="3:13" x14ac:dyDescent="0.25">
      <c r="C45" s="96" t="str">
        <f>"Net Income to Common"&amp;" - "&amp;C14</f>
        <v>Net Income to Common - Combined Year 2 - 2022-12-31:</v>
      </c>
      <c r="G45" s="663">
        <f ca="1">G14</f>
        <v>0.89435215882020047</v>
      </c>
      <c r="H45" s="663">
        <f t="shared" ref="H45" ca="1" si="35">H14</f>
        <v>0.10564784117979953</v>
      </c>
      <c r="I45" s="376">
        <f t="shared" si="15"/>
        <v>76.615000000000009</v>
      </c>
      <c r="J45" s="193">
        <f t="shared" ref="J45" ca="1" si="36">J14</f>
        <v>35.604132710380384</v>
      </c>
    </row>
    <row r="46" spans="3:13" x14ac:dyDescent="0.25">
      <c r="C46" s="96" t="str">
        <f>"Net Income to Common"&amp;" - "&amp;C13</f>
        <v>Net Income to Common - Combined Year 1 - 2021-12-31:</v>
      </c>
      <c r="G46" s="663">
        <f ca="1">G13</f>
        <v>0.88344574635406581</v>
      </c>
      <c r="H46" s="663">
        <f t="shared" ref="H46" ca="1" si="37">H13</f>
        <v>0.11655425364593419</v>
      </c>
      <c r="I46" s="376">
        <f t="shared" si="15"/>
        <v>76.615000000000009</v>
      </c>
      <c r="J46" s="193">
        <f t="shared" ref="J46" ca="1" si="38">J13</f>
        <v>39.764597186604107</v>
      </c>
    </row>
    <row r="48" spans="3:13" x14ac:dyDescent="0.25">
      <c r="M48" s="382"/>
    </row>
    <row r="49" spans="13:13" x14ac:dyDescent="0.25">
      <c r="M49" s="665"/>
    </row>
  </sheetData>
  <pageMargins left="0.7" right="0.7" top="0.75" bottom="0.75" header="0.3" footer="0.3"/>
  <pageSetup scale="10" orientation="landscape" horizontalDpi="300" verticalDpi="300" r:id="rId1"/>
  <rowBreaks count="1" manualBreakCount="1">
    <brk id="47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BBE4-C684-4CE3-96F9-35B3CF6CC181}">
  <sheetPr>
    <pageSetUpPr autoPageBreaks="0"/>
  </sheetPr>
  <dimension ref="A2:T293"/>
  <sheetViews>
    <sheetView showGridLines="0" topLeftCell="A208" zoomScale="85" zoomScaleNormal="85" workbookViewId="0">
      <selection activeCell="L199" sqref="L199"/>
    </sheetView>
  </sheetViews>
  <sheetFormatPr defaultRowHeight="15" outlineLevelRow="1" outlineLevelCol="1" x14ac:dyDescent="0.25"/>
  <cols>
    <col min="1" max="2" width="2.7109375" style="223" customWidth="1"/>
    <col min="3" max="3" width="52.85546875" style="223" customWidth="1"/>
    <col min="4" max="4" width="19.5703125" style="223" customWidth="1"/>
    <col min="5" max="7" width="12.7109375" style="223" customWidth="1"/>
    <col min="8" max="8" width="14.140625" style="223" customWidth="1" outlineLevel="1"/>
    <col min="9" max="11" width="12.7109375" style="223" customWidth="1" outlineLevel="1"/>
    <col min="12" max="12" width="12.7109375" style="223" customWidth="1"/>
    <col min="13" max="13" width="13.85546875" style="223" customWidth="1"/>
    <col min="14" max="18" width="12.7109375" style="223" customWidth="1"/>
    <col min="19" max="19" width="2.7109375" style="223" customWidth="1"/>
    <col min="20" max="29" width="12.7109375" style="223" customWidth="1"/>
    <col min="30" max="16384" width="9.140625" style="223"/>
  </cols>
  <sheetData>
    <row r="2" spans="2:18" x14ac:dyDescent="0.25">
      <c r="B2" s="1" t="str">
        <f>"Financial Projections for the Buyer - "&amp;Company_Name&amp;" and "&amp;Seller_Name</f>
        <v>Financial Projections for the Buyer - TCS Group Holding PLC and Rosbank Group</v>
      </c>
    </row>
    <row r="3" spans="2:18" x14ac:dyDescent="0.25">
      <c r="B3" s="223" t="str">
        <f>Marks!B3</f>
        <v>(RUB in Millions Except Per Share and Per Unit Data)</v>
      </c>
    </row>
    <row r="5" spans="2:18" x14ac:dyDescent="0.25">
      <c r="B5" s="289" t="s">
        <v>488</v>
      </c>
      <c r="C5" s="290"/>
      <c r="D5" s="291"/>
      <c r="E5" s="291"/>
      <c r="F5" s="291"/>
      <c r="G5" s="291"/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</row>
    <row r="6" spans="2:18" x14ac:dyDescent="0.25">
      <c r="K6" s="242"/>
    </row>
    <row r="7" spans="2:18" x14ac:dyDescent="0.25">
      <c r="C7" s="223" t="s">
        <v>489</v>
      </c>
      <c r="D7" s="391">
        <f>Seller_Share_Price</f>
        <v>69.650000000000006</v>
      </c>
      <c r="L7" s="292"/>
      <c r="M7" s="292"/>
      <c r="N7" s="292"/>
      <c r="O7" s="292"/>
      <c r="P7" s="293" t="s">
        <v>490</v>
      </c>
      <c r="Q7" s="293" t="s">
        <v>491</v>
      </c>
    </row>
    <row r="8" spans="2:18" x14ac:dyDescent="0.25">
      <c r="C8" s="232" t="s">
        <v>492</v>
      </c>
      <c r="D8" s="392">
        <v>0.1</v>
      </c>
      <c r="L8" s="10" t="s">
        <v>493</v>
      </c>
      <c r="M8" s="393"/>
      <c r="N8" s="295" t="s">
        <v>494</v>
      </c>
      <c r="O8" s="394" t="s">
        <v>444</v>
      </c>
      <c r="P8" s="395" t="s">
        <v>495</v>
      </c>
      <c r="Q8" s="395" t="s">
        <v>495</v>
      </c>
    </row>
    <row r="9" spans="2:18" x14ac:dyDescent="0.25">
      <c r="C9" s="223" t="s">
        <v>496</v>
      </c>
      <c r="D9" s="248">
        <f>+D7*(1+Purchase_Premium)</f>
        <v>76.615000000000009</v>
      </c>
      <c r="L9" s="232" t="s">
        <v>585</v>
      </c>
      <c r="N9" s="396">
        <v>0.1</v>
      </c>
      <c r="O9" s="248">
        <f>+N9*Equity_Purchase_Price</f>
        <v>10535.957804257901</v>
      </c>
      <c r="P9" s="45"/>
      <c r="Q9" s="155">
        <f ca="1">Q11</f>
        <v>0.14680721247962356</v>
      </c>
    </row>
    <row r="10" spans="2:18" x14ac:dyDescent="0.25">
      <c r="D10" s="248"/>
      <c r="L10" s="232" t="s">
        <v>586</v>
      </c>
      <c r="N10" s="396">
        <f ca="1">D19/Equity_Purchase_Price-N9</f>
        <v>0.268277059659777</v>
      </c>
      <c r="O10" s="248">
        <f ca="1">+N10*Equity_Purchase_Price</f>
        <v>28265.557804257896</v>
      </c>
      <c r="P10" s="45">
        <v>0.08</v>
      </c>
      <c r="Q10" s="155">
        <f>+P10*(1-Buyer!$D$15)</f>
        <v>6.4000000000000001E-2</v>
      </c>
    </row>
    <row r="11" spans="2:18" x14ac:dyDescent="0.25">
      <c r="C11" s="223" t="s">
        <v>497</v>
      </c>
      <c r="D11" s="248">
        <f>+D9*Seller!D17*D14+D18</f>
        <v>105359.578042579</v>
      </c>
      <c r="L11" s="232" t="s">
        <v>498</v>
      </c>
      <c r="N11" s="396">
        <f ca="1">1-N10-N9</f>
        <v>0.63172294034022303</v>
      </c>
      <c r="O11" s="248">
        <f ca="1">+N11*Equity_Purchase_Price</f>
        <v>66558.062434063206</v>
      </c>
      <c r="Q11" s="155">
        <f ca="1">1/F43</f>
        <v>0.14680721247962356</v>
      </c>
    </row>
    <row r="12" spans="2:18" x14ac:dyDescent="0.25">
      <c r="C12" s="223" t="s">
        <v>499</v>
      </c>
      <c r="D12" s="33">
        <v>44196</v>
      </c>
      <c r="L12" s="232" t="s">
        <v>500</v>
      </c>
      <c r="O12" s="397">
        <f ca="1">D21/Buyer!J9</f>
        <v>28.128671470739249</v>
      </c>
    </row>
    <row r="13" spans="2:18" x14ac:dyDescent="0.25">
      <c r="C13" s="223" t="s">
        <v>579</v>
      </c>
      <c r="D13" s="34">
        <v>0.12</v>
      </c>
      <c r="L13" s="232" t="s">
        <v>501</v>
      </c>
      <c r="Q13" s="155">
        <f ca="1">SUMPRODUCT(N9:N11,Q9:Q11)</f>
        <v>0.12459193699696776</v>
      </c>
    </row>
    <row r="14" spans="2:18" x14ac:dyDescent="0.25">
      <c r="C14" s="223" t="s">
        <v>582</v>
      </c>
      <c r="D14" s="34">
        <v>0.7</v>
      </c>
      <c r="L14" s="232" t="s">
        <v>502</v>
      </c>
      <c r="Q14" s="155">
        <f>Seller!G194*D14/Equity_Purchase_Price</f>
        <v>0.1031733441036275</v>
      </c>
    </row>
    <row r="15" spans="2:18" x14ac:dyDescent="0.25">
      <c r="L15" s="232"/>
      <c r="Q15" s="155"/>
    </row>
    <row r="16" spans="2:18" x14ac:dyDescent="0.25">
      <c r="C16" s="223" t="s">
        <v>503</v>
      </c>
      <c r="D16" s="392">
        <v>0.2</v>
      </c>
      <c r="L16" s="232"/>
      <c r="Q16" s="155"/>
    </row>
    <row r="17" spans="3:17" x14ac:dyDescent="0.25">
      <c r="C17" s="223" t="s">
        <v>504</v>
      </c>
      <c r="D17" s="248">
        <f>+Offer_Price*Pct_Cash</f>
        <v>15.323000000000002</v>
      </c>
      <c r="G17" s="232"/>
      <c r="L17" s="10" t="s">
        <v>505</v>
      </c>
      <c r="M17" s="393"/>
      <c r="N17" s="295" t="s">
        <v>494</v>
      </c>
      <c r="O17" s="394" t="s">
        <v>444</v>
      </c>
      <c r="P17" s="395" t="s">
        <v>506</v>
      </c>
      <c r="Q17" s="395"/>
    </row>
    <row r="18" spans="3:17" x14ac:dyDescent="0.25">
      <c r="C18" s="223" t="s">
        <v>583</v>
      </c>
      <c r="D18" s="248">
        <f>DDM!E52</f>
        <v>22162</v>
      </c>
      <c r="G18" s="232"/>
      <c r="L18" s="232" t="s">
        <v>507</v>
      </c>
      <c r="N18" s="398">
        <v>7.4999999999999997E-3</v>
      </c>
      <c r="O18" s="399">
        <f>+N18*Equity_Purchase_Price</f>
        <v>790.19683531934243</v>
      </c>
      <c r="P18" s="223" t="s">
        <v>680</v>
      </c>
    </row>
    <row r="19" spans="3:17" x14ac:dyDescent="0.25">
      <c r="C19" s="223" t="s">
        <v>584</v>
      </c>
      <c r="D19" s="248">
        <f ca="1">+Offer_Price_Cash*DDM!D14*D14+D18</f>
        <v>38801.515608515801</v>
      </c>
      <c r="G19" s="232"/>
      <c r="L19" s="232" t="s">
        <v>509</v>
      </c>
      <c r="N19" s="398">
        <v>0.02</v>
      </c>
      <c r="O19" s="399">
        <f ca="1">+N19*O10</f>
        <v>565.3111560851579</v>
      </c>
      <c r="P19" s="223" t="s">
        <v>679</v>
      </c>
    </row>
    <row r="20" spans="3:17" x14ac:dyDescent="0.25">
      <c r="C20" s="223" t="s">
        <v>508</v>
      </c>
      <c r="D20" s="248">
        <f>+Offer_Price-Offer_Price_Cash</f>
        <v>61.292000000000009</v>
      </c>
      <c r="G20" s="232"/>
      <c r="L20" s="232" t="s">
        <v>511</v>
      </c>
      <c r="O20" s="400">
        <v>30</v>
      </c>
      <c r="P20" s="223" t="s">
        <v>680</v>
      </c>
    </row>
    <row r="21" spans="3:17" x14ac:dyDescent="0.25">
      <c r="C21" s="223" t="s">
        <v>510</v>
      </c>
      <c r="D21" s="248">
        <f ca="1">D20*D14*DDM!D14</f>
        <v>66558.062434063206</v>
      </c>
      <c r="E21" s="401"/>
      <c r="G21" s="232"/>
      <c r="L21" s="83" t="s">
        <v>512</v>
      </c>
      <c r="M21" s="302"/>
      <c r="N21" s="302"/>
      <c r="O21" s="402">
        <f ca="1">SUM(O18:O20)</f>
        <v>1385.5079914045004</v>
      </c>
      <c r="P21" s="302"/>
      <c r="Q21" s="302"/>
    </row>
    <row r="22" spans="3:17" x14ac:dyDescent="0.25">
      <c r="D22" s="403"/>
      <c r="G22" s="232"/>
      <c r="L22" s="155"/>
    </row>
    <row r="23" spans="3:17" x14ac:dyDescent="0.25">
      <c r="C23" s="223" t="s">
        <v>513</v>
      </c>
      <c r="D23" s="404">
        <f>D20/Buyer!J9</f>
        <v>2.5903135829600209E-2</v>
      </c>
      <c r="G23" s="232"/>
      <c r="L23" s="155"/>
    </row>
    <row r="24" spans="3:17" x14ac:dyDescent="0.25">
      <c r="C24" s="223" t="s">
        <v>514</v>
      </c>
      <c r="D24" s="404">
        <f>Offer_Price/Buyer!J9</f>
        <v>3.2378919787000263E-2</v>
      </c>
      <c r="G24" s="232"/>
    </row>
    <row r="25" spans="3:17" x14ac:dyDescent="0.25">
      <c r="G25" s="232"/>
    </row>
    <row r="26" spans="3:17" x14ac:dyDescent="0.25">
      <c r="C26" s="10" t="s">
        <v>515</v>
      </c>
      <c r="D26" s="295"/>
      <c r="H26" s="405"/>
      <c r="I26" s="221"/>
      <c r="J26" s="221"/>
      <c r="K26" s="221"/>
      <c r="L26" s="221"/>
      <c r="M26" s="406"/>
    </row>
    <row r="27" spans="3:17" x14ac:dyDescent="0.25">
      <c r="C27" s="232" t="s">
        <v>516</v>
      </c>
      <c r="D27" s="392">
        <v>0.05</v>
      </c>
      <c r="H27" s="405"/>
      <c r="I27" s="221"/>
      <c r="J27" s="221"/>
      <c r="K27" s="221"/>
      <c r="L27" s="221"/>
      <c r="M27" s="407"/>
    </row>
    <row r="28" spans="3:17" x14ac:dyDescent="0.25">
      <c r="C28" s="232" t="s">
        <v>517</v>
      </c>
      <c r="D28" s="392">
        <v>0.25</v>
      </c>
      <c r="H28" s="405"/>
      <c r="I28" s="221"/>
      <c r="J28" s="221"/>
      <c r="K28" s="221"/>
      <c r="L28" s="221"/>
      <c r="M28" s="260"/>
    </row>
    <row r="29" spans="3:17" x14ac:dyDescent="0.25">
      <c r="C29" s="232" t="s">
        <v>518</v>
      </c>
      <c r="D29" s="392">
        <v>0.2</v>
      </c>
      <c r="H29" s="405"/>
      <c r="I29" s="221"/>
      <c r="J29" s="221"/>
      <c r="K29" s="221"/>
      <c r="L29" s="221"/>
      <c r="M29" s="407"/>
    </row>
    <row r="30" spans="3:17" x14ac:dyDescent="0.25">
      <c r="C30" s="232" t="s">
        <v>519</v>
      </c>
      <c r="D30" s="392">
        <v>0.5</v>
      </c>
      <c r="H30" s="405"/>
      <c r="I30" s="221"/>
      <c r="J30" s="221"/>
      <c r="K30" s="221"/>
      <c r="L30" s="221"/>
      <c r="M30" s="260"/>
      <c r="N30" s="300"/>
    </row>
    <row r="31" spans="3:17" x14ac:dyDescent="0.25">
      <c r="C31" s="232" t="s">
        <v>520</v>
      </c>
      <c r="D31" s="392">
        <v>1</v>
      </c>
      <c r="H31" s="405"/>
      <c r="I31" s="221"/>
      <c r="J31" s="221"/>
      <c r="K31" s="221"/>
      <c r="L31" s="221"/>
      <c r="M31" s="260"/>
      <c r="N31" s="408"/>
    </row>
    <row r="32" spans="3:17" x14ac:dyDescent="0.25">
      <c r="C32" s="232" t="s">
        <v>521</v>
      </c>
      <c r="D32" s="392">
        <v>1</v>
      </c>
      <c r="H32" s="405"/>
      <c r="I32" s="221"/>
      <c r="J32" s="221"/>
      <c r="K32" s="221"/>
      <c r="L32" s="221"/>
      <c r="M32" s="407"/>
      <c r="N32" s="408"/>
    </row>
    <row r="33" spans="2:19" x14ac:dyDescent="0.25">
      <c r="C33" s="232" t="s">
        <v>522</v>
      </c>
      <c r="D33" s="392">
        <v>1.375</v>
      </c>
      <c r="H33" s="405"/>
      <c r="I33" s="221"/>
      <c r="J33" s="221"/>
      <c r="K33" s="221"/>
      <c r="L33" s="221"/>
      <c r="M33" s="260"/>
    </row>
    <row r="34" spans="2:19" x14ac:dyDescent="0.25">
      <c r="O34" s="100"/>
      <c r="P34" s="100"/>
      <c r="Q34" s="100"/>
      <c r="R34" s="100"/>
      <c r="S34" s="100"/>
    </row>
    <row r="35" spans="2:19" x14ac:dyDescent="0.25">
      <c r="C35" s="292"/>
      <c r="D35" s="293" t="s">
        <v>523</v>
      </c>
      <c r="E35" s="293" t="s">
        <v>524</v>
      </c>
      <c r="F35" s="293"/>
    </row>
    <row r="36" spans="2:19" x14ac:dyDescent="0.25">
      <c r="C36" s="10" t="s">
        <v>525</v>
      </c>
      <c r="D36" s="295" t="s">
        <v>526</v>
      </c>
      <c r="E36" s="295" t="s">
        <v>526</v>
      </c>
      <c r="F36" s="295" t="s">
        <v>527</v>
      </c>
    </row>
    <row r="37" spans="2:19" x14ac:dyDescent="0.25">
      <c r="C37" s="232" t="str">
        <f>"LTM ("&amp;TEXT(Close_Date,"yyyy-mm-dd")&amp;") P / TBV:"</f>
        <v>LTM (2020-12-31) P / TBV:</v>
      </c>
      <c r="D37" s="409">
        <f>Seller_Share_Price*Seller!D17/(Seller!G62-Seller!G58-Seller!G38)</f>
        <v>0.69290479846026576</v>
      </c>
      <c r="E37" s="409">
        <f>Offer_Price*Seller!D17/(Seller!G62-Seller!G58-Seller!G38)</f>
        <v>0.76219527830629241</v>
      </c>
      <c r="F37" s="409">
        <f>Buyer!J8*Buyer!J9/(Buyer!G191-Buyer!G170)</f>
        <v>3.9014609270307483</v>
      </c>
    </row>
    <row r="38" spans="2:19" x14ac:dyDescent="0.25">
      <c r="C38" s="232" t="str">
        <f>"LTM ("&amp;TEXT(Close_Date,"yyyy-mm-dd")&amp;") P / BV:"</f>
        <v>LTM (2020-12-31) P / BV:</v>
      </c>
      <c r="D38" s="409">
        <f>Seller_Share_Price*Seller!D17/(Seller!G62-Seller!G58)</f>
        <v>0.65797959146169915</v>
      </c>
      <c r="E38" s="409">
        <f>Offer_Price*Seller!D17/(Seller!G62-Seller!G58)</f>
        <v>0.72377755060786919</v>
      </c>
      <c r="F38" s="409">
        <f>Buyer!J8*Buyer!J9/(Buyer!G191)</f>
        <v>3.6837755938452812</v>
      </c>
    </row>
    <row r="39" spans="2:19" x14ac:dyDescent="0.25">
      <c r="C39" s="232" t="str">
        <f>"LTM ("&amp;TEXT(Close_Date,"yyyy-mm-dd")&amp;") P / E:"</f>
        <v>LTM (2020-12-31) P / E:</v>
      </c>
      <c r="D39" s="409">
        <f>Seller_Share_Price*Seller!D17/DDM!E40</f>
        <v>6.9578725386502676</v>
      </c>
      <c r="E39" s="409">
        <f>Offer_Price*Seller!D17/DDM!E40</f>
        <v>7.6536597925152945</v>
      </c>
      <c r="F39" s="409">
        <f>Buyer!J8*Buyer!J9/(Buyer!G235)</f>
        <v>10.576366459318239</v>
      </c>
    </row>
    <row r="40" spans="2:19" x14ac:dyDescent="0.25">
      <c r="C40" s="232"/>
      <c r="D40" s="409"/>
      <c r="E40" s="409"/>
      <c r="F40" s="409"/>
    </row>
    <row r="41" spans="2:19" x14ac:dyDescent="0.25">
      <c r="C41" s="232" t="str">
        <f>"Forward Year 1 ("&amp;TEXT(EOMONTH(Close_Date,12),"yyyy-mm-dd")&amp;") P / TBV:"</f>
        <v>Forward Year 1 (2021-12-31) P / TBV:</v>
      </c>
      <c r="D41" s="409">
        <f ca="1">Seller_Share_Price*Seller!D17/(Seller!H62-Seller!H58-Seller!H38)</f>
        <v>1.3846946673509277</v>
      </c>
      <c r="E41" s="409">
        <f ca="1">Offer_Price*Seller!D17/(Seller!H62-Seller!H58-Seller!H38)</f>
        <v>1.5231641340860207</v>
      </c>
      <c r="F41" s="409">
        <f ca="1">Buyer!J8*Buyer!J9/(Buyer!H191-Buyer!H170)</f>
        <v>4.0575447705878762</v>
      </c>
    </row>
    <row r="42" spans="2:19" x14ac:dyDescent="0.25">
      <c r="C42" s="232" t="str">
        <f>"Forward Year 1 ("&amp;TEXT(EOMONTH(Close_Date,12),"yyyy-mm-dd")&amp;") P / BV:"</f>
        <v>Forward Year 1 (2021-12-31) P / BV:</v>
      </c>
      <c r="D42" s="409">
        <f ca="1">Seller_Share_Price*Seller!D17/(Seller!H62-Seller!H58)</f>
        <v>1.2226649913556964</v>
      </c>
      <c r="E42" s="409">
        <f ca="1">Offer_Price*Seller!D17/(Seller!H62-Seller!H58)</f>
        <v>1.3449314904912661</v>
      </c>
      <c r="F42" s="409">
        <f ca="1">Buyer!J8*Buyer!J9/(Buyer!H191)</f>
        <v>3.7677322879662838</v>
      </c>
    </row>
    <row r="43" spans="2:19" x14ac:dyDescent="0.25">
      <c r="C43" s="232" t="str">
        <f>"Forward Year 1 ("&amp;TEXT(EOMONTH(Close_Date,12),"yyyy-mm-dd")&amp;") P / E:"</f>
        <v>Forward Year 1 (2021-12-31) P / E:</v>
      </c>
      <c r="D43" s="409">
        <f ca="1">Seller_Share_Price*Seller!D17/DDM!F40</f>
        <v>11.931008107095227</v>
      </c>
      <c r="E43" s="409">
        <f ca="1">Offer_Price*Seller!D17/DDM!F40</f>
        <v>13.124108917804751</v>
      </c>
      <c r="F43" s="409">
        <f ca="1">Buyer!J8*Buyer!J9/(Buyer!H235)</f>
        <v>6.8116544351579273</v>
      </c>
    </row>
    <row r="45" spans="2:19" x14ac:dyDescent="0.25">
      <c r="B45" s="410" t="s">
        <v>528</v>
      </c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/>
      <c r="Q45" s="557"/>
      <c r="R45" s="557"/>
      <c r="S45" s="411"/>
    </row>
    <row r="46" spans="2:19" x14ac:dyDescent="0.25">
      <c r="Q46" s="221"/>
      <c r="R46" s="221"/>
    </row>
    <row r="47" spans="2:19" x14ac:dyDescent="0.25">
      <c r="C47" s="394" t="s">
        <v>529</v>
      </c>
      <c r="D47" s="394"/>
      <c r="E47" s="1"/>
      <c r="L47" s="394" t="s">
        <v>530</v>
      </c>
      <c r="M47" s="412"/>
      <c r="N47" s="412"/>
      <c r="O47" s="412"/>
      <c r="P47" s="412"/>
      <c r="Q47" s="221"/>
      <c r="R47" s="221"/>
    </row>
    <row r="48" spans="2:19" x14ac:dyDescent="0.25">
      <c r="C48" s="232" t="s">
        <v>587</v>
      </c>
      <c r="D48" s="242">
        <f>+O9</f>
        <v>10535.957804257901</v>
      </c>
      <c r="L48" s="232" t="s">
        <v>531</v>
      </c>
      <c r="P48" s="242">
        <f>+Equity_Purchase_Price</f>
        <v>105359.578042579</v>
      </c>
      <c r="Q48" s="221"/>
      <c r="R48" s="221"/>
    </row>
    <row r="49" spans="2:20" x14ac:dyDescent="0.25">
      <c r="C49" s="232" t="s">
        <v>588</v>
      </c>
      <c r="D49" s="248">
        <f ca="1">+O10</f>
        <v>28265.557804257896</v>
      </c>
      <c r="L49" s="232" t="s">
        <v>532</v>
      </c>
      <c r="P49" s="413">
        <f>+O18+O20</f>
        <v>820.19683531934243</v>
      </c>
      <c r="Q49" s="221"/>
      <c r="R49" s="221"/>
    </row>
    <row r="50" spans="2:20" x14ac:dyDescent="0.25">
      <c r="C50" s="232" t="s">
        <v>533</v>
      </c>
      <c r="D50" s="248">
        <f ca="1">+O11</f>
        <v>66558.062434063206</v>
      </c>
      <c r="F50" s="242"/>
      <c r="L50" s="232" t="s">
        <v>534</v>
      </c>
      <c r="P50" s="413">
        <f ca="1">+O19</f>
        <v>565.3111560851579</v>
      </c>
      <c r="Q50" s="221"/>
      <c r="R50" s="221"/>
    </row>
    <row r="51" spans="2:20" x14ac:dyDescent="0.25">
      <c r="C51" s="232" t="s">
        <v>535</v>
      </c>
      <c r="D51" s="248">
        <f ca="1">+O21</f>
        <v>1385.5079914045004</v>
      </c>
      <c r="L51" s="73" t="s">
        <v>536</v>
      </c>
      <c r="M51" s="302"/>
      <c r="N51" s="302"/>
      <c r="O51" s="302"/>
      <c r="P51" s="414">
        <f ca="1">SUM(P48:P50)</f>
        <v>106745.08603398349</v>
      </c>
      <c r="Q51" s="221"/>
      <c r="R51" s="221"/>
    </row>
    <row r="52" spans="2:20" x14ac:dyDescent="0.25">
      <c r="C52" s="73" t="s">
        <v>537</v>
      </c>
      <c r="D52" s="414">
        <f ca="1">SUM(D48:D51)</f>
        <v>106745.08603398351</v>
      </c>
      <c r="Q52" s="221"/>
      <c r="R52" s="221"/>
    </row>
    <row r="53" spans="2:20" x14ac:dyDescent="0.25">
      <c r="L53" s="1" t="s">
        <v>538</v>
      </c>
      <c r="P53" s="106">
        <f ca="1">+D52-P51</f>
        <v>0</v>
      </c>
      <c r="Q53" s="221"/>
      <c r="R53" s="221"/>
    </row>
    <row r="54" spans="2:20" x14ac:dyDescent="0.25">
      <c r="Q54" s="221"/>
      <c r="R54" s="221"/>
    </row>
    <row r="55" spans="2:20" x14ac:dyDescent="0.25">
      <c r="B55" s="410" t="s">
        <v>539</v>
      </c>
      <c r="C55" s="410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0"/>
      <c r="Q55" s="557"/>
      <c r="R55" s="557"/>
      <c r="S55" s="411"/>
      <c r="T55" s="411"/>
    </row>
    <row r="56" spans="2:20" x14ac:dyDescent="0.25">
      <c r="Q56" s="221"/>
      <c r="R56" s="221"/>
    </row>
    <row r="57" spans="2:20" x14ac:dyDescent="0.25">
      <c r="C57" s="10" t="s">
        <v>540</v>
      </c>
      <c r="D57" s="393"/>
      <c r="H57" s="259"/>
      <c r="I57" s="221"/>
      <c r="J57" s="221"/>
      <c r="K57" s="221"/>
      <c r="L57" s="221"/>
    </row>
    <row r="58" spans="2:20" x14ac:dyDescent="0.25">
      <c r="C58" s="38" t="s">
        <v>497</v>
      </c>
      <c r="D58" s="415">
        <f>+Equity_Purchase_Price-D18</f>
        <v>83197.578042579</v>
      </c>
      <c r="H58" s="405"/>
      <c r="I58" s="221"/>
      <c r="J58" s="221"/>
      <c r="K58" s="221"/>
      <c r="L58" s="416"/>
    </row>
    <row r="59" spans="2:20" x14ac:dyDescent="0.25">
      <c r="C59" s="232" t="s">
        <v>290</v>
      </c>
      <c r="D59" s="417">
        <f>(1-D14)*(Seller!G60-Seller!G58-SUM(D61:D64))</f>
        <v>32313.960000000003</v>
      </c>
      <c r="H59" s="405"/>
      <c r="I59" s="221"/>
      <c r="J59" s="221"/>
      <c r="K59" s="221"/>
      <c r="L59" s="416"/>
    </row>
    <row r="60" spans="2:20" x14ac:dyDescent="0.25">
      <c r="C60" s="232" t="s">
        <v>589</v>
      </c>
      <c r="D60" s="417">
        <f>-SUM(Seller!G54:G57)</f>
        <v>-164213</v>
      </c>
      <c r="E60" s="248"/>
      <c r="F60" s="401"/>
      <c r="H60" s="405"/>
      <c r="I60" s="221"/>
      <c r="J60" s="221"/>
      <c r="K60" s="221"/>
      <c r="L60" s="416"/>
    </row>
    <row r="61" spans="2:20" x14ac:dyDescent="0.25">
      <c r="C61" s="232" t="s">
        <v>590</v>
      </c>
      <c r="D61" s="417">
        <f>-Marks!F11</f>
        <v>73624.75</v>
      </c>
      <c r="H61" s="405"/>
      <c r="I61" s="221"/>
      <c r="J61" s="221"/>
      <c r="K61" s="221"/>
      <c r="L61" s="416"/>
    </row>
    <row r="62" spans="2:20" x14ac:dyDescent="0.25">
      <c r="C62" s="232" t="s">
        <v>591</v>
      </c>
      <c r="D62" s="642">
        <v>-2000</v>
      </c>
      <c r="H62" s="405"/>
      <c r="I62" s="221"/>
      <c r="J62" s="221"/>
      <c r="K62" s="221"/>
      <c r="L62" s="416"/>
    </row>
    <row r="63" spans="2:20" x14ac:dyDescent="0.25">
      <c r="C63" s="232" t="s">
        <v>592</v>
      </c>
      <c r="D63" s="642">
        <v>-1000</v>
      </c>
      <c r="H63" s="405"/>
      <c r="I63" s="221"/>
      <c r="J63" s="221"/>
      <c r="K63" s="221"/>
      <c r="L63" s="416"/>
    </row>
    <row r="64" spans="2:20" x14ac:dyDescent="0.25">
      <c r="C64" s="232" t="s">
        <v>593</v>
      </c>
      <c r="D64" s="417">
        <f>-SUM(D61:D63)*Buyer!D15</f>
        <v>-14124.95</v>
      </c>
      <c r="H64" s="405"/>
      <c r="I64" s="221"/>
      <c r="J64" s="221"/>
      <c r="K64" s="221"/>
      <c r="L64" s="416"/>
    </row>
    <row r="65" spans="2:16" x14ac:dyDescent="0.25">
      <c r="C65" s="73" t="s">
        <v>542</v>
      </c>
      <c r="D65" s="415">
        <f>SUM(D58:D64)</f>
        <v>7798.3380425790056</v>
      </c>
      <c r="H65" s="405"/>
      <c r="I65" s="221"/>
      <c r="J65" s="221"/>
      <c r="K65" s="221"/>
      <c r="L65" s="416"/>
    </row>
    <row r="66" spans="2:16" x14ac:dyDescent="0.25">
      <c r="C66" s="38"/>
      <c r="D66" s="418"/>
      <c r="H66" s="405"/>
      <c r="I66" s="221"/>
      <c r="J66" s="221"/>
      <c r="K66" s="221"/>
      <c r="L66" s="419"/>
    </row>
    <row r="67" spans="2:16" x14ac:dyDescent="0.25">
      <c r="B67" s="224"/>
      <c r="C67" s="224"/>
      <c r="D67" s="224"/>
      <c r="E67" s="225" t="s">
        <v>55</v>
      </c>
      <c r="F67" s="225"/>
      <c r="G67" s="226"/>
      <c r="H67" s="225" t="s">
        <v>543</v>
      </c>
      <c r="I67" s="225"/>
      <c r="J67" s="225"/>
      <c r="K67" s="226" t="s">
        <v>544</v>
      </c>
      <c r="L67" s="225" t="s">
        <v>0</v>
      </c>
      <c r="M67" s="225"/>
      <c r="N67" s="225"/>
      <c r="O67" s="225"/>
      <c r="P67" s="225"/>
    </row>
    <row r="68" spans="2:16" x14ac:dyDescent="0.25">
      <c r="B68" s="227" t="s">
        <v>56</v>
      </c>
      <c r="C68" s="227"/>
      <c r="D68" s="7" t="s">
        <v>1</v>
      </c>
      <c r="E68" s="8">
        <f>EOMONTH(F68,-12)</f>
        <v>43465</v>
      </c>
      <c r="F68" s="228">
        <f>EOMONTH(G68,-12)</f>
        <v>43830</v>
      </c>
      <c r="G68" s="229">
        <f>Buyer!D10</f>
        <v>44196</v>
      </c>
      <c r="H68" s="228" t="s">
        <v>545</v>
      </c>
      <c r="I68" s="228" t="s">
        <v>546</v>
      </c>
      <c r="J68" s="228" t="s">
        <v>547</v>
      </c>
      <c r="K68" s="229">
        <f>G68</f>
        <v>44196</v>
      </c>
      <c r="L68" s="228">
        <f>EOMONTH(K68,12)</f>
        <v>44561</v>
      </c>
      <c r="M68" s="228">
        <f t="shared" ref="M68:N68" si="0">EOMONTH(L68,12)</f>
        <v>44926</v>
      </c>
      <c r="N68" s="532">
        <f t="shared" si="0"/>
        <v>45291</v>
      </c>
      <c r="O68" s="532">
        <f t="shared" ref="O68" si="1">EOMONTH(N68,12)</f>
        <v>45657</v>
      </c>
      <c r="P68" s="532">
        <f t="shared" ref="P68" si="2">EOMONTH(O68,12)</f>
        <v>46022</v>
      </c>
    </row>
    <row r="69" spans="2:16" x14ac:dyDescent="0.25">
      <c r="B69" s="1" t="s">
        <v>352</v>
      </c>
      <c r="H69" s="420"/>
      <c r="I69" s="302"/>
      <c r="J69" s="302"/>
      <c r="K69" s="421"/>
    </row>
    <row r="70" spans="2:16" x14ac:dyDescent="0.25">
      <c r="B70" s="1"/>
      <c r="C70" s="232" t="s">
        <v>127</v>
      </c>
      <c r="D70" s="14" t="s">
        <v>3</v>
      </c>
      <c r="E70" s="391">
        <f>Buyer!E161</f>
        <v>16997</v>
      </c>
      <c r="F70" s="391">
        <f>Buyer!F161</f>
        <v>27717</v>
      </c>
      <c r="G70" s="391">
        <f>Buyer!G161</f>
        <v>59715</v>
      </c>
      <c r="H70" s="580">
        <f>Seller!G29</f>
        <v>159687</v>
      </c>
      <c r="I70" s="582">
        <f>SUMIF('Consolidation Adj'!$C$8:$C$26,'Merger-Model'!$C70,'Consolidation Adj'!E$8:E$26)</f>
        <v>164.0393670638685</v>
      </c>
      <c r="J70" s="582">
        <f ca="1">SUMIF('Consolidation Adj'!$C$8:$C$26,'Merger-Model'!$C70,'Consolidation Adj'!F$8:F$26)</f>
        <v>11921.465795662401</v>
      </c>
      <c r="K70" s="541">
        <f ca="1">G70+H70+I70-J70</f>
        <v>207644.57357140147</v>
      </c>
      <c r="L70" s="559">
        <f ca="1">Buyer!H161+Seller!H29+'Merger-Model'!$I70-'Merger-Model'!$J70</f>
        <v>196233.77050782388</v>
      </c>
      <c r="M70" s="559">
        <f ca="1">Buyer!I161+Seller!I29+'Merger-Model'!$I70-'Merger-Model'!$J70</f>
        <v>213973.98308813141</v>
      </c>
      <c r="N70" s="559">
        <f ca="1">Buyer!J161+Seller!J29+'Merger-Model'!$I70-'Merger-Model'!$J70</f>
        <v>233045.11739621236</v>
      </c>
      <c r="O70" s="559">
        <f ca="1">Buyer!K161+Seller!K29+'Merger-Model'!$I70-'Merger-Model'!$J70</f>
        <v>251557.56157241794</v>
      </c>
      <c r="P70" s="559">
        <f ca="1">Buyer!L161+Seller!L29+'Merger-Model'!$I70-'Merger-Model'!$J70</f>
        <v>270539.94856979366</v>
      </c>
    </row>
    <row r="71" spans="2:16" x14ac:dyDescent="0.25">
      <c r="B71" s="1"/>
      <c r="C71" s="232" t="s">
        <v>61</v>
      </c>
      <c r="D71" s="14" t="s">
        <v>3</v>
      </c>
      <c r="E71" s="391">
        <f>Buyer!E162</f>
        <v>2435</v>
      </c>
      <c r="F71" s="391">
        <f>Buyer!F162</f>
        <v>3448</v>
      </c>
      <c r="G71" s="391">
        <f>Buyer!G162</f>
        <v>5379</v>
      </c>
      <c r="H71" s="580">
        <f>Seller!G30</f>
        <v>10910</v>
      </c>
      <c r="I71" s="582">
        <f>SUMIF('Consolidation Adj'!$C$8:$C$26,'Merger-Model'!$C71,'Consolidation Adj'!E$8:E$26)</f>
        <v>0</v>
      </c>
      <c r="J71" s="582">
        <f>SUMIF('Consolidation Adj'!$C$8:$C$26,'Merger-Model'!$C71,'Consolidation Adj'!F$8:F$26)</f>
        <v>0</v>
      </c>
      <c r="K71" s="541">
        <f t="shared" ref="K71:K84" si="3">G71+H71+I71-J71</f>
        <v>16289</v>
      </c>
      <c r="L71" s="559">
        <f>Buyer!H162+Seller!H30+'Merger-Model'!$I71-'Merger-Model'!$J71</f>
        <v>17496.649028725929</v>
      </c>
      <c r="M71" s="559">
        <f>Buyer!I162+Seller!I30+'Merger-Model'!$I71-'Merger-Model'!$J71</f>
        <v>19281.608916181754</v>
      </c>
      <c r="N71" s="559">
        <f>Buyer!J162+Seller!J30+'Merger-Model'!$I71-'Merger-Model'!$J71</f>
        <v>21206.067107245559</v>
      </c>
      <c r="O71" s="559">
        <f>Buyer!K162+Seller!K30+'Merger-Model'!$I71-'Merger-Model'!$J71</f>
        <v>23052.322672362843</v>
      </c>
      <c r="P71" s="559">
        <f>Buyer!L162+Seller!L30+'Merger-Model'!$I71-'Merger-Model'!$J71</f>
        <v>24937.830658997118</v>
      </c>
    </row>
    <row r="72" spans="2:16" x14ac:dyDescent="0.25">
      <c r="B72" s="1"/>
      <c r="C72" s="232" t="s">
        <v>128</v>
      </c>
      <c r="D72" s="14" t="s">
        <v>3</v>
      </c>
      <c r="E72" s="391">
        <f>Buyer!E163</f>
        <v>17581</v>
      </c>
      <c r="F72" s="391">
        <f>Buyer!F163</f>
        <v>29931</v>
      </c>
      <c r="G72" s="391">
        <f>Buyer!G163</f>
        <v>78523</v>
      </c>
      <c r="H72" s="580">
        <f>Seller!G31</f>
        <v>155592</v>
      </c>
      <c r="I72" s="582">
        <f>SUMIF('Consolidation Adj'!$C$8:$C$26,'Merger-Model'!$C72,'Consolidation Adj'!E$8:E$26)</f>
        <v>0</v>
      </c>
      <c r="J72" s="582">
        <f>SUMIF('Consolidation Adj'!$C$8:$C$26,'Merger-Model'!$C72,'Consolidation Adj'!F$8:F$26)</f>
        <v>0</v>
      </c>
      <c r="K72" s="541">
        <f t="shared" si="3"/>
        <v>234115</v>
      </c>
      <c r="L72" s="248">
        <f t="shared" ref="L72:P72" ca="1" si="4">K72+L118</f>
        <v>234115</v>
      </c>
      <c r="M72" s="248">
        <f t="shared" ca="1" si="4"/>
        <v>294167.41398739489</v>
      </c>
      <c r="N72" s="248">
        <f t="shared" ca="1" si="4"/>
        <v>350713.88570798002</v>
      </c>
      <c r="O72" s="248">
        <f t="shared" ca="1" si="4"/>
        <v>350713.88570798002</v>
      </c>
      <c r="P72" s="248">
        <f t="shared" ca="1" si="4"/>
        <v>350713.88570798002</v>
      </c>
    </row>
    <row r="73" spans="2:16" x14ac:dyDescent="0.25">
      <c r="B73" s="1"/>
      <c r="C73" s="38" t="s">
        <v>79</v>
      </c>
      <c r="D73" s="14" t="s">
        <v>3</v>
      </c>
      <c r="E73" s="391">
        <f>Buyer!E164</f>
        <v>234710</v>
      </c>
      <c r="F73" s="391">
        <f>Buyer!F164</f>
        <v>383912</v>
      </c>
      <c r="G73" s="391">
        <f>Buyer!G164</f>
        <v>447421</v>
      </c>
      <c r="H73" s="580">
        <f>Seller!G32</f>
        <v>834625</v>
      </c>
      <c r="I73" s="582">
        <f>SUMIF('Consolidation Adj'!$C$8:$C$26,'Merger-Model'!$C73,'Consolidation Adj'!E$8:E$26)</f>
        <v>0</v>
      </c>
      <c r="J73" s="582">
        <f>SUMIF('Consolidation Adj'!$C$8:$C$26,'Merger-Model'!$C73,'Consolidation Adj'!F$8:F$26)</f>
        <v>109057</v>
      </c>
      <c r="K73" s="541">
        <f t="shared" si="3"/>
        <v>1172989</v>
      </c>
      <c r="L73" s="559">
        <f>Buyer!H164+Seller!H32+'Merger-Model'!$I73-'Merger-Model'!$J73+SUM(Marks!$D$16:E16)</f>
        <v>1369731.4114755809</v>
      </c>
      <c r="M73" s="559">
        <f>Buyer!I164+Seller!I32+'Merger-Model'!$I73-'Merger-Model'!$J73+SUM(Marks!$D$16:F16)</f>
        <v>1474786.3171557558</v>
      </c>
      <c r="N73" s="559">
        <f>Buyer!J164+Seller!J32+'Merger-Model'!$I73-'Merger-Model'!$J73+SUM(Marks!$D$16:G16)</f>
        <v>1603678.3465119037</v>
      </c>
      <c r="O73" s="559">
        <f>Buyer!K164+Seller!K32+'Merger-Model'!$I73-'Merger-Model'!$J73+SUM(Marks!$D$16:H16)</f>
        <v>1827719.8770936916</v>
      </c>
      <c r="P73" s="559">
        <f>Buyer!L164+Seller!L32+'Merger-Model'!$I73-'Merger-Model'!$J73+SUM(Marks!$D$16:I16)</f>
        <v>2080179.4298458865</v>
      </c>
    </row>
    <row r="74" spans="2:16" x14ac:dyDescent="0.25">
      <c r="B74" s="1"/>
      <c r="C74" s="232" t="s">
        <v>129</v>
      </c>
      <c r="D74" s="14" t="s">
        <v>3</v>
      </c>
      <c r="E74" s="391">
        <f>Buyer!E165</f>
        <v>-36221</v>
      </c>
      <c r="F74" s="391">
        <f>Buyer!F165</f>
        <v>-54737</v>
      </c>
      <c r="G74" s="391">
        <f>Buyer!G165</f>
        <v>-70900</v>
      </c>
      <c r="H74" s="580">
        <f>Seller!G33</f>
        <v>-42287</v>
      </c>
      <c r="I74" s="582">
        <f>SUMIF('Consolidation Adj'!$C$8:$C$26,'Merger-Model'!$C74,'Consolidation Adj'!E$8:E$26)</f>
        <v>42287</v>
      </c>
      <c r="J74" s="582">
        <f>SUMIF('Consolidation Adj'!$C$8:$C$26,'Merger-Model'!$C74,'Consolidation Adj'!F$8:F$26)</f>
        <v>0</v>
      </c>
      <c r="K74" s="541">
        <f t="shared" si="3"/>
        <v>-70900</v>
      </c>
      <c r="L74" s="559">
        <f>Buyer!H165+Seller!H33+'Merger-Model'!$I74-'Merger-Model'!$J74</f>
        <v>-89392.197422220052</v>
      </c>
      <c r="M74" s="559">
        <f>Buyer!I165+Seller!I33+'Merger-Model'!$I74-'Merger-Model'!$J74</f>
        <v>-112228.97554386844</v>
      </c>
      <c r="N74" s="559">
        <f>Buyer!J165+Seller!J33+'Merger-Model'!$I74-'Merger-Model'!$J74</f>
        <v>-142518.90702926734</v>
      </c>
      <c r="O74" s="559">
        <f>Buyer!K165+Seller!K33+'Merger-Model'!$I74-'Merger-Model'!$J74</f>
        <v>-188867.47331469104</v>
      </c>
      <c r="P74" s="559">
        <f>Buyer!L165+Seller!L33+'Merger-Model'!$I74-'Merger-Model'!$J74</f>
        <v>-259494.61829229526</v>
      </c>
    </row>
    <row r="75" spans="2:16" x14ac:dyDescent="0.25">
      <c r="B75" s="1"/>
      <c r="C75" s="38" t="s">
        <v>130</v>
      </c>
      <c r="D75" s="14" t="s">
        <v>3</v>
      </c>
      <c r="E75" s="391">
        <f>Buyer!E166</f>
        <v>198489</v>
      </c>
      <c r="F75" s="391">
        <f>Buyer!F166</f>
        <v>329175</v>
      </c>
      <c r="G75" s="391">
        <f>Buyer!G166</f>
        <v>376521</v>
      </c>
      <c r="H75" s="580">
        <f>Seller!G34</f>
        <v>792338</v>
      </c>
      <c r="I75" s="582">
        <f>SUMIF('Consolidation Adj'!$C$8:$C$26,'Merger-Model'!$C75,'Consolidation Adj'!E$8:E$26)</f>
        <v>0</v>
      </c>
      <c r="J75" s="582">
        <f>SUMIF('Consolidation Adj'!$C$8:$C$26,'Merger-Model'!$C75,'Consolidation Adj'!F$8:F$26)</f>
        <v>0</v>
      </c>
      <c r="K75" s="541">
        <f t="shared" si="3"/>
        <v>1168859</v>
      </c>
      <c r="L75" s="559">
        <f t="shared" ref="L75:P75" si="5">SUM(L73:L74)</f>
        <v>1280339.2140533607</v>
      </c>
      <c r="M75" s="559">
        <f t="shared" si="5"/>
        <v>1362557.3416118873</v>
      </c>
      <c r="N75" s="559">
        <f t="shared" si="5"/>
        <v>1461159.4394826363</v>
      </c>
      <c r="O75" s="559">
        <f t="shared" si="5"/>
        <v>1638852.4037790005</v>
      </c>
      <c r="P75" s="559">
        <f t="shared" si="5"/>
        <v>1820684.8115535914</v>
      </c>
    </row>
    <row r="76" spans="2:16" x14ac:dyDescent="0.25">
      <c r="B76" s="1"/>
      <c r="C76" s="232" t="s">
        <v>82</v>
      </c>
      <c r="D76" s="14" t="s">
        <v>3</v>
      </c>
      <c r="E76" s="391">
        <f>Buyer!E167</f>
        <v>100140</v>
      </c>
      <c r="F76" s="391">
        <f>Buyer!F167</f>
        <v>135178</v>
      </c>
      <c r="G76" s="391">
        <f>Buyer!G167</f>
        <v>238454</v>
      </c>
      <c r="H76" s="580">
        <f>Seller!G35</f>
        <v>137095</v>
      </c>
      <c r="I76" s="582">
        <f>SUMIF('Consolidation Adj'!$C$8:$C$26,'Merger-Model'!$C76,'Consolidation Adj'!E$8:E$26)</f>
        <v>0</v>
      </c>
      <c r="J76" s="582">
        <f>SUMIF('Consolidation Adj'!$C$8:$C$26,'Merger-Model'!$C76,'Consolidation Adj'!F$8:F$26)</f>
        <v>6854.75</v>
      </c>
      <c r="K76" s="541">
        <f t="shared" si="3"/>
        <v>368694.25</v>
      </c>
      <c r="L76" s="559">
        <f>Buyer!H167+Seller!H35+'Merger-Model'!$I76-'Merger-Model'!$J76+SUM(Marks!$D$15:E15)</f>
        <v>413449.44419634191</v>
      </c>
      <c r="M76" s="559">
        <f>Buyer!I167+Seller!I35+'Merger-Model'!$I76-'Merger-Model'!$J76+SUM(Marks!$D$15:F15)</f>
        <v>471414.65444915963</v>
      </c>
      <c r="N76" s="559">
        <f>Buyer!J167+Seller!J35+'Merger-Model'!$I76-'Merger-Model'!$J76+SUM(Marks!$D$15:G15)</f>
        <v>534247.14834645612</v>
      </c>
      <c r="O76" s="559">
        <f>Buyer!K167+Seller!K35+'Merger-Model'!$I76-'Merger-Model'!$J76+SUM(Marks!$D$15:H15)</f>
        <v>592850.90064793802</v>
      </c>
      <c r="P76" s="559">
        <f>Buyer!L167+Seller!L35+'Merger-Model'!$I76-'Merger-Model'!$J76+SUM(Marks!$D$15:I15)</f>
        <v>652060.281244257</v>
      </c>
    </row>
    <row r="77" spans="2:16" x14ac:dyDescent="0.25">
      <c r="B77" s="1"/>
      <c r="C77" s="232" t="s">
        <v>131</v>
      </c>
      <c r="D77" s="14" t="s">
        <v>3</v>
      </c>
      <c r="E77" s="391">
        <f>Buyer!E168</f>
        <v>4603</v>
      </c>
      <c r="F77" s="391">
        <f>Buyer!F168</f>
        <v>8877</v>
      </c>
      <c r="G77" s="391">
        <f>Buyer!G168</f>
        <v>15475</v>
      </c>
      <c r="H77" s="580">
        <f>Seller!G36</f>
        <v>0</v>
      </c>
      <c r="I77" s="582">
        <f>SUMIF('Consolidation Adj'!$C$8:$C$26,'Merger-Model'!$C77,'Consolidation Adj'!E$8:E$26)</f>
        <v>0</v>
      </c>
      <c r="J77" s="582">
        <f>SUMIF('Consolidation Adj'!$C$8:$C$26,'Merger-Model'!$C77,'Consolidation Adj'!F$8:F$26)</f>
        <v>0</v>
      </c>
      <c r="K77" s="541">
        <f t="shared" si="3"/>
        <v>15475</v>
      </c>
      <c r="L77" s="559">
        <f>Buyer!H168+Seller!H36+'Merger-Model'!$I77-'Merger-Model'!$J77</f>
        <v>16572.120294319764</v>
      </c>
      <c r="M77" s="559">
        <f>Buyer!I168+Seller!I36+'Merger-Model'!$I77-'Merger-Model'!$J77</f>
        <v>19899.869129656527</v>
      </c>
      <c r="N77" s="559">
        <f>Buyer!J168+Seller!J36+'Merger-Model'!$I77-'Merger-Model'!$J77</f>
        <v>23513.814787900992</v>
      </c>
      <c r="O77" s="559">
        <f>Buyer!K168+Seller!K36+'Merger-Model'!$I77-'Merger-Model'!$J77</f>
        <v>26879.109967147248</v>
      </c>
      <c r="P77" s="559">
        <f>Buyer!L168+Seller!L36+'Merger-Model'!$I77-'Merger-Model'!$J77</f>
        <v>30280.016157895167</v>
      </c>
    </row>
    <row r="78" spans="2:16" x14ac:dyDescent="0.25">
      <c r="B78" s="1"/>
      <c r="C78" s="232" t="s">
        <v>132</v>
      </c>
      <c r="D78" s="14" t="s">
        <v>3</v>
      </c>
      <c r="E78" s="391">
        <f>Buyer!E169</f>
        <v>8369</v>
      </c>
      <c r="F78" s="391">
        <f>Buyer!F169</f>
        <v>10560</v>
      </c>
      <c r="G78" s="391">
        <f>Buyer!G169</f>
        <v>10481</v>
      </c>
      <c r="H78" s="580">
        <f>Seller!G37</f>
        <v>26591</v>
      </c>
      <c r="I78" s="582">
        <f>SUMIF('Consolidation Adj'!$C$8:$C$26,'Merger-Model'!$C78,'Consolidation Adj'!E$8:E$26)</f>
        <v>0</v>
      </c>
      <c r="J78" s="582">
        <f>SUMIF('Consolidation Adj'!$C$8:$C$26,'Merger-Model'!$C78,'Consolidation Adj'!F$8:F$26)</f>
        <v>0</v>
      </c>
      <c r="K78" s="541">
        <f t="shared" si="3"/>
        <v>37072</v>
      </c>
      <c r="L78" s="559">
        <f>Buyer!H169+Seller!H37+'Merger-Model'!$I78-'Merger-Model'!$J78</f>
        <v>39973.089093690789</v>
      </c>
      <c r="M78" s="559">
        <f>Buyer!I169+Seller!I37+'Merger-Model'!$I78-'Merger-Model'!$J78</f>
        <v>41604.660824429964</v>
      </c>
      <c r="N78" s="559">
        <f>Buyer!J169+Seller!J37+'Merger-Model'!$I78-'Merger-Model'!$J78</f>
        <v>43003.888819658132</v>
      </c>
      <c r="O78" s="559">
        <f>Buyer!K169+Seller!K37+'Merger-Model'!$I78-'Merger-Model'!$J78</f>
        <v>44612.848203871101</v>
      </c>
      <c r="P78" s="559">
        <f>Buyer!L169+Seller!L37+'Merger-Model'!$I78-'Merger-Model'!$J78</f>
        <v>46259.988231217139</v>
      </c>
    </row>
    <row r="79" spans="2:16" x14ac:dyDescent="0.25">
      <c r="B79" s="1"/>
      <c r="C79" s="232" t="s">
        <v>133</v>
      </c>
      <c r="D79" s="14" t="s">
        <v>3</v>
      </c>
      <c r="E79" s="391">
        <f>Buyer!E170</f>
        <v>4223</v>
      </c>
      <c r="F79" s="391">
        <f>Buyer!F170</f>
        <v>5435</v>
      </c>
      <c r="G79" s="391">
        <f>Buyer!G170</f>
        <v>7082</v>
      </c>
      <c r="H79" s="580">
        <f>Seller!G38</f>
        <v>8277</v>
      </c>
      <c r="I79" s="582">
        <f>SUMIF('Consolidation Adj'!$C$8:$C$26,'Merger-Model'!$C79,'Consolidation Adj'!E$8:E$26)</f>
        <v>2000</v>
      </c>
      <c r="J79" s="582">
        <f>SUMIF('Consolidation Adj'!$C$8:$C$26,'Merger-Model'!$C79,'Consolidation Adj'!F$8:F$26)</f>
        <v>0</v>
      </c>
      <c r="K79" s="541">
        <f t="shared" si="3"/>
        <v>17359</v>
      </c>
      <c r="L79" s="559">
        <f>Buyer!H170+Seller!H38+'Merger-Model'!$I79-'Merger-Model'!$J79</f>
        <v>21204.593149377346</v>
      </c>
      <c r="M79" s="559">
        <f>Buyer!I170+Seller!I38+'Merger-Model'!$I79-'Merger-Model'!$J79</f>
        <v>24646.569006242367</v>
      </c>
      <c r="N79" s="559">
        <f>Buyer!J170+Seller!J38+'Merger-Model'!$I79-'Merger-Model'!$J79</f>
        <v>27752.318880282626</v>
      </c>
      <c r="O79" s="559">
        <f>Buyer!K170+Seller!K38+'Merger-Model'!$I79-'Merger-Model'!$J79</f>
        <v>31094.402019069668</v>
      </c>
      <c r="P79" s="559">
        <f>Buyer!L170+Seller!L38+'Merger-Model'!$I79-'Merger-Model'!$J79</f>
        <v>34465.969887334446</v>
      </c>
    </row>
    <row r="80" spans="2:16" x14ac:dyDescent="0.25">
      <c r="B80" s="1"/>
      <c r="C80" s="476" t="s">
        <v>595</v>
      </c>
      <c r="D80" s="423" t="s">
        <v>3</v>
      </c>
      <c r="E80" s="424">
        <v>0</v>
      </c>
      <c r="F80" s="424">
        <v>0</v>
      </c>
      <c r="G80" s="424">
        <v>0</v>
      </c>
      <c r="H80" s="533">
        <v>0</v>
      </c>
      <c r="I80" s="584">
        <f>SUMIF('Consolidation Adj'!$C$8:$C$26,'Merger-Model'!$C80,'Consolidation Adj'!E$8:E$26)</f>
        <v>1000</v>
      </c>
      <c r="J80" s="584">
        <f>SUMIF('Consolidation Adj'!$C$8:$C$26,'Merger-Model'!$C80,'Consolidation Adj'!F$8:F$26)</f>
        <v>0</v>
      </c>
      <c r="K80" s="542">
        <f t="shared" si="3"/>
        <v>1000</v>
      </c>
      <c r="L80" s="425">
        <f>K80-MIN(K80,($I$80-$J$80)/3)</f>
        <v>666.66666666666674</v>
      </c>
      <c r="M80" s="425">
        <f t="shared" ref="M80:P80" si="6">L80-MIN(L80,($I$80-$J$80)/3)</f>
        <v>333.33333333333343</v>
      </c>
      <c r="N80" s="425">
        <f t="shared" si="6"/>
        <v>0</v>
      </c>
      <c r="O80" s="425">
        <f t="shared" si="6"/>
        <v>0</v>
      </c>
      <c r="P80" s="425">
        <f t="shared" si="6"/>
        <v>0</v>
      </c>
    </row>
    <row r="81" spans="2:16" x14ac:dyDescent="0.25">
      <c r="B81" s="1"/>
      <c r="C81" s="481" t="s">
        <v>594</v>
      </c>
      <c r="D81" s="426" t="s">
        <v>3</v>
      </c>
      <c r="E81" s="427">
        <v>0</v>
      </c>
      <c r="F81" s="427">
        <v>0</v>
      </c>
      <c r="G81" s="427">
        <v>0</v>
      </c>
      <c r="H81" s="534">
        <v>0</v>
      </c>
      <c r="I81" s="585">
        <f>SUMIF('Consolidation Adj'!$C$8:$C$26,'Merger-Model'!$C81,'Consolidation Adj'!E$8:E$26)</f>
        <v>7798.3380425790056</v>
      </c>
      <c r="J81" s="585">
        <f>SUMIF('Consolidation Adj'!$C$8:$C$26,'Merger-Model'!$C81,'Consolidation Adj'!F$8:F$26)</f>
        <v>0</v>
      </c>
      <c r="K81" s="543">
        <f t="shared" si="3"/>
        <v>7798.3380425790056</v>
      </c>
      <c r="L81" s="428">
        <f>K81</f>
        <v>7798.3380425790056</v>
      </c>
      <c r="M81" s="428">
        <f t="shared" ref="M81:P81" si="7">L81</f>
        <v>7798.3380425790056</v>
      </c>
      <c r="N81" s="428">
        <f t="shared" si="7"/>
        <v>7798.3380425790056</v>
      </c>
      <c r="O81" s="428">
        <f t="shared" si="7"/>
        <v>7798.3380425790056</v>
      </c>
      <c r="P81" s="428">
        <f t="shared" si="7"/>
        <v>7798.3380425790056</v>
      </c>
    </row>
    <row r="82" spans="2:16" x14ac:dyDescent="0.25">
      <c r="B82" s="1"/>
      <c r="C82" s="539" t="s">
        <v>598</v>
      </c>
      <c r="D82" s="147" t="s">
        <v>3</v>
      </c>
      <c r="E82" s="579">
        <f>Buyer!E171</f>
        <v>1104</v>
      </c>
      <c r="F82" s="579">
        <f>Buyer!F171</f>
        <v>2332</v>
      </c>
      <c r="G82" s="579">
        <f>Buyer!G171</f>
        <v>4080</v>
      </c>
      <c r="H82" s="628">
        <f>Seller!G39</f>
        <v>2429</v>
      </c>
      <c r="I82" s="583">
        <f>SUMIF('Consolidation Adj'!$C$8:$C$26,'Merger-Model'!$C82,'Consolidation Adj'!E$8:E$26)</f>
        <v>0</v>
      </c>
      <c r="J82" s="583">
        <f>SUMIF('Consolidation Adj'!$C$8:$C$26,'Merger-Model'!$C82,'Consolidation Adj'!F$8:F$26)</f>
        <v>0</v>
      </c>
      <c r="K82" s="629">
        <f t="shared" si="3"/>
        <v>6509</v>
      </c>
      <c r="L82" s="560">
        <f ca="1">Buyer!H171+Seller!H39+'Merger-Model'!$I82-'Merger-Model'!$J82</f>
        <v>7710.2478483592204</v>
      </c>
      <c r="M82" s="560">
        <f ca="1">Buyer!I171+Seller!I39+'Merger-Model'!$I82-'Merger-Model'!$J82</f>
        <v>8262.9860480847365</v>
      </c>
      <c r="N82" s="560">
        <f ca="1">Buyer!J171+Seller!J39+'Merger-Model'!$I82-'Merger-Model'!$J82</f>
        <v>8262.9860480847365</v>
      </c>
      <c r="O82" s="560">
        <f ca="1">Buyer!K171+Seller!K39+'Merger-Model'!$I82-'Merger-Model'!$J82</f>
        <v>7856.4704986437646</v>
      </c>
      <c r="P82" s="560">
        <f ca="1">Buyer!L171+Seller!L39+'Merger-Model'!$I82-'Merger-Model'!$J82</f>
        <v>7019.9643618775608</v>
      </c>
    </row>
    <row r="83" spans="2:16" x14ac:dyDescent="0.25">
      <c r="B83" s="1"/>
      <c r="C83" s="481" t="s">
        <v>597</v>
      </c>
      <c r="D83" s="426" t="s">
        <v>3</v>
      </c>
      <c r="E83" s="536">
        <v>0</v>
      </c>
      <c r="F83" s="536">
        <v>0</v>
      </c>
      <c r="G83" s="536">
        <v>0</v>
      </c>
      <c r="H83" s="537">
        <v>0</v>
      </c>
      <c r="I83" s="586">
        <f>SUMIF('Consolidation Adj'!$C$8:$C$26,'Merger-Model'!$C83,'Consolidation Adj'!E$8:E$26)</f>
        <v>14724.95</v>
      </c>
      <c r="J83" s="586">
        <f>SUMIF('Consolidation Adj'!$C$8:$C$26,'Merger-Model'!$C83,'Consolidation Adj'!F$8:F$26)</f>
        <v>600</v>
      </c>
      <c r="K83" s="544">
        <f t="shared" si="3"/>
        <v>14124.95</v>
      </c>
      <c r="L83" s="538">
        <f>K83-(L80-K80+SUM(Marks!E15:E16))*Buyer!$D$15</f>
        <v>11691.76</v>
      </c>
      <c r="M83" s="538">
        <f>L83-(M80-L80+SUM(Marks!F15:F16))*Buyer!$D$15</f>
        <v>9258.57</v>
      </c>
      <c r="N83" s="538">
        <f>M83-(N80-M80+SUM(Marks!G15:G16))*Buyer!$D$15</f>
        <v>6825.3799999999992</v>
      </c>
      <c r="O83" s="538">
        <f>N83-(O80-N80+SUM(Marks!H15:H16))*Buyer!$D$15</f>
        <v>4325.5233333333326</v>
      </c>
      <c r="P83" s="538">
        <f>O83-(P80-O80+SUM(Marks!I15:I16))*Buyer!$D$15</f>
        <v>1825.6666666666661</v>
      </c>
    </row>
    <row r="84" spans="2:16" x14ac:dyDescent="0.25">
      <c r="B84" s="1"/>
      <c r="C84" s="539" t="s">
        <v>135</v>
      </c>
      <c r="D84" s="147" t="s">
        <v>3</v>
      </c>
      <c r="E84" s="579">
        <f>Buyer!E172</f>
        <v>21558</v>
      </c>
      <c r="F84" s="579">
        <f>Buyer!F172</f>
        <v>27372</v>
      </c>
      <c r="G84" s="579">
        <f>Buyer!G172</f>
        <v>63584</v>
      </c>
      <c r="H84" s="581">
        <f>Seller!G40</f>
        <v>13745</v>
      </c>
      <c r="I84" s="583">
        <f>SUMIF('Consolidation Adj'!$C$8:$C$26,'Merger-Model'!$C84,'Consolidation Adj'!E$8:E$26)</f>
        <v>0</v>
      </c>
      <c r="J84" s="583">
        <f>SUMIF('Consolidation Adj'!$C$8:$C$26,'Merger-Model'!$C84,'Consolidation Adj'!F$8:F$26)</f>
        <v>0</v>
      </c>
      <c r="K84" s="629">
        <f t="shared" si="3"/>
        <v>77329</v>
      </c>
      <c r="L84" s="560">
        <f>Buyer!H172+Seller!H40+'Merger-Model'!$I84-'Merger-Model'!$J84</f>
        <v>86063.174592241994</v>
      </c>
      <c r="M84" s="561">
        <f>Buyer!I172+Seller!I40+'Merger-Model'!$I84-'Merger-Model'!$J84</f>
        <v>89668.419758547971</v>
      </c>
      <c r="N84" s="561">
        <f>Buyer!J172+Seller!J40+'Merger-Model'!$I84-'Merger-Model'!$J84</f>
        <v>93255.74757479041</v>
      </c>
      <c r="O84" s="561">
        <f>Buyer!K172+Seller!K40+'Merger-Model'!$I84-'Merger-Model'!$J84</f>
        <v>96995.907840946078</v>
      </c>
      <c r="P84" s="561">
        <f>Buyer!L172+Seller!L40+'Merger-Model'!$I84-'Merger-Model'!$J84</f>
        <v>100895.37835209332</v>
      </c>
    </row>
    <row r="85" spans="2:16" x14ac:dyDescent="0.25">
      <c r="B85" s="1"/>
      <c r="C85" s="1" t="s">
        <v>7</v>
      </c>
      <c r="D85" s="14" t="s">
        <v>3</v>
      </c>
      <c r="E85" s="163">
        <f>SUM(E75:E84,E70:E72)</f>
        <v>375499</v>
      </c>
      <c r="F85" s="163">
        <f t="shared" ref="F85:H85" si="8">SUM(F75:F84,F70:F72)</f>
        <v>580025</v>
      </c>
      <c r="G85" s="163">
        <f t="shared" si="8"/>
        <v>859294</v>
      </c>
      <c r="H85" s="549">
        <f t="shared" si="8"/>
        <v>1306664</v>
      </c>
      <c r="I85" s="550"/>
      <c r="J85" s="550"/>
      <c r="K85" s="545">
        <f t="shared" ref="K85:P85" ca="1" si="9">SUM(K76:K84,K70:K74)</f>
        <v>2105499.1116139805</v>
      </c>
      <c r="L85" s="402">
        <f t="shared" ca="1" si="9"/>
        <v>2333314.0674734875</v>
      </c>
      <c r="M85" s="402">
        <f t="shared" ca="1" si="9"/>
        <v>2562867.7481956291</v>
      </c>
      <c r="N85" s="402">
        <f t="shared" ca="1" si="9"/>
        <v>2810784.1321938261</v>
      </c>
      <c r="O85" s="402">
        <f t="shared" ca="1" si="9"/>
        <v>3076589.6742852898</v>
      </c>
      <c r="P85" s="402">
        <f t="shared" ca="1" si="9"/>
        <v>3347482.0794342821</v>
      </c>
    </row>
    <row r="86" spans="2:16" x14ac:dyDescent="0.25">
      <c r="B86" s="1"/>
      <c r="C86" s="1"/>
      <c r="E86" s="248"/>
      <c r="F86" s="248"/>
      <c r="G86" s="248"/>
      <c r="H86" s="422"/>
      <c r="I86" s="546"/>
      <c r="J86" s="546"/>
      <c r="K86" s="541"/>
    </row>
    <row r="87" spans="2:16" x14ac:dyDescent="0.25">
      <c r="B87" s="1" t="s">
        <v>137</v>
      </c>
      <c r="C87" s="1"/>
      <c r="E87" s="248"/>
      <c r="F87" s="248"/>
      <c r="G87" s="248"/>
      <c r="H87" s="422"/>
      <c r="I87" s="546"/>
      <c r="J87" s="546"/>
      <c r="K87" s="541"/>
    </row>
    <row r="88" spans="2:16" x14ac:dyDescent="0.25">
      <c r="B88" s="1"/>
      <c r="C88" s="13" t="s">
        <v>8</v>
      </c>
      <c r="D88" s="14" t="s">
        <v>3</v>
      </c>
      <c r="E88" s="391">
        <f>Buyer!E177</f>
        <v>280916</v>
      </c>
      <c r="F88" s="391">
        <f>Buyer!F177</f>
        <v>411614</v>
      </c>
      <c r="G88" s="391">
        <f>Buyer!G177</f>
        <v>626837</v>
      </c>
      <c r="H88" s="580">
        <f>Seller!G45</f>
        <v>924638</v>
      </c>
      <c r="I88" s="582">
        <f>SUMIF('Consolidation Adj'!$C$8:$C$26,'Merger-Model'!$C88,'Consolidation Adj'!E$8:E$26)</f>
        <v>0</v>
      </c>
      <c r="J88" s="582">
        <f>SUMIF('Consolidation Adj'!$C$8:$C$26,'Merger-Model'!$C88,'Consolidation Adj'!F$8:F$26)</f>
        <v>0</v>
      </c>
      <c r="K88" s="541">
        <f t="shared" ref="K88:K94" si="10">G88+H88-I88+J88</f>
        <v>1551475</v>
      </c>
      <c r="L88" s="559">
        <f>Buyer!H177+Seller!H45+'Merger-Model'!$I88-'Merger-Model'!$J88</f>
        <v>1757836.3977726875</v>
      </c>
      <c r="M88" s="559">
        <f>Buyer!I177+Seller!I45+'Merger-Model'!$I88-'Merger-Model'!$J88</f>
        <v>1955318.6865958043</v>
      </c>
      <c r="N88" s="559">
        <f>Buyer!J177+Seller!J45+'Merger-Model'!$I88-'Merger-Model'!$J88</f>
        <v>2168524.3204130214</v>
      </c>
      <c r="O88" s="559">
        <f>Buyer!K177+Seller!K45+'Merger-Model'!$I88-'Merger-Model'!$J88</f>
        <v>2371937.3788365871</v>
      </c>
      <c r="P88" s="559">
        <f>Buyer!L177+Seller!L45+'Merger-Model'!$I88-'Merger-Model'!$J88</f>
        <v>2579276.6329285963</v>
      </c>
    </row>
    <row r="89" spans="2:16" x14ac:dyDescent="0.25">
      <c r="B89" s="1"/>
      <c r="C89" s="13" t="s">
        <v>138</v>
      </c>
      <c r="D89" s="14" t="s">
        <v>3</v>
      </c>
      <c r="E89" s="391">
        <f>Buyer!E178</f>
        <v>2708</v>
      </c>
      <c r="F89" s="391">
        <f>Buyer!F178</f>
        <v>23</v>
      </c>
      <c r="G89" s="391">
        <f>Buyer!G178</f>
        <v>4819</v>
      </c>
      <c r="H89" s="580">
        <f>Seller!G46</f>
        <v>44710</v>
      </c>
      <c r="I89" s="582">
        <f>SUMIF('Consolidation Adj'!$C$8:$C$26,'Merger-Model'!$C89,'Consolidation Adj'!E$8:E$26)</f>
        <v>0</v>
      </c>
      <c r="J89" s="582">
        <f>SUMIF('Consolidation Adj'!$C$8:$C$26,'Merger-Model'!$C89,'Consolidation Adj'!F$8:F$26)</f>
        <v>0</v>
      </c>
      <c r="K89" s="541">
        <f t="shared" si="10"/>
        <v>49529</v>
      </c>
      <c r="L89" s="401">
        <f t="shared" ref="L89:P89" ca="1" si="11">K89+L119</f>
        <v>55477.797115889844</v>
      </c>
      <c r="M89" s="248">
        <f t="shared" ca="1" si="11"/>
        <v>55477.797115889844</v>
      </c>
      <c r="N89" s="248">
        <f t="shared" ca="1" si="11"/>
        <v>55477.797115889844</v>
      </c>
      <c r="O89" s="248">
        <f t="shared" ca="1" si="11"/>
        <v>78619.931565194856</v>
      </c>
      <c r="P89" s="248">
        <f t="shared" ca="1" si="11"/>
        <v>99218.775016563945</v>
      </c>
    </row>
    <row r="90" spans="2:16" x14ac:dyDescent="0.25">
      <c r="B90" s="1"/>
      <c r="C90" s="13" t="s">
        <v>139</v>
      </c>
      <c r="D90" s="14" t="s">
        <v>3</v>
      </c>
      <c r="E90" s="391">
        <f>Buyer!E179</f>
        <v>20644</v>
      </c>
      <c r="F90" s="391">
        <f>Buyer!F179</f>
        <v>18487</v>
      </c>
      <c r="G90" s="391">
        <f>Buyer!G179</f>
        <v>20755</v>
      </c>
      <c r="H90" s="580">
        <f>Seller!G47</f>
        <v>21450</v>
      </c>
      <c r="I90" s="582">
        <f>SUMIF('Consolidation Adj'!$C$8:$C$26,'Merger-Model'!$C90,'Consolidation Adj'!E$8:E$26)</f>
        <v>0</v>
      </c>
      <c r="J90" s="582">
        <f>SUMIF('Consolidation Adj'!$C$8:$C$26,'Merger-Model'!$C90,'Consolidation Adj'!F$8:F$26)</f>
        <v>0</v>
      </c>
      <c r="K90" s="541">
        <f t="shared" si="10"/>
        <v>42205</v>
      </c>
      <c r="L90" s="559">
        <f>Buyer!H179+Seller!H47+'Merger-Model'!$I90-'Merger-Model'!$J90</f>
        <v>42205</v>
      </c>
      <c r="M90" s="559">
        <f>Buyer!I179+Seller!I47+'Merger-Model'!$I90-'Merger-Model'!$J90</f>
        <v>42205</v>
      </c>
      <c r="N90" s="559">
        <f>Buyer!J179+Seller!J47+'Merger-Model'!$I90-'Merger-Model'!$J90</f>
        <v>42205</v>
      </c>
      <c r="O90" s="559">
        <f>Buyer!K179+Seller!K47+'Merger-Model'!$I90-'Merger-Model'!$J90</f>
        <v>42205</v>
      </c>
      <c r="P90" s="559">
        <f>Buyer!L179+Seller!L47+'Merger-Model'!$I90-'Merger-Model'!$J90</f>
        <v>42205</v>
      </c>
    </row>
    <row r="91" spans="2:16" x14ac:dyDescent="0.25">
      <c r="B91" s="1"/>
      <c r="C91" s="13" t="s">
        <v>140</v>
      </c>
      <c r="D91" s="14" t="s">
        <v>3</v>
      </c>
      <c r="E91" s="391">
        <f>Buyer!E180</f>
        <v>9605</v>
      </c>
      <c r="F91" s="391">
        <f>Buyer!F180</f>
        <v>26078</v>
      </c>
      <c r="G91" s="391">
        <f>Buyer!G180</f>
        <v>23910</v>
      </c>
      <c r="H91" s="580">
        <f>Seller!G48</f>
        <v>108033</v>
      </c>
      <c r="I91" s="582">
        <f>SUMIF('Consolidation Adj'!$C$8:$C$26,'Merger-Model'!$C91,'Consolidation Adj'!E$8:E$26)</f>
        <v>0</v>
      </c>
      <c r="J91" s="582">
        <f>SUMIF('Consolidation Adj'!$C$8:$C$26,'Merger-Model'!$C91,'Consolidation Adj'!F$8:F$26)</f>
        <v>0</v>
      </c>
      <c r="K91" s="541">
        <f t="shared" si="10"/>
        <v>131943</v>
      </c>
      <c r="L91" s="559">
        <f>Buyer!H180+Seller!H48+'Merger-Model'!$I91-'Merger-Model'!$J91</f>
        <v>131943</v>
      </c>
      <c r="M91" s="559">
        <f>Buyer!I180+Seller!I48+'Merger-Model'!$I91-'Merger-Model'!$J91</f>
        <v>131943</v>
      </c>
      <c r="N91" s="559">
        <f>Buyer!J180+Seller!J48+'Merger-Model'!$I91-'Merger-Model'!$J91</f>
        <v>131943</v>
      </c>
      <c r="O91" s="559">
        <f>Buyer!K180+Seller!K48+'Merger-Model'!$I91-'Merger-Model'!$J91</f>
        <v>131943</v>
      </c>
      <c r="P91" s="559">
        <f>Buyer!L180+Seller!L48+'Merger-Model'!$I91-'Merger-Model'!$J91</f>
        <v>131943</v>
      </c>
    </row>
    <row r="92" spans="2:16" x14ac:dyDescent="0.25">
      <c r="B92" s="1"/>
      <c r="C92" s="481" t="s">
        <v>603</v>
      </c>
      <c r="D92" s="426" t="s">
        <v>3</v>
      </c>
      <c r="E92" s="587">
        <v>0</v>
      </c>
      <c r="F92" s="587">
        <v>0</v>
      </c>
      <c r="G92" s="587">
        <v>0</v>
      </c>
      <c r="H92" s="588">
        <v>0</v>
      </c>
      <c r="I92" s="586">
        <f ca="1">SUMIF('Consolidation Adj'!$C$8:$C$26,'Merger-Model'!$C92,'Consolidation Adj'!E$8:E$26)</f>
        <v>565.3111560851579</v>
      </c>
      <c r="J92" s="586">
        <f ca="1">SUMIF('Consolidation Adj'!$C$8:$C$26,'Merger-Model'!$C92,'Consolidation Adj'!F$8:F$26)</f>
        <v>28265.557804257896</v>
      </c>
      <c r="K92" s="544">
        <f t="shared" ca="1" si="10"/>
        <v>27700.246648172739</v>
      </c>
      <c r="L92" s="538">
        <f ca="1">K92</f>
        <v>27700.246648172739</v>
      </c>
      <c r="M92" s="538">
        <f t="shared" ref="M92:P92" ca="1" si="12">L92</f>
        <v>27700.246648172739</v>
      </c>
      <c r="N92" s="538">
        <f t="shared" ca="1" si="12"/>
        <v>27700.246648172739</v>
      </c>
      <c r="O92" s="538">
        <f t="shared" ca="1" si="12"/>
        <v>27700.246648172739</v>
      </c>
      <c r="P92" s="538">
        <f t="shared" ca="1" si="12"/>
        <v>27700.246648172739</v>
      </c>
    </row>
    <row r="93" spans="2:16" x14ac:dyDescent="0.25">
      <c r="B93" s="1"/>
      <c r="C93" s="13" t="s">
        <v>141</v>
      </c>
      <c r="D93" s="14" t="s">
        <v>3</v>
      </c>
      <c r="E93" s="391">
        <f>Buyer!E181</f>
        <v>1665</v>
      </c>
      <c r="F93" s="391">
        <f>Buyer!F181</f>
        <v>1694</v>
      </c>
      <c r="G93" s="391">
        <f>Buyer!G181</f>
        <v>1340</v>
      </c>
      <c r="H93" s="580">
        <f>Seller!G49</f>
        <v>0</v>
      </c>
      <c r="I93" s="582">
        <f>SUMIF('Consolidation Adj'!$C$8:$C$26,'Merger-Model'!$C93,'Consolidation Adj'!E$8:E$26)</f>
        <v>0</v>
      </c>
      <c r="J93" s="582">
        <f>SUMIF('Consolidation Adj'!$C$8:$C$26,'Merger-Model'!$C93,'Consolidation Adj'!F$8:F$26)</f>
        <v>0</v>
      </c>
      <c r="K93" s="541">
        <f t="shared" si="10"/>
        <v>1340</v>
      </c>
      <c r="L93" s="559">
        <f>Buyer!H181+Seller!H49+'Merger-Model'!$I93-'Merger-Model'!$J93</f>
        <v>1525.3068919275979</v>
      </c>
      <c r="M93" s="559">
        <f>Buyer!I181+Seller!I49+'Merger-Model'!$I93-'Merger-Model'!$J93</f>
        <v>1686.573894606046</v>
      </c>
      <c r="N93" s="559">
        <f>Buyer!J181+Seller!J49+'Merger-Model'!$I93-'Merger-Model'!$J93</f>
        <v>1853.8279577222361</v>
      </c>
      <c r="O93" s="559">
        <f>Buyer!K181+Seller!K49+'Merger-Model'!$I93-'Merger-Model'!$J93</f>
        <v>2126.6393617635258</v>
      </c>
      <c r="P93" s="559">
        <f>Buyer!L181+Seller!L49+'Merger-Model'!$I93-'Merger-Model'!$J93</f>
        <v>2462.1928021216322</v>
      </c>
    </row>
    <row r="94" spans="2:16" x14ac:dyDescent="0.25">
      <c r="B94" s="1"/>
      <c r="C94" s="13" t="s">
        <v>142</v>
      </c>
      <c r="D94" s="16" t="s">
        <v>3</v>
      </c>
      <c r="E94" s="446">
        <f>Buyer!E182</f>
        <v>17711</v>
      </c>
      <c r="F94" s="446">
        <f>Buyer!F182</f>
        <v>26047</v>
      </c>
      <c r="G94" s="446">
        <f>Buyer!G182</f>
        <v>54617</v>
      </c>
      <c r="H94" s="589">
        <f>Seller!G50</f>
        <v>21458</v>
      </c>
      <c r="I94" s="590">
        <f>SUMIF('Consolidation Adj'!$C$8:$C$26,'Merger-Model'!$C94,'Consolidation Adj'!E$8:E$26)</f>
        <v>0</v>
      </c>
      <c r="J94" s="590">
        <f>SUMIF('Consolidation Adj'!$C$8:$C$26,'Merger-Model'!$C94,'Consolidation Adj'!F$8:F$26)</f>
        <v>0</v>
      </c>
      <c r="K94" s="552">
        <f t="shared" si="10"/>
        <v>76075</v>
      </c>
      <c r="L94" s="562">
        <f>Buyer!H182+Seller!H50+'Merger-Model'!$I94-'Merger-Model'!$J94</f>
        <v>78439.463300666379</v>
      </c>
      <c r="M94" s="562">
        <f>Buyer!I182+Seller!I50+'Merger-Model'!$I94-'Merger-Model'!$J94</f>
        <v>81714.659628700043</v>
      </c>
      <c r="N94" s="562">
        <f>Buyer!J182+Seller!J50+'Merger-Model'!$I94-'Merger-Model'!$J94</f>
        <v>84983.905126481579</v>
      </c>
      <c r="O94" s="562">
        <f>Buyer!K182+Seller!K50+'Merger-Model'!$I94-'Merger-Model'!$J94</f>
        <v>88394.335681770215</v>
      </c>
      <c r="P94" s="562">
        <f>Buyer!L182+Seller!L50+'Merger-Model'!$I94-'Merger-Model'!$J94</f>
        <v>91952.005184350666</v>
      </c>
    </row>
    <row r="95" spans="2:16" x14ac:dyDescent="0.25">
      <c r="B95" s="1"/>
      <c r="C95" s="83" t="s">
        <v>143</v>
      </c>
      <c r="D95" s="14" t="s">
        <v>3</v>
      </c>
      <c r="E95" s="163">
        <f>SUM(E88:E94)</f>
        <v>333249</v>
      </c>
      <c r="F95" s="163">
        <f t="shared" ref="F95:H95" si="13">SUM(F88:F94)</f>
        <v>483943</v>
      </c>
      <c r="G95" s="163">
        <f t="shared" si="13"/>
        <v>732278</v>
      </c>
      <c r="H95" s="549">
        <f t="shared" si="13"/>
        <v>1120289</v>
      </c>
      <c r="I95" s="550"/>
      <c r="J95" s="550"/>
      <c r="K95" s="545">
        <f t="shared" ref="K95:P95" ca="1" si="14">SUM(K88:K94)</f>
        <v>1880267.2466481728</v>
      </c>
      <c r="L95" s="402">
        <f t="shared" ca="1" si="14"/>
        <v>2095127.211729344</v>
      </c>
      <c r="M95" s="402">
        <f t="shared" ca="1" si="14"/>
        <v>2296045.9638831732</v>
      </c>
      <c r="N95" s="402">
        <f t="shared" ca="1" si="14"/>
        <v>2512688.0972612882</v>
      </c>
      <c r="O95" s="402">
        <f t="shared" ca="1" si="14"/>
        <v>2742926.5320934881</v>
      </c>
      <c r="P95" s="402">
        <f t="shared" ca="1" si="14"/>
        <v>2974757.8525798055</v>
      </c>
    </row>
    <row r="96" spans="2:16" x14ac:dyDescent="0.25">
      <c r="B96" s="1"/>
      <c r="C96" s="1"/>
      <c r="E96" s="248"/>
      <c r="F96" s="248"/>
      <c r="G96" s="248"/>
      <c r="H96" s="422"/>
      <c r="I96" s="546"/>
      <c r="J96" s="546"/>
      <c r="K96" s="541"/>
    </row>
    <row r="97" spans="2:16" x14ac:dyDescent="0.25">
      <c r="B97" s="1" t="s">
        <v>144</v>
      </c>
      <c r="E97" s="248"/>
      <c r="F97" s="248"/>
      <c r="G97" s="248"/>
      <c r="H97" s="422"/>
      <c r="I97" s="546"/>
      <c r="J97" s="546"/>
      <c r="K97" s="541"/>
    </row>
    <row r="98" spans="2:16" x14ac:dyDescent="0.25">
      <c r="B98" s="1"/>
      <c r="C98" s="13" t="s">
        <v>145</v>
      </c>
      <c r="D98" s="14" t="s">
        <v>3</v>
      </c>
      <c r="E98" s="391">
        <f>Buyer!E186</f>
        <v>8811</v>
      </c>
      <c r="F98" s="391">
        <f>Buyer!F186</f>
        <v>27228</v>
      </c>
      <c r="G98" s="391">
        <f>Buyer!G186</f>
        <v>27228</v>
      </c>
      <c r="H98" s="591">
        <f>Seller!G54</f>
        <v>77296</v>
      </c>
      <c r="I98" s="582">
        <f>SUMIF('Consolidation Adj'!$C$8:$C$26,'Merger-Model'!$C98,'Consolidation Adj'!E$8:E$26)</f>
        <v>77296</v>
      </c>
      <c r="J98" s="582">
        <f ca="1">SUMIF('Consolidation Adj'!$C$8:$C$26,'Merger-Model'!$C98,'Consolidation Adj'!F$8:F$26)</f>
        <v>66558.062434063206</v>
      </c>
      <c r="K98" s="541">
        <f t="shared" ref="K98:K103" ca="1" si="15">G98+H98-I98+J98</f>
        <v>93786.062434063206</v>
      </c>
      <c r="L98" s="559">
        <f t="shared" ref="L98:P98" ca="1" si="16">K98-L239</f>
        <v>93786.062434063206</v>
      </c>
      <c r="M98" s="559">
        <f t="shared" ca="1" si="16"/>
        <v>93786.062434063206</v>
      </c>
      <c r="N98" s="559">
        <f t="shared" ca="1" si="16"/>
        <v>93786.062434063206</v>
      </c>
      <c r="O98" s="559">
        <f t="shared" ca="1" si="16"/>
        <v>93786.062434063206</v>
      </c>
      <c r="P98" s="559">
        <f t="shared" ca="1" si="16"/>
        <v>93786.062434063206</v>
      </c>
    </row>
    <row r="99" spans="2:16" x14ac:dyDescent="0.25">
      <c r="B99" s="1"/>
      <c r="C99" s="13" t="s">
        <v>146</v>
      </c>
      <c r="D99" s="14" t="s">
        <v>3</v>
      </c>
      <c r="E99" s="391">
        <f>Buyer!E187</f>
        <v>-3670</v>
      </c>
      <c r="F99" s="391">
        <f>Buyer!F187</f>
        <v>-3164</v>
      </c>
      <c r="G99" s="391">
        <f>Buyer!G187</f>
        <v>-3238</v>
      </c>
      <c r="H99" s="591">
        <f>Seller!G55</f>
        <v>0</v>
      </c>
      <c r="I99" s="582">
        <f>SUMIF('Consolidation Adj'!$C$8:$C$26,'Merger-Model'!$C99,'Consolidation Adj'!E$8:E$26)</f>
        <v>0</v>
      </c>
      <c r="J99" s="582">
        <f>SUMIF('Consolidation Adj'!$C$8:$C$26,'Merger-Model'!$C99,'Consolidation Adj'!F$8:F$26)</f>
        <v>0</v>
      </c>
      <c r="K99" s="541">
        <f t="shared" si="15"/>
        <v>-3238</v>
      </c>
      <c r="L99" s="399">
        <f t="shared" ref="L99:P103" si="17">K99</f>
        <v>-3238</v>
      </c>
      <c r="M99" s="399">
        <f t="shared" si="17"/>
        <v>-3238</v>
      </c>
      <c r="N99" s="399">
        <f t="shared" si="17"/>
        <v>-3238</v>
      </c>
      <c r="O99" s="399">
        <f t="shared" si="17"/>
        <v>-3238</v>
      </c>
      <c r="P99" s="399">
        <f t="shared" si="17"/>
        <v>-3238</v>
      </c>
    </row>
    <row r="100" spans="2:16" x14ac:dyDescent="0.25">
      <c r="B100" s="1"/>
      <c r="C100" s="13" t="s">
        <v>147</v>
      </c>
      <c r="D100" s="14" t="s">
        <v>3</v>
      </c>
      <c r="E100" s="391">
        <f>Buyer!E188</f>
        <v>1232</v>
      </c>
      <c r="F100" s="391">
        <f>Buyer!F188</f>
        <v>3996</v>
      </c>
      <c r="G100" s="391">
        <f>Buyer!G188</f>
        <v>1849</v>
      </c>
      <c r="H100" s="591">
        <f>Seller!G56</f>
        <v>3564</v>
      </c>
      <c r="I100" s="582">
        <f>SUMIF('Consolidation Adj'!$C$8:$C$26,'Merger-Model'!$C100,'Consolidation Adj'!E$8:E$26)</f>
        <v>3564</v>
      </c>
      <c r="J100" s="582">
        <f>SUMIF('Consolidation Adj'!$C$8:$C$26,'Merger-Model'!$C100,'Consolidation Adj'!F$8:F$26)</f>
        <v>0</v>
      </c>
      <c r="K100" s="541">
        <f t="shared" si="15"/>
        <v>1849</v>
      </c>
      <c r="L100" s="399">
        <f t="shared" si="17"/>
        <v>1849</v>
      </c>
      <c r="M100" s="399">
        <f t="shared" si="17"/>
        <v>1849</v>
      </c>
      <c r="N100" s="399">
        <f t="shared" si="17"/>
        <v>1849</v>
      </c>
      <c r="O100" s="399">
        <f t="shared" si="17"/>
        <v>1849</v>
      </c>
      <c r="P100" s="399">
        <f t="shared" si="17"/>
        <v>1849</v>
      </c>
    </row>
    <row r="101" spans="2:16" x14ac:dyDescent="0.25">
      <c r="B101" s="1"/>
      <c r="C101" s="13" t="s">
        <v>148</v>
      </c>
      <c r="D101" s="14" t="s">
        <v>3</v>
      </c>
      <c r="E101" s="391">
        <f>Buyer!E189</f>
        <v>36785</v>
      </c>
      <c r="F101" s="391">
        <f>Buyer!F189</f>
        <v>66880</v>
      </c>
      <c r="G101" s="391">
        <f>Buyer!G189</f>
        <v>99540</v>
      </c>
      <c r="H101" s="591">
        <f>Seller!G57</f>
        <v>83353</v>
      </c>
      <c r="I101" s="582">
        <f>SUMIF('Consolidation Adj'!$C$8:$C$26,'Merger-Model'!$C101,'Consolidation Adj'!E$8:E$26)</f>
        <v>84173.196835319337</v>
      </c>
      <c r="J101" s="582">
        <f>SUMIF('Consolidation Adj'!$C$8:$C$26,'Merger-Model'!$C101,'Consolidation Adj'!F$8:F$26)</f>
        <v>164.0393670638685</v>
      </c>
      <c r="K101" s="541">
        <f t="shared" si="15"/>
        <v>98883.842531744536</v>
      </c>
      <c r="L101" s="399">
        <f ca="1">K101+L182-L238</f>
        <v>111426.88286968553</v>
      </c>
      <c r="M101" s="399">
        <f ca="1">L101+M182-M238</f>
        <v>139303.80774098606</v>
      </c>
      <c r="N101" s="399">
        <f ca="1">M101+N182-N238</f>
        <v>169698.40612210758</v>
      </c>
      <c r="O101" s="399">
        <f ca="1">N101+O182-O238</f>
        <v>204280.88235293835</v>
      </c>
      <c r="P101" s="399">
        <f ca="1">O101+P182-P238</f>
        <v>242242.40715469181</v>
      </c>
    </row>
    <row r="102" spans="2:16" x14ac:dyDescent="0.25">
      <c r="B102" s="1"/>
      <c r="C102" s="13" t="s">
        <v>596</v>
      </c>
      <c r="D102" s="14" t="s">
        <v>3</v>
      </c>
      <c r="E102" s="391"/>
      <c r="F102" s="391"/>
      <c r="G102" s="566"/>
      <c r="H102" s="591">
        <f>Seller!G58</f>
        <v>22162</v>
      </c>
      <c r="I102" s="582">
        <f>SUMIF('Consolidation Adj'!$C$8:$C$26,'Merger-Model'!$C102,'Consolidation Adj'!E$8:E$26)</f>
        <v>22162</v>
      </c>
      <c r="J102" s="582">
        <f>SUMIF('Consolidation Adj'!$C$8:$C$26,'Merger-Model'!$C102,'Consolidation Adj'!F$8:F$26)</f>
        <v>0</v>
      </c>
      <c r="K102" s="541">
        <f t="shared" si="15"/>
        <v>0</v>
      </c>
      <c r="L102" s="399">
        <f t="shared" si="17"/>
        <v>0</v>
      </c>
      <c r="M102" s="399">
        <f t="shared" si="17"/>
        <v>0</v>
      </c>
      <c r="N102" s="399">
        <f t="shared" si="17"/>
        <v>0</v>
      </c>
      <c r="O102" s="399">
        <f t="shared" si="17"/>
        <v>0</v>
      </c>
      <c r="P102" s="399">
        <f t="shared" si="17"/>
        <v>0</v>
      </c>
    </row>
    <row r="103" spans="2:16" x14ac:dyDescent="0.25">
      <c r="B103" s="1"/>
      <c r="C103" s="13" t="s">
        <v>149</v>
      </c>
      <c r="D103" s="16" t="s">
        <v>3</v>
      </c>
      <c r="E103" s="446">
        <f>Buyer!E190</f>
        <v>-1144</v>
      </c>
      <c r="F103" s="446">
        <f>Buyer!F190</f>
        <v>1039</v>
      </c>
      <c r="G103" s="446">
        <f>Buyer!G190</f>
        <v>1548</v>
      </c>
      <c r="H103" s="592"/>
      <c r="I103" s="590">
        <f>SUMIF('Consolidation Adj'!$C$8:$C$26,'Merger-Model'!$C103,'Consolidation Adj'!E$8:E$26)</f>
        <v>0</v>
      </c>
      <c r="J103" s="590">
        <f>SUMIF('Consolidation Adj'!$C$8:$C$26,'Merger-Model'!$C103,'Consolidation Adj'!F$8:F$26)</f>
        <v>0</v>
      </c>
      <c r="K103" s="552">
        <f t="shared" si="15"/>
        <v>1548</v>
      </c>
      <c r="L103" s="563">
        <f t="shared" si="17"/>
        <v>1548</v>
      </c>
      <c r="M103" s="563">
        <f t="shared" si="17"/>
        <v>1548</v>
      </c>
      <c r="N103" s="563">
        <f t="shared" si="17"/>
        <v>1548</v>
      </c>
      <c r="O103" s="563">
        <f t="shared" si="17"/>
        <v>1548</v>
      </c>
      <c r="P103" s="563">
        <f t="shared" si="17"/>
        <v>1548</v>
      </c>
    </row>
    <row r="104" spans="2:16" x14ac:dyDescent="0.25">
      <c r="B104" s="1"/>
      <c r="C104" s="83" t="s">
        <v>150</v>
      </c>
      <c r="D104" s="14" t="s">
        <v>3</v>
      </c>
      <c r="E104" s="163">
        <f>SUM(E98:E103)</f>
        <v>42014</v>
      </c>
      <c r="F104" s="163">
        <f t="shared" ref="F104:H104" si="18">SUM(F98:F103)</f>
        <v>95979</v>
      </c>
      <c r="G104" s="311">
        <f t="shared" si="18"/>
        <v>126927</v>
      </c>
      <c r="H104" s="500">
        <f t="shared" si="18"/>
        <v>186375</v>
      </c>
      <c r="I104" s="546"/>
      <c r="J104" s="546"/>
      <c r="K104" s="638">
        <f t="shared" ref="K104:P104" ca="1" si="19">SUM(K98:K103)</f>
        <v>192828.90496580774</v>
      </c>
      <c r="L104" s="535">
        <f t="shared" ca="1" si="19"/>
        <v>205371.94530374874</v>
      </c>
      <c r="M104" s="399">
        <f t="shared" ca="1" si="19"/>
        <v>233248.87017504926</v>
      </c>
      <c r="N104" s="399">
        <f t="shared" ca="1" si="19"/>
        <v>263643.46855617082</v>
      </c>
      <c r="O104" s="399">
        <f t="shared" ca="1" si="19"/>
        <v>298225.94478700159</v>
      </c>
      <c r="P104" s="399">
        <f t="shared" ca="1" si="19"/>
        <v>336187.46958875505</v>
      </c>
    </row>
    <row r="105" spans="2:16" x14ac:dyDescent="0.25">
      <c r="B105" s="1"/>
      <c r="C105" s="13" t="s">
        <v>151</v>
      </c>
      <c r="D105" s="16" t="s">
        <v>3</v>
      </c>
      <c r="E105" s="446">
        <f>Buyer!E192</f>
        <v>236</v>
      </c>
      <c r="F105" s="446">
        <f>Buyer!F192</f>
        <v>103</v>
      </c>
      <c r="G105" s="446">
        <f>Buyer!G192</f>
        <v>89</v>
      </c>
      <c r="H105" s="592"/>
      <c r="I105" s="590">
        <f>SUMIF('Consolidation Adj'!$C$8:$C$26,'Merger-Model'!$C105,'Consolidation Adj'!E$8:E$26)</f>
        <v>0</v>
      </c>
      <c r="J105" s="590">
        <f>SUMIF('Consolidation Adj'!$C$8:$C$26,'Merger-Model'!$C105,'Consolidation Adj'!F$8:F$26)</f>
        <v>32313.960000000003</v>
      </c>
      <c r="K105" s="552">
        <f>G105+H105+I105+J105</f>
        <v>32402.960000000003</v>
      </c>
      <c r="L105" s="615">
        <f ca="1">K105-L181-L237</f>
        <v>32814.910440394226</v>
      </c>
      <c r="M105" s="499">
        <f ca="1">L105-M181-M237</f>
        <v>33572.91413740733</v>
      </c>
      <c r="N105" s="499">
        <f ca="1">M105-N181-N237</f>
        <v>34452.566376367628</v>
      </c>
      <c r="O105" s="499">
        <f ca="1">N105-O181-O237</f>
        <v>35437.197404799997</v>
      </c>
      <c r="P105" s="499">
        <f ca="1">O105-P181-P237</f>
        <v>36536.757265721651</v>
      </c>
    </row>
    <row r="106" spans="2:16" x14ac:dyDescent="0.25">
      <c r="B106" s="1"/>
      <c r="C106" s="83" t="s">
        <v>152</v>
      </c>
      <c r="D106" s="14" t="s">
        <v>3</v>
      </c>
      <c r="E106" s="163">
        <f>SUM(E104:E105)</f>
        <v>42250</v>
      </c>
      <c r="F106" s="163">
        <f t="shared" ref="F106:G106" si="20">SUM(F104:F105)</f>
        <v>96082</v>
      </c>
      <c r="G106" s="163">
        <f t="shared" si="20"/>
        <v>127016</v>
      </c>
      <c r="H106" s="422"/>
      <c r="I106" s="312"/>
      <c r="J106" s="312"/>
      <c r="K106" s="545">
        <f t="shared" ref="K106:P106" ca="1" si="21">SUM(K104:K105)</f>
        <v>225231.86496580773</v>
      </c>
      <c r="L106" s="399">
        <f t="shared" ca="1" si="21"/>
        <v>238186.85574414296</v>
      </c>
      <c r="M106" s="399">
        <f t="shared" ca="1" si="21"/>
        <v>266821.78431245661</v>
      </c>
      <c r="N106" s="399">
        <f t="shared" ca="1" si="21"/>
        <v>298096.03493253846</v>
      </c>
      <c r="O106" s="399">
        <f t="shared" ca="1" si="21"/>
        <v>333663.14219180157</v>
      </c>
      <c r="P106" s="399">
        <f t="shared" ca="1" si="21"/>
        <v>372724.22685447673</v>
      </c>
    </row>
    <row r="107" spans="2:16" x14ac:dyDescent="0.25">
      <c r="B107" s="1"/>
      <c r="C107" s="56"/>
      <c r="D107" s="16"/>
      <c r="E107" s="499"/>
      <c r="F107" s="499"/>
      <c r="G107" s="499"/>
      <c r="H107" s="553"/>
      <c r="I107" s="551"/>
      <c r="J107" s="551"/>
      <c r="K107" s="552"/>
      <c r="L107" s="551"/>
      <c r="M107" s="551"/>
      <c r="N107" s="551"/>
      <c r="O107" s="551"/>
      <c r="P107" s="551"/>
    </row>
    <row r="108" spans="2:16" x14ac:dyDescent="0.25">
      <c r="B108" s="1"/>
      <c r="C108" s="1" t="s">
        <v>153</v>
      </c>
      <c r="D108" s="14" t="s">
        <v>3</v>
      </c>
      <c r="E108" s="163">
        <f>E106+E95</f>
        <v>375499</v>
      </c>
      <c r="F108" s="163">
        <f t="shared" ref="F108" si="22">F106+F95</f>
        <v>580025</v>
      </c>
      <c r="G108" s="163">
        <f t="shared" ref="G108:J108" si="23">G106+G95</f>
        <v>859294</v>
      </c>
      <c r="H108" s="497">
        <f t="shared" si="23"/>
        <v>1120289</v>
      </c>
      <c r="I108" s="540">
        <f t="shared" si="23"/>
        <v>0</v>
      </c>
      <c r="J108" s="540">
        <f t="shared" si="23"/>
        <v>0</v>
      </c>
      <c r="K108" s="545">
        <f t="shared" ref="K108:P108" ca="1" si="24">K106+K95</f>
        <v>2105499.1116139805</v>
      </c>
      <c r="L108" s="248">
        <f t="shared" ca="1" si="24"/>
        <v>2333314.067473487</v>
      </c>
      <c r="M108" s="248">
        <f t="shared" ca="1" si="24"/>
        <v>2562867.7481956296</v>
      </c>
      <c r="N108" s="248">
        <f t="shared" ca="1" si="24"/>
        <v>2810784.1321938266</v>
      </c>
      <c r="O108" s="248">
        <f t="shared" ca="1" si="24"/>
        <v>3076589.6742852898</v>
      </c>
      <c r="P108" s="248">
        <f t="shared" ca="1" si="24"/>
        <v>3347482.0794342821</v>
      </c>
    </row>
    <row r="109" spans="2:16" x14ac:dyDescent="0.25">
      <c r="B109" s="1"/>
      <c r="C109"/>
      <c r="E109" s="248"/>
      <c r="F109" s="248"/>
      <c r="G109" s="248"/>
      <c r="H109" s="422"/>
      <c r="I109" s="312"/>
      <c r="J109" s="312"/>
      <c r="K109" s="541"/>
    </row>
    <row r="110" spans="2:16" x14ac:dyDescent="0.25">
      <c r="B110" s="1"/>
      <c r="C110" s="1" t="s">
        <v>154</v>
      </c>
      <c r="D110" s="14" t="s">
        <v>3</v>
      </c>
      <c r="E110" s="106">
        <f>+E85-E108</f>
        <v>0</v>
      </c>
      <c r="F110" s="106">
        <f t="shared" ref="F110:G110" si="25">+F85-F108</f>
        <v>0</v>
      </c>
      <c r="G110" s="106">
        <f t="shared" si="25"/>
        <v>0</v>
      </c>
      <c r="H110" s="554"/>
      <c r="I110" s="309"/>
      <c r="J110" s="309"/>
      <c r="K110" s="555">
        <f t="shared" ref="K110:P110" ca="1" si="26">+K85-K108</f>
        <v>0</v>
      </c>
      <c r="L110" s="556">
        <f t="shared" ca="1" si="26"/>
        <v>0</v>
      </c>
      <c r="M110" s="556">
        <f t="shared" ca="1" si="26"/>
        <v>0</v>
      </c>
      <c r="N110" s="556">
        <f t="shared" ca="1" si="26"/>
        <v>0</v>
      </c>
      <c r="O110" s="556">
        <f t="shared" ca="1" si="26"/>
        <v>0</v>
      </c>
      <c r="P110" s="556">
        <f t="shared" ca="1" si="26"/>
        <v>0</v>
      </c>
    </row>
    <row r="111" spans="2:16" x14ac:dyDescent="0.25">
      <c r="B111" s="1"/>
      <c r="C111" s="1"/>
      <c r="E111" s="248"/>
      <c r="F111" s="248"/>
      <c r="G111" s="540"/>
      <c r="H111" s="312"/>
      <c r="I111" s="312"/>
      <c r="J111" s="312"/>
      <c r="K111" s="558"/>
      <c r="L111" s="312"/>
    </row>
    <row r="113" spans="2:16" outlineLevel="1" x14ac:dyDescent="0.25">
      <c r="B113" s="224"/>
      <c r="C113" s="224"/>
      <c r="D113" s="224"/>
      <c r="E113" s="225" t="s">
        <v>55</v>
      </c>
      <c r="F113" s="225"/>
      <c r="G113" s="226"/>
      <c r="H113" s="225" t="s">
        <v>543</v>
      </c>
      <c r="I113" s="225"/>
      <c r="J113" s="225"/>
      <c r="K113" s="226" t="s">
        <v>544</v>
      </c>
      <c r="L113" s="225" t="s">
        <v>0</v>
      </c>
      <c r="M113" s="225"/>
      <c r="N113" s="226"/>
      <c r="O113" s="226"/>
      <c r="P113" s="226"/>
    </row>
    <row r="114" spans="2:16" outlineLevel="1" x14ac:dyDescent="0.25">
      <c r="B114" s="227" t="s">
        <v>548</v>
      </c>
      <c r="C114" s="227"/>
      <c r="D114" s="7" t="s">
        <v>1</v>
      </c>
      <c r="E114" s="8">
        <f t="shared" ref="E114:P114" si="27">E68</f>
        <v>43465</v>
      </c>
      <c r="F114" s="228">
        <f t="shared" si="27"/>
        <v>43830</v>
      </c>
      <c r="G114" s="229">
        <f t="shared" si="27"/>
        <v>44196</v>
      </c>
      <c r="H114" s="228" t="str">
        <f t="shared" si="27"/>
        <v>Seller:</v>
      </c>
      <c r="I114" s="228" t="str">
        <f t="shared" si="27"/>
        <v>Debit:</v>
      </c>
      <c r="J114" s="228" t="str">
        <f t="shared" si="27"/>
        <v>Credit:</v>
      </c>
      <c r="K114" s="229">
        <f t="shared" si="27"/>
        <v>44196</v>
      </c>
      <c r="L114" s="228">
        <f t="shared" si="27"/>
        <v>44561</v>
      </c>
      <c r="M114" s="228">
        <f t="shared" si="27"/>
        <v>44926</v>
      </c>
      <c r="N114" s="229">
        <f t="shared" si="27"/>
        <v>45291</v>
      </c>
      <c r="O114" s="229">
        <f t="shared" si="27"/>
        <v>45657</v>
      </c>
      <c r="P114" s="229">
        <f t="shared" si="27"/>
        <v>46022</v>
      </c>
    </row>
    <row r="115" spans="2:16" outlineLevel="1" x14ac:dyDescent="0.25">
      <c r="H115" s="420"/>
      <c r="I115" s="302"/>
      <c r="J115" s="302"/>
      <c r="K115" s="443"/>
    </row>
    <row r="116" spans="2:16" outlineLevel="1" x14ac:dyDescent="0.25">
      <c r="C116" s="232" t="s">
        <v>617</v>
      </c>
      <c r="D116" s="14" t="s">
        <v>3</v>
      </c>
      <c r="H116" s="444"/>
      <c r="I116" s="242"/>
      <c r="J116" s="242"/>
      <c r="K116" s="438"/>
      <c r="L116" s="119">
        <f t="shared" ref="L116:P116" ca="1" si="28">SUM(L70:L71,L75:L84,K72)</f>
        <v>2333314.067473487</v>
      </c>
      <c r="M116" s="119">
        <f t="shared" ca="1" si="28"/>
        <v>2502815.3342082342</v>
      </c>
      <c r="N116" s="119">
        <f t="shared" ca="1" si="28"/>
        <v>2754237.6604732415</v>
      </c>
      <c r="O116" s="119">
        <f t="shared" ca="1" si="28"/>
        <v>3076589.6742852898</v>
      </c>
      <c r="P116" s="119">
        <f t="shared" ca="1" si="28"/>
        <v>3347482.0794342826</v>
      </c>
    </row>
    <row r="117" spans="2:16" outlineLevel="1" x14ac:dyDescent="0.25">
      <c r="C117" s="232" t="s">
        <v>616</v>
      </c>
      <c r="D117" s="14" t="s">
        <v>3</v>
      </c>
      <c r="F117" s="123"/>
      <c r="G117" s="123"/>
      <c r="H117" s="445"/>
      <c r="I117" s="119"/>
      <c r="J117" s="119"/>
      <c r="K117" s="438"/>
      <c r="L117" s="119">
        <f t="shared" ref="L117:P117" ca="1" si="29">SUM(L88,L90:L94,L98:L103,L105,K89)</f>
        <v>2327365.2703575972</v>
      </c>
      <c r="M117" s="119">
        <f t="shared" ca="1" si="29"/>
        <v>2562867.7481956291</v>
      </c>
      <c r="N117" s="119">
        <f t="shared" ca="1" si="29"/>
        <v>2810784.1321938266</v>
      </c>
      <c r="O117" s="119">
        <f t="shared" ca="1" si="29"/>
        <v>3053447.5398359848</v>
      </c>
      <c r="P117" s="119">
        <f t="shared" ca="1" si="29"/>
        <v>3326883.2359829131</v>
      </c>
    </row>
    <row r="118" spans="2:16" outlineLevel="1" x14ac:dyDescent="0.25">
      <c r="C118" s="232" t="s">
        <v>618</v>
      </c>
      <c r="D118" s="14" t="s">
        <v>3</v>
      </c>
      <c r="H118" s="445"/>
      <c r="I118" s="119"/>
      <c r="J118" s="119"/>
      <c r="K118" s="438"/>
      <c r="L118" s="119">
        <f ca="1">MAX(L117-L116,0)</f>
        <v>0</v>
      </c>
      <c r="M118" s="119">
        <f t="shared" ref="M118:N118" ca="1" si="30">MAX(M117-M116,0)</f>
        <v>60052.413987394888</v>
      </c>
      <c r="N118" s="119">
        <f t="shared" ca="1" si="30"/>
        <v>56546.471720585134</v>
      </c>
      <c r="O118" s="119">
        <f t="shared" ref="O118:P118" ca="1" si="31">MAX(O117-O116,0)</f>
        <v>0</v>
      </c>
      <c r="P118" s="119">
        <f t="shared" ca="1" si="31"/>
        <v>0</v>
      </c>
    </row>
    <row r="119" spans="2:16" outlineLevel="1" x14ac:dyDescent="0.25">
      <c r="C119" s="232" t="s">
        <v>627</v>
      </c>
      <c r="D119" s="14" t="s">
        <v>3</v>
      </c>
      <c r="F119" s="243"/>
      <c r="G119" s="243"/>
      <c r="H119" s="445"/>
      <c r="I119" s="119"/>
      <c r="J119" s="119"/>
      <c r="K119" s="438"/>
      <c r="L119" s="119">
        <f ca="1">MAX(L116-L117,0)</f>
        <v>5948.7971158898436</v>
      </c>
      <c r="M119" s="119">
        <f t="shared" ref="M119:N119" ca="1" si="32">MAX(M116-M117,0)</f>
        <v>0</v>
      </c>
      <c r="N119" s="119">
        <f t="shared" ca="1" si="32"/>
        <v>0</v>
      </c>
      <c r="O119" s="119">
        <f t="shared" ref="O119:P119" ca="1" si="33">MAX(O116-O117,0)</f>
        <v>23142.134449305013</v>
      </c>
      <c r="P119" s="119">
        <f t="shared" ca="1" si="33"/>
        <v>20598.843451369554</v>
      </c>
    </row>
    <row r="120" spans="2:16" outlineLevel="1" x14ac:dyDescent="0.25">
      <c r="H120" s="422"/>
      <c r="K120" s="438"/>
    </row>
    <row r="121" spans="2:16" outlineLevel="1" x14ac:dyDescent="0.25">
      <c r="C121" s="232" t="s">
        <v>621</v>
      </c>
      <c r="D121" s="14" t="s">
        <v>3</v>
      </c>
      <c r="H121" s="422"/>
      <c r="K121" s="438"/>
      <c r="L121" s="391">
        <f ca="1">Buyer!H163</f>
        <v>78523</v>
      </c>
      <c r="M121" s="391">
        <f ca="1">Buyer!I163</f>
        <v>142038.77368970425</v>
      </c>
      <c r="N121" s="391">
        <f ca="1">Buyer!J163</f>
        <v>201786.58813418425</v>
      </c>
      <c r="O121" s="391">
        <f ca="1">Buyer!K163</f>
        <v>201786.58813418425</v>
      </c>
      <c r="P121" s="391">
        <f ca="1">Buyer!L163</f>
        <v>201786.58813418425</v>
      </c>
    </row>
    <row r="122" spans="2:16" outlineLevel="1" x14ac:dyDescent="0.25">
      <c r="C122" s="232" t="s">
        <v>622</v>
      </c>
      <c r="D122" s="16" t="s">
        <v>3</v>
      </c>
      <c r="H122" s="422"/>
      <c r="K122" s="438"/>
      <c r="L122" s="446">
        <f ca="1">Seller!H31</f>
        <v>155592</v>
      </c>
      <c r="M122" s="446">
        <f ca="1">Seller!I31</f>
        <v>161565.56166249863</v>
      </c>
      <c r="N122" s="446">
        <f ca="1">Seller!J31</f>
        <v>167769.15285673947</v>
      </c>
      <c r="O122" s="446">
        <f ca="1">Seller!K31</f>
        <v>174215.08617145126</v>
      </c>
      <c r="P122" s="446">
        <f ca="1">Seller!L31</f>
        <v>180916.21647456614</v>
      </c>
    </row>
    <row r="123" spans="2:16" outlineLevel="1" x14ac:dyDescent="0.25">
      <c r="C123" s="83" t="s">
        <v>623</v>
      </c>
      <c r="D123" s="14" t="s">
        <v>3</v>
      </c>
      <c r="E123" s="302"/>
      <c r="F123" s="302"/>
      <c r="G123" s="302"/>
      <c r="H123" s="420"/>
      <c r="I123" s="302"/>
      <c r="J123" s="302"/>
      <c r="K123" s="618">
        <f>K72</f>
        <v>234115</v>
      </c>
      <c r="L123" s="245">
        <f ca="1">SUM(L121:L122)</f>
        <v>234115</v>
      </c>
      <c r="M123" s="245">
        <f t="shared" ref="M123:N123" ca="1" si="34">SUM(M121:M122)</f>
        <v>303604.33535220288</v>
      </c>
      <c r="N123" s="245">
        <f t="shared" ca="1" si="34"/>
        <v>369555.74099092372</v>
      </c>
      <c r="O123" s="245">
        <f t="shared" ref="O123:P123" ca="1" si="35">SUM(O121:O122)</f>
        <v>376001.6743056355</v>
      </c>
      <c r="P123" s="245">
        <f t="shared" ca="1" si="35"/>
        <v>382702.80460875039</v>
      </c>
    </row>
    <row r="124" spans="2:16" outlineLevel="1" x14ac:dyDescent="0.25">
      <c r="C124" s="309"/>
      <c r="D124" s="14"/>
      <c r="E124" s="312"/>
      <c r="F124" s="312"/>
      <c r="G124" s="312"/>
      <c r="H124" s="422"/>
      <c r="I124" s="312"/>
      <c r="J124" s="312"/>
      <c r="K124" s="438"/>
      <c r="L124" s="311"/>
      <c r="M124" s="311"/>
      <c r="N124" s="311"/>
      <c r="O124" s="311"/>
      <c r="P124" s="311"/>
    </row>
    <row r="125" spans="2:16" outlineLevel="1" x14ac:dyDescent="0.25">
      <c r="C125" s="232" t="s">
        <v>624</v>
      </c>
      <c r="D125" s="14" t="s">
        <v>3</v>
      </c>
      <c r="H125" s="422"/>
      <c r="K125" s="438"/>
      <c r="L125" s="391">
        <f ca="1">Buyer!H178</f>
        <v>30844.081303574611</v>
      </c>
      <c r="M125" s="391">
        <f ca="1">Buyer!I178</f>
        <v>30844.081303574611</v>
      </c>
      <c r="N125" s="391">
        <f ca="1">Buyer!J178</f>
        <v>30844.081303574611</v>
      </c>
      <c r="O125" s="391">
        <f ca="1">Buyer!K178</f>
        <v>51127.412750455085</v>
      </c>
      <c r="P125" s="391">
        <f ca="1">Buyer!L178</f>
        <v>69157.860490894644</v>
      </c>
    </row>
    <row r="126" spans="2:16" outlineLevel="1" x14ac:dyDescent="0.25">
      <c r="C126" s="232" t="s">
        <v>625</v>
      </c>
      <c r="D126" s="16" t="s">
        <v>3</v>
      </c>
      <c r="H126" s="422"/>
      <c r="K126" s="438"/>
      <c r="L126" s="446">
        <f ca="1">Seller!H46</f>
        <v>106525.71973313182</v>
      </c>
      <c r="M126" s="446">
        <f ca="1">Seller!I46</f>
        <v>106525.71973313182</v>
      </c>
      <c r="N126" s="446">
        <f ca="1">Seller!J46</f>
        <v>106525.71973313182</v>
      </c>
      <c r="O126" s="446">
        <f ca="1">Seller!K46</f>
        <v>106525.71973313182</v>
      </c>
      <c r="P126" s="446">
        <f ca="1">Seller!L46</f>
        <v>106525.71973313182</v>
      </c>
    </row>
    <row r="127" spans="2:16" outlineLevel="1" x14ac:dyDescent="0.25">
      <c r="C127" s="83" t="s">
        <v>626</v>
      </c>
      <c r="D127" s="14" t="s">
        <v>3</v>
      </c>
      <c r="E127" s="302"/>
      <c r="F127" s="302"/>
      <c r="G127" s="302"/>
      <c r="H127" s="420"/>
      <c r="I127" s="302"/>
      <c r="J127" s="302"/>
      <c r="K127" s="618">
        <f>K89</f>
        <v>49529</v>
      </c>
      <c r="L127" s="245">
        <f ca="1">SUM(L125:L126)</f>
        <v>137369.80103670643</v>
      </c>
      <c r="M127" s="245">
        <f t="shared" ref="M127:P127" ca="1" si="36">SUM(M125:M126)</f>
        <v>137369.80103670643</v>
      </c>
      <c r="N127" s="245">
        <f t="shared" ca="1" si="36"/>
        <v>137369.80103670643</v>
      </c>
      <c r="O127" s="245">
        <f t="shared" ca="1" si="36"/>
        <v>157653.1324835869</v>
      </c>
      <c r="P127" s="245">
        <f t="shared" ca="1" si="36"/>
        <v>175683.58022402646</v>
      </c>
    </row>
    <row r="128" spans="2:16" outlineLevel="1" x14ac:dyDescent="0.25">
      <c r="C128" s="309"/>
      <c r="D128" s="14"/>
      <c r="E128" s="312"/>
      <c r="F128" s="312"/>
      <c r="G128" s="312"/>
      <c r="H128" s="422"/>
      <c r="I128" s="312"/>
      <c r="J128" s="312"/>
      <c r="K128" s="541"/>
      <c r="L128" s="311"/>
      <c r="M128" s="311"/>
      <c r="N128" s="311"/>
      <c r="O128" s="311"/>
      <c r="P128" s="311"/>
    </row>
    <row r="129" spans="2:16" outlineLevel="1" x14ac:dyDescent="0.25">
      <c r="C129" s="312" t="s">
        <v>629</v>
      </c>
      <c r="D129" s="14" t="s">
        <v>3</v>
      </c>
      <c r="E129" s="312"/>
      <c r="F129" s="312"/>
      <c r="G129" s="312"/>
      <c r="H129" s="422"/>
      <c r="I129" s="312"/>
      <c r="J129" s="312"/>
      <c r="K129" s="541">
        <v>0</v>
      </c>
      <c r="L129" s="311">
        <f t="shared" ref="L129:P129" ca="1" si="37">L72-L123</f>
        <v>0</v>
      </c>
      <c r="M129" s="311">
        <f t="shared" ca="1" si="37"/>
        <v>-9436.9213648079894</v>
      </c>
      <c r="N129" s="311">
        <f t="shared" ca="1" si="37"/>
        <v>-18841.855282943696</v>
      </c>
      <c r="O129" s="311">
        <f t="shared" ca="1" si="37"/>
        <v>-25287.788597655483</v>
      </c>
      <c r="P129" s="311">
        <f t="shared" ca="1" si="37"/>
        <v>-31988.918900770368</v>
      </c>
    </row>
    <row r="130" spans="2:16" outlineLevel="1" x14ac:dyDescent="0.25">
      <c r="C130" s="312" t="s">
        <v>630</v>
      </c>
      <c r="D130" s="14" t="s">
        <v>3</v>
      </c>
      <c r="E130" s="312"/>
      <c r="F130" s="312"/>
      <c r="G130" s="312"/>
      <c r="H130" s="422"/>
      <c r="I130" s="312"/>
      <c r="J130" s="312"/>
      <c r="K130" s="541">
        <v>0</v>
      </c>
      <c r="L130" s="311">
        <f ca="1">L89-L127</f>
        <v>-81892.003920816584</v>
      </c>
      <c r="M130" s="311">
        <f t="shared" ref="M130:P130" ca="1" si="38">M89-M127</f>
        <v>-81892.003920816584</v>
      </c>
      <c r="N130" s="311">
        <f t="shared" ca="1" si="38"/>
        <v>-81892.003920816584</v>
      </c>
      <c r="O130" s="311">
        <f t="shared" ca="1" si="38"/>
        <v>-79033.200918392045</v>
      </c>
      <c r="P130" s="311">
        <f t="shared" ca="1" si="38"/>
        <v>-76464.805207462516</v>
      </c>
    </row>
    <row r="131" spans="2:16" outlineLevel="1" x14ac:dyDescent="0.25">
      <c r="H131" s="422"/>
      <c r="K131" s="438"/>
    </row>
    <row r="132" spans="2:16" outlineLevel="1" x14ac:dyDescent="0.25">
      <c r="C132" s="223" t="s">
        <v>619</v>
      </c>
      <c r="D132" s="14" t="s">
        <v>11</v>
      </c>
      <c r="H132" s="422"/>
      <c r="K132" s="438"/>
      <c r="L132" s="26">
        <f>Buyer!H78</f>
        <v>1.1016938932316769E-2</v>
      </c>
      <c r="M132" s="26">
        <f>Buyer!I78</f>
        <v>3.1516938932316767E-2</v>
      </c>
      <c r="N132" s="26">
        <f>Buyer!J78</f>
        <v>1.5859314209806193E-2</v>
      </c>
      <c r="O132" s="26">
        <f>Buyer!K78</f>
        <v>9.2977306914799121E-3</v>
      </c>
      <c r="P132" s="26">
        <f>Buyer!L78</f>
        <v>9.5579946112009651E-3</v>
      </c>
    </row>
    <row r="133" spans="2:16" outlineLevel="1" x14ac:dyDescent="0.25">
      <c r="C133" s="223" t="s">
        <v>620</v>
      </c>
      <c r="D133" s="14" t="s">
        <v>11</v>
      </c>
      <c r="H133" s="422"/>
      <c r="K133" s="438"/>
      <c r="L133" s="26">
        <f>Buyer!H110</f>
        <v>1.1016938932316769E-2</v>
      </c>
      <c r="M133" s="26">
        <f>Buyer!I110</f>
        <v>3.1516938932316767E-2</v>
      </c>
      <c r="N133" s="26">
        <f>Buyer!J110</f>
        <v>1.5859314209806193E-2</v>
      </c>
      <c r="O133" s="26">
        <f>Buyer!K110</f>
        <v>9.2977306914799121E-3</v>
      </c>
      <c r="P133" s="26">
        <f>Buyer!L110</f>
        <v>9.5579946112009651E-3</v>
      </c>
    </row>
    <row r="134" spans="2:16" outlineLevel="1" x14ac:dyDescent="0.25">
      <c r="H134" s="422"/>
      <c r="K134" s="438"/>
    </row>
    <row r="135" spans="2:16" outlineLevel="1" x14ac:dyDescent="0.25">
      <c r="C135" s="223" t="s">
        <v>628</v>
      </c>
      <c r="D135" s="14" t="s">
        <v>3</v>
      </c>
      <c r="H135" s="422"/>
      <c r="K135" s="438"/>
      <c r="L135" s="248">
        <f t="shared" ref="L135:P135" ca="1" si="39">AVERAGE(K129:L129)*L132-AVERAGE(K130:L130)*L133</f>
        <v>451.09960312034087</v>
      </c>
      <c r="M135" s="248">
        <f t="shared" ca="1" si="39"/>
        <v>2432.2738494355572</v>
      </c>
      <c r="N135" s="248">
        <f t="shared" ca="1" si="39"/>
        <v>1074.5100192880991</v>
      </c>
      <c r="O135" s="248">
        <f t="shared" ca="1" si="39"/>
        <v>542.96683587673806</v>
      </c>
      <c r="P135" s="248">
        <f t="shared" ca="1" si="39"/>
        <v>469.39932149306225</v>
      </c>
    </row>
    <row r="137" spans="2:16" x14ac:dyDescent="0.25">
      <c r="B137" s="224"/>
      <c r="C137" s="224"/>
      <c r="D137" s="224"/>
      <c r="E137" s="225" t="str">
        <f>+$E$67</f>
        <v>Historical</v>
      </c>
      <c r="F137" s="225"/>
      <c r="G137" s="226"/>
      <c r="H137" s="225" t="str">
        <f>+$H$67</f>
        <v>Transaction Adjustments</v>
      </c>
      <c r="I137" s="225"/>
      <c r="J137" s="225"/>
      <c r="K137" s="226" t="str">
        <f>+$K$67</f>
        <v>Pro-Forma</v>
      </c>
      <c r="L137" s="225" t="str">
        <f>+$L$67</f>
        <v>Projected</v>
      </c>
      <c r="M137" s="225"/>
      <c r="N137" s="226"/>
      <c r="O137" s="226"/>
      <c r="P137" s="226"/>
    </row>
    <row r="138" spans="2:16" x14ac:dyDescent="0.25">
      <c r="B138" s="227" t="s">
        <v>155</v>
      </c>
      <c r="C138" s="227"/>
      <c r="D138" s="7" t="str">
        <f>+$D$68</f>
        <v>Units:</v>
      </c>
      <c r="E138" s="8">
        <f>+$E$68</f>
        <v>43465</v>
      </c>
      <c r="F138" s="228">
        <f>+$F$68</f>
        <v>43830</v>
      </c>
      <c r="G138" s="229">
        <f>+$G$68</f>
        <v>44196</v>
      </c>
      <c r="H138" s="228" t="str">
        <f>+$H$68</f>
        <v>Seller:</v>
      </c>
      <c r="I138" s="228" t="str">
        <f>+$I$68</f>
        <v>Debit:</v>
      </c>
      <c r="J138" s="228" t="str">
        <f>+$J$68</f>
        <v>Credit:</v>
      </c>
      <c r="K138" s="229">
        <f>+$K$68</f>
        <v>44196</v>
      </c>
      <c r="L138" s="228">
        <f>+$L$68</f>
        <v>44561</v>
      </c>
      <c r="M138" s="228">
        <f>+$M$68</f>
        <v>44926</v>
      </c>
      <c r="N138" s="229">
        <f>+$N$68</f>
        <v>45291</v>
      </c>
      <c r="O138" s="229">
        <f t="shared" ref="O138:P138" si="40">+$N$68</f>
        <v>45291</v>
      </c>
      <c r="P138" s="229">
        <f t="shared" si="40"/>
        <v>45291</v>
      </c>
    </row>
    <row r="139" spans="2:16" x14ac:dyDescent="0.25">
      <c r="C139" s="1" t="s">
        <v>2</v>
      </c>
      <c r="E139" s="246"/>
      <c r="F139" s="246"/>
      <c r="G139" s="246"/>
      <c r="H139" s="447"/>
      <c r="I139" s="448"/>
      <c r="J139" s="448"/>
      <c r="K139" s="449"/>
      <c r="L139" s="246"/>
    </row>
    <row r="140" spans="2:16" x14ac:dyDescent="0.25">
      <c r="C140" s="109" t="s">
        <v>156</v>
      </c>
      <c r="D140" s="14" t="s">
        <v>3</v>
      </c>
      <c r="E140" s="391">
        <f>Buyer!E202</f>
        <v>76725</v>
      </c>
      <c r="F140" s="391">
        <f>Buyer!F202</f>
        <v>111247</v>
      </c>
      <c r="G140" s="391">
        <f>Buyer!G202</f>
        <v>128167</v>
      </c>
      <c r="H140" s="430"/>
      <c r="I140" s="429"/>
      <c r="J140" s="429"/>
      <c r="K140" s="450"/>
      <c r="L140" s="119">
        <f ca="1">Seller!H161+Buyer!H202</f>
        <v>279237.91698497185</v>
      </c>
      <c r="M140" s="119">
        <f ca="1">Seller!I161+Buyer!I202</f>
        <v>352188.86483697628</v>
      </c>
      <c r="N140" s="119">
        <f ca="1">Seller!J161+Buyer!J202</f>
        <v>343238.22912090033</v>
      </c>
      <c r="O140" s="119">
        <f ca="1">Seller!K161+Buyer!K202</f>
        <v>388112.4507953978</v>
      </c>
      <c r="P140" s="119">
        <f ca="1">Seller!L161+Buyer!L202</f>
        <v>454860.67793290201</v>
      </c>
    </row>
    <row r="141" spans="2:16" x14ac:dyDescent="0.25">
      <c r="C141" s="109" t="s">
        <v>157</v>
      </c>
      <c r="D141" s="14" t="s">
        <v>3</v>
      </c>
      <c r="E141" s="391">
        <f>Buyer!E203</f>
        <v>-16733</v>
      </c>
      <c r="F141" s="391">
        <f>Buyer!F203</f>
        <v>-23321</v>
      </c>
      <c r="G141" s="391">
        <f>Buyer!G203</f>
        <v>-23465</v>
      </c>
      <c r="H141" s="431"/>
      <c r="I141" s="391"/>
      <c r="J141" s="391"/>
      <c r="K141" s="451"/>
      <c r="L141" s="119">
        <f ca="1">Seller!H162+Buyer!H203</f>
        <v>-75786.71792994038</v>
      </c>
      <c r="M141" s="119">
        <f ca="1">Seller!I162+Buyer!I203</f>
        <v>-128331.94027556744</v>
      </c>
      <c r="N141" s="119">
        <f ca="1">Seller!J162+Buyer!J203</f>
        <v>-99398.318505395378</v>
      </c>
      <c r="O141" s="119">
        <f ca="1">Seller!K162+Buyer!K203</f>
        <v>-96337.903488850279</v>
      </c>
      <c r="P141" s="119">
        <f ca="1">Seller!L162+Buyer!L203</f>
        <v>-105352.28732221347</v>
      </c>
    </row>
    <row r="142" spans="2:16" x14ac:dyDescent="0.25">
      <c r="C142" s="452" t="s">
        <v>605</v>
      </c>
      <c r="D142" s="423" t="s">
        <v>3</v>
      </c>
      <c r="E142" s="424">
        <v>0</v>
      </c>
      <c r="F142" s="424">
        <v>0</v>
      </c>
      <c r="G142" s="424">
        <v>0</v>
      </c>
      <c r="H142" s="453"/>
      <c r="I142" s="454"/>
      <c r="J142" s="454"/>
      <c r="K142" s="455"/>
      <c r="L142" s="425">
        <f>Marks!E16</f>
        <v>11128.333333333334</v>
      </c>
      <c r="M142" s="425">
        <f>Marks!F16</f>
        <v>11128.333333333334</v>
      </c>
      <c r="N142" s="425">
        <f>Marks!G16</f>
        <v>11128.333333333334</v>
      </c>
      <c r="O142" s="425">
        <f>Marks!H16</f>
        <v>11128.333333333334</v>
      </c>
      <c r="P142" s="425">
        <f>Marks!I16</f>
        <v>11128.333333333334</v>
      </c>
    </row>
    <row r="143" spans="2:16" x14ac:dyDescent="0.25">
      <c r="C143" s="456" t="s">
        <v>606</v>
      </c>
      <c r="D143" s="439" t="s">
        <v>3</v>
      </c>
      <c r="E143" s="440">
        <v>0</v>
      </c>
      <c r="F143" s="440">
        <v>0</v>
      </c>
      <c r="G143" s="440">
        <v>0</v>
      </c>
      <c r="H143" s="457"/>
      <c r="I143" s="458"/>
      <c r="J143" s="458"/>
      <c r="K143" s="459"/>
      <c r="L143" s="441">
        <f>Marks!E15</f>
        <v>1370.95</v>
      </c>
      <c r="M143" s="441">
        <f>Marks!F15</f>
        <v>1370.95</v>
      </c>
      <c r="N143" s="441">
        <f>Marks!G15</f>
        <v>1370.95</v>
      </c>
      <c r="O143" s="441">
        <f>Marks!H15</f>
        <v>1370.95</v>
      </c>
      <c r="P143" s="441">
        <f>Marks!I15</f>
        <v>1370.9499999999998</v>
      </c>
    </row>
    <row r="144" spans="2:16" x14ac:dyDescent="0.25">
      <c r="C144" s="456" t="s">
        <v>607</v>
      </c>
      <c r="D144" s="439" t="s">
        <v>3</v>
      </c>
      <c r="E144" s="440">
        <v>0</v>
      </c>
      <c r="F144" s="440">
        <v>0</v>
      </c>
      <c r="G144" s="440">
        <v>0</v>
      </c>
      <c r="H144" s="457"/>
      <c r="I144" s="458"/>
      <c r="J144" s="458"/>
      <c r="K144" s="459"/>
      <c r="L144" s="441">
        <f ca="1">-K92*Buyer!H112</f>
        <v>-2367.1488483429084</v>
      </c>
      <c r="M144" s="441">
        <f ca="1">-L92*Buyer!I112</f>
        <v>-2460.0101310733266</v>
      </c>
      <c r="N144" s="441">
        <f ca="1">-M92*Buyer!J112</f>
        <v>-2378.47339501735</v>
      </c>
      <c r="O144" s="441">
        <f ca="1">-N92*Buyer!K112</f>
        <v>-2355.8243016684673</v>
      </c>
      <c r="P144" s="441">
        <f ca="1">-O92*Buyer!L112</f>
        <v>-2355.8243016684673</v>
      </c>
    </row>
    <row r="145" spans="3:16" x14ac:dyDescent="0.25">
      <c r="C145" s="460" t="s">
        <v>604</v>
      </c>
      <c r="D145" s="426" t="s">
        <v>3</v>
      </c>
      <c r="E145" s="427">
        <v>0</v>
      </c>
      <c r="F145" s="427">
        <v>0</v>
      </c>
      <c r="G145" s="427">
        <v>0</v>
      </c>
      <c r="H145" s="461"/>
      <c r="I145" s="462"/>
      <c r="J145" s="462"/>
      <c r="K145" s="463"/>
      <c r="L145" s="428">
        <f t="shared" ref="L145:P145" ca="1" si="41">L135</f>
        <v>451.09960312034087</v>
      </c>
      <c r="M145" s="428">
        <f t="shared" ca="1" si="41"/>
        <v>2432.2738494355572</v>
      </c>
      <c r="N145" s="428">
        <f t="shared" ca="1" si="41"/>
        <v>1074.5100192880991</v>
      </c>
      <c r="O145" s="428">
        <f t="shared" ca="1" si="41"/>
        <v>542.96683587673806</v>
      </c>
      <c r="P145" s="428">
        <f t="shared" ca="1" si="41"/>
        <v>469.39932149306225</v>
      </c>
    </row>
    <row r="146" spans="3:16" x14ac:dyDescent="0.25">
      <c r="C146" s="107" t="s">
        <v>158</v>
      </c>
      <c r="D146" s="14" t="s">
        <v>3</v>
      </c>
      <c r="E146" s="235">
        <f>SUM(E140:E145)</f>
        <v>59992</v>
      </c>
      <c r="F146" s="235">
        <f>SUM(F140:F145)</f>
        <v>87926</v>
      </c>
      <c r="G146" s="235">
        <f>SUM(G140:G145)</f>
        <v>104702</v>
      </c>
      <c r="H146" s="464"/>
      <c r="I146" s="235"/>
      <c r="J146" s="235"/>
      <c r="K146" s="433"/>
      <c r="L146" s="235">
        <f ca="1">SUM(L140:L145)</f>
        <v>214034.43314314226</v>
      </c>
      <c r="M146" s="235">
        <f ca="1">SUM(M140:M145)</f>
        <v>236328.47161310443</v>
      </c>
      <c r="N146" s="235">
        <f ca="1">SUM(N140:N145)</f>
        <v>255035.23057310906</v>
      </c>
      <c r="O146" s="235">
        <f ca="1">SUM(O140:O145)</f>
        <v>302460.97317408916</v>
      </c>
      <c r="P146" s="235">
        <f ca="1">SUM(P140:P145)</f>
        <v>360121.24896384648</v>
      </c>
    </row>
    <row r="147" spans="3:16" x14ac:dyDescent="0.25">
      <c r="C147" s="107"/>
      <c r="D147" s="14"/>
      <c r="E147" s="235"/>
      <c r="F147" s="235"/>
      <c r="G147" s="235"/>
      <c r="H147" s="464"/>
      <c r="I147" s="235"/>
      <c r="J147" s="235"/>
      <c r="K147" s="433"/>
      <c r="L147" s="235"/>
      <c r="M147" s="235"/>
      <c r="N147" s="235"/>
      <c r="O147" s="235"/>
      <c r="P147" s="235"/>
    </row>
    <row r="148" spans="3:16" x14ac:dyDescent="0.25">
      <c r="C148" s="38" t="s">
        <v>159</v>
      </c>
      <c r="D148" s="27"/>
      <c r="E148" s="235"/>
      <c r="F148" s="235"/>
      <c r="G148" s="235"/>
      <c r="H148" s="464"/>
      <c r="I148" s="235"/>
      <c r="J148" s="235"/>
      <c r="K148" s="433"/>
      <c r="L148" s="235"/>
      <c r="M148" s="235"/>
      <c r="N148" s="235"/>
      <c r="O148" s="235"/>
      <c r="P148" s="235"/>
    </row>
    <row r="149" spans="3:16" x14ac:dyDescent="0.25">
      <c r="C149" s="13" t="s">
        <v>160</v>
      </c>
      <c r="D149" s="14" t="s">
        <v>3</v>
      </c>
      <c r="E149" s="391">
        <f>Buyer!E207</f>
        <v>27423</v>
      </c>
      <c r="F149" s="391">
        <f>Buyer!F207</f>
        <v>35858</v>
      </c>
      <c r="G149" s="391">
        <f>Buyer!G207</f>
        <v>47609</v>
      </c>
      <c r="H149" s="464"/>
      <c r="I149" s="235"/>
      <c r="J149" s="235"/>
      <c r="K149" s="433"/>
      <c r="L149" s="119">
        <f>Seller!H166+Buyer!H207</f>
        <v>80621.652326157331</v>
      </c>
      <c r="M149" s="119">
        <f>Seller!I166+Buyer!I207</f>
        <v>93231.959675936407</v>
      </c>
      <c r="N149" s="119">
        <f>Seller!J166+Buyer!J207</f>
        <v>104931.8377490171</v>
      </c>
      <c r="O149" s="119">
        <f>Seller!K166+Buyer!K207</f>
        <v>116347.13048050825</v>
      </c>
      <c r="P149" s="119">
        <f>Seller!L166+Buyer!L207</f>
        <v>127895.504741832</v>
      </c>
    </row>
    <row r="150" spans="3:16" x14ac:dyDescent="0.25">
      <c r="C150" s="13" t="s">
        <v>161</v>
      </c>
      <c r="D150" s="16" t="s">
        <v>3</v>
      </c>
      <c r="E150" s="446">
        <f>Buyer!E208</f>
        <v>-11770</v>
      </c>
      <c r="F150" s="446">
        <f>Buyer!F208</f>
        <v>-15123</v>
      </c>
      <c r="G150" s="446">
        <f>Buyer!G208</f>
        <v>-21599</v>
      </c>
      <c r="H150" s="564"/>
      <c r="I150" s="273"/>
      <c r="J150" s="273"/>
      <c r="K150" s="565"/>
      <c r="L150" s="498">
        <f>Seller!H167+Buyer!H208</f>
        <v>-32454.369276057863</v>
      </c>
      <c r="M150" s="244">
        <f>Seller!I167+Buyer!I208</f>
        <v>-37825.537224828564</v>
      </c>
      <c r="N150" s="244">
        <f>Seller!J167+Buyer!J208</f>
        <v>-42800.503503363834</v>
      </c>
      <c r="O150" s="244">
        <f>Seller!K167+Buyer!K208</f>
        <v>-47646.289420470079</v>
      </c>
      <c r="P150" s="244">
        <f>Seller!L167+Buyer!L208</f>
        <v>-52543.997363038361</v>
      </c>
    </row>
    <row r="151" spans="3:16" x14ac:dyDescent="0.25">
      <c r="C151" s="83" t="s">
        <v>159</v>
      </c>
      <c r="D151" s="14" t="s">
        <v>3</v>
      </c>
      <c r="E151" s="235">
        <f t="shared" ref="E151:G151" si="42">SUM(E149:E150)</f>
        <v>15653</v>
      </c>
      <c r="F151" s="235">
        <f t="shared" si="42"/>
        <v>20735</v>
      </c>
      <c r="G151" s="235">
        <f t="shared" si="42"/>
        <v>26010</v>
      </c>
      <c r="H151" s="464"/>
      <c r="I151" s="235"/>
      <c r="J151" s="235"/>
      <c r="K151" s="433"/>
      <c r="L151" s="235">
        <f>SUM(L149:L150)</f>
        <v>48167.283050099468</v>
      </c>
      <c r="M151" s="235">
        <f t="shared" ref="M151:P151" si="43">SUM(M149:M150)</f>
        <v>55406.422451107843</v>
      </c>
      <c r="N151" s="235">
        <f t="shared" si="43"/>
        <v>62131.334245653263</v>
      </c>
      <c r="O151" s="235">
        <f t="shared" si="43"/>
        <v>68700.841060038161</v>
      </c>
      <c r="P151" s="235">
        <f t="shared" si="43"/>
        <v>75351.507378793642</v>
      </c>
    </row>
    <row r="152" spans="3:16" x14ac:dyDescent="0.25">
      <c r="C152" s="1"/>
      <c r="D152" s="14"/>
      <c r="E152" s="235"/>
      <c r="F152" s="235"/>
      <c r="G152" s="235"/>
      <c r="H152" s="464"/>
      <c r="I152" s="235"/>
      <c r="J152" s="235"/>
      <c r="K152" s="433"/>
      <c r="L152" s="235"/>
      <c r="M152" s="235"/>
      <c r="N152" s="235"/>
      <c r="O152" s="235"/>
      <c r="P152" s="235"/>
    </row>
    <row r="153" spans="3:16" x14ac:dyDescent="0.25">
      <c r="C153" s="1" t="s">
        <v>162</v>
      </c>
      <c r="D153" s="27"/>
      <c r="E153" s="235"/>
      <c r="F153" s="235"/>
      <c r="G153" s="235"/>
      <c r="H153" s="464"/>
      <c r="I153" s="235"/>
      <c r="J153" s="235"/>
      <c r="K153" s="433"/>
      <c r="L153" s="235"/>
      <c r="M153" s="235"/>
      <c r="N153" s="235"/>
      <c r="O153" s="235"/>
      <c r="P153" s="235"/>
    </row>
    <row r="154" spans="3:16" x14ac:dyDescent="0.25">
      <c r="C154" s="13" t="s">
        <v>163</v>
      </c>
      <c r="D154" s="14" t="s">
        <v>3</v>
      </c>
      <c r="E154" s="391">
        <f>Buyer!E212</f>
        <v>-420</v>
      </c>
      <c r="F154" s="391">
        <f>Buyer!F212</f>
        <v>-625</v>
      </c>
      <c r="G154" s="391">
        <f>Buyer!G212</f>
        <v>6721</v>
      </c>
      <c r="H154" s="464"/>
      <c r="I154" s="235"/>
      <c r="J154" s="235"/>
      <c r="K154" s="433"/>
      <c r="L154" s="119">
        <f>Seller!H171+Buyer!H212</f>
        <v>0</v>
      </c>
      <c r="M154" s="119">
        <f>Seller!I171+Buyer!I212</f>
        <v>0</v>
      </c>
      <c r="N154" s="119">
        <f>Seller!J171+Buyer!J212</f>
        <v>0</v>
      </c>
      <c r="O154" s="119">
        <f>Seller!K171+Buyer!K212</f>
        <v>0</v>
      </c>
      <c r="P154" s="119">
        <f>Seller!L171+Buyer!L212</f>
        <v>0</v>
      </c>
    </row>
    <row r="155" spans="3:16" x14ac:dyDescent="0.25">
      <c r="C155" s="13" t="s">
        <v>164</v>
      </c>
      <c r="D155" s="14" t="s">
        <v>3</v>
      </c>
      <c r="E155" s="391">
        <f>Buyer!E213</f>
        <v>4548</v>
      </c>
      <c r="F155" s="391">
        <f>Buyer!F213</f>
        <v>9219</v>
      </c>
      <c r="G155" s="391">
        <f>Buyer!G213</f>
        <v>14753</v>
      </c>
      <c r="H155" s="464"/>
      <c r="I155" s="235"/>
      <c r="J155" s="235"/>
      <c r="K155" s="433"/>
      <c r="L155" s="119">
        <f>Seller!H172+Buyer!H213</f>
        <v>19633.834519876033</v>
      </c>
      <c r="M155" s="119">
        <f>Seller!I172+Buyer!I213</f>
        <v>24240.387634864259</v>
      </c>
      <c r="N155" s="119">
        <f>Seller!J172+Buyer!J213</f>
        <v>27659.969602463792</v>
      </c>
      <c r="O155" s="119">
        <f>Seller!K172+Buyer!K213</f>
        <v>33146.530960009375</v>
      </c>
      <c r="P155" s="119">
        <f>Seller!L172+Buyer!L213</f>
        <v>40670.861876267263</v>
      </c>
    </row>
    <row r="156" spans="3:16" x14ac:dyDescent="0.25">
      <c r="C156" s="60" t="s">
        <v>165</v>
      </c>
      <c r="D156" s="16" t="s">
        <v>3</v>
      </c>
      <c r="E156" s="446">
        <f>Buyer!E214</f>
        <v>2971</v>
      </c>
      <c r="F156" s="446">
        <f>Buyer!F214</f>
        <v>722</v>
      </c>
      <c r="G156" s="446">
        <f>Buyer!G214</f>
        <v>1613</v>
      </c>
      <c r="H156" s="564"/>
      <c r="I156" s="273"/>
      <c r="J156" s="273"/>
      <c r="K156" s="565"/>
      <c r="L156" s="244">
        <f ca="1">Seller!H173+Buyer!H214</f>
        <v>3603.9504818529231</v>
      </c>
      <c r="M156" s="244">
        <f ca="1">Seller!I173+Buyer!I214</f>
        <v>3874.1447996058805</v>
      </c>
      <c r="N156" s="244">
        <f ca="1">Seller!J173+Buyer!J214</f>
        <v>4193.273947547661</v>
      </c>
      <c r="O156" s="244">
        <f ca="1">Seller!K173+Buyer!K214</f>
        <v>4768.3820371292304</v>
      </c>
      <c r="P156" s="244">
        <f ca="1">Seller!L173+Buyer!L214</f>
        <v>5436.381649471592</v>
      </c>
    </row>
    <row r="157" spans="3:16" x14ac:dyDescent="0.25">
      <c r="C157" s="1" t="s">
        <v>162</v>
      </c>
      <c r="D157" s="14" t="s">
        <v>3</v>
      </c>
      <c r="E157" s="235">
        <f t="shared" ref="E157:G157" si="44">SUM(E154:E156)</f>
        <v>7099</v>
      </c>
      <c r="F157" s="235">
        <f t="shared" si="44"/>
        <v>9316</v>
      </c>
      <c r="G157" s="235">
        <f t="shared" si="44"/>
        <v>23087</v>
      </c>
      <c r="H157" s="464"/>
      <c r="I157" s="235"/>
      <c r="J157" s="235"/>
      <c r="K157" s="433"/>
      <c r="L157" s="235">
        <f ca="1">SUM(L154:L156)</f>
        <v>23237.785001728957</v>
      </c>
      <c r="M157" s="235">
        <f t="shared" ref="M157:P157" ca="1" si="45">SUM(M154:M156)</f>
        <v>28114.53243447014</v>
      </c>
      <c r="N157" s="235">
        <f t="shared" ca="1" si="45"/>
        <v>31853.243550011452</v>
      </c>
      <c r="O157" s="235">
        <f t="shared" ca="1" si="45"/>
        <v>37914.912997138606</v>
      </c>
      <c r="P157" s="235">
        <f t="shared" ca="1" si="45"/>
        <v>46107.243525738857</v>
      </c>
    </row>
    <row r="158" spans="3:16" x14ac:dyDescent="0.25">
      <c r="C158" s="1"/>
      <c r="D158" s="27"/>
      <c r="E158" s="235"/>
      <c r="F158" s="235"/>
      <c r="G158" s="235"/>
      <c r="H158" s="464"/>
      <c r="I158" s="235"/>
      <c r="J158" s="235"/>
      <c r="K158" s="433"/>
      <c r="L158" s="235"/>
      <c r="M158" s="235"/>
      <c r="N158" s="235"/>
      <c r="O158" s="235"/>
      <c r="P158" s="235"/>
    </row>
    <row r="159" spans="3:16" x14ac:dyDescent="0.25">
      <c r="C159" s="467" t="s">
        <v>550</v>
      </c>
      <c r="D159" s="434" t="s">
        <v>3</v>
      </c>
      <c r="E159" s="468">
        <v>0</v>
      </c>
      <c r="F159" s="468">
        <v>0</v>
      </c>
      <c r="G159" s="468">
        <v>0</v>
      </c>
      <c r="H159" s="469"/>
      <c r="I159" s="470"/>
      <c r="J159" s="470"/>
      <c r="K159" s="471"/>
      <c r="L159" s="472">
        <f>Rev_Synergies_Pct*Seller!H176</f>
        <v>3201.1768218195921</v>
      </c>
      <c r="M159" s="472">
        <f ca="1">Rev_Synergies_Pct*Seller!I176</f>
        <v>3221.6679485550121</v>
      </c>
      <c r="N159" s="472">
        <f ca="1">Rev_Synergies_Pct*Seller!J176</f>
        <v>3394.4575953628796</v>
      </c>
      <c r="O159" s="472">
        <f ca="1">Rev_Synergies_Pct*Seller!K176</f>
        <v>3546.5162437836007</v>
      </c>
      <c r="P159" s="472">
        <f ca="1">Rev_Synergies_Pct*Seller!L176</f>
        <v>3696.2151809416096</v>
      </c>
    </row>
    <row r="160" spans="3:16" x14ac:dyDescent="0.25">
      <c r="C160" s="1" t="s">
        <v>166</v>
      </c>
      <c r="D160" s="14" t="s">
        <v>3</v>
      </c>
      <c r="E160" s="235">
        <f t="shared" ref="E160:G160" si="46">E157+E151+E146</f>
        <v>82744</v>
      </c>
      <c r="F160" s="235">
        <f t="shared" si="46"/>
        <v>117977</v>
      </c>
      <c r="G160" s="235">
        <f t="shared" si="46"/>
        <v>153799</v>
      </c>
      <c r="H160" s="464"/>
      <c r="I160" s="235"/>
      <c r="J160" s="235"/>
      <c r="K160" s="433"/>
      <c r="L160" s="235">
        <f ca="1">L157+L151+L146+L159</f>
        <v>288640.67801679025</v>
      </c>
      <c r="M160" s="235">
        <f t="shared" ref="M160:P160" ca="1" si="47">M157+M151+M146+M159</f>
        <v>323071.09444723744</v>
      </c>
      <c r="N160" s="235">
        <f t="shared" ca="1" si="47"/>
        <v>352414.26596413663</v>
      </c>
      <c r="O160" s="235">
        <f t="shared" ca="1" si="47"/>
        <v>412623.2434750495</v>
      </c>
      <c r="P160" s="235">
        <f t="shared" ca="1" si="47"/>
        <v>485276.2150493206</v>
      </c>
    </row>
    <row r="161" spans="3:16" x14ac:dyDescent="0.25">
      <c r="C161" s="1"/>
      <c r="D161" s="27"/>
      <c r="E161" s="235"/>
      <c r="F161" s="235"/>
      <c r="G161" s="235"/>
      <c r="H161" s="464"/>
      <c r="I161" s="235"/>
      <c r="J161" s="235"/>
      <c r="K161" s="433"/>
      <c r="L161" s="235"/>
      <c r="M161" s="235"/>
      <c r="N161" s="235"/>
      <c r="O161" s="235"/>
      <c r="P161" s="235"/>
    </row>
    <row r="162" spans="3:16" x14ac:dyDescent="0.25">
      <c r="C162" t="s">
        <v>167</v>
      </c>
      <c r="D162" s="14" t="s">
        <v>3</v>
      </c>
      <c r="E162" s="391">
        <f>Buyer!E219</f>
        <v>-11607</v>
      </c>
      <c r="F162" s="391">
        <f>Buyer!F219</f>
        <v>-26551</v>
      </c>
      <c r="G162" s="391">
        <f>Buyer!G219</f>
        <v>-38972</v>
      </c>
      <c r="H162" s="464"/>
      <c r="I162" s="235"/>
      <c r="J162" s="235"/>
      <c r="K162" s="433"/>
      <c r="L162" s="119">
        <f>Seller!H178+Buyer!H219</f>
        <v>-56706.836055736327</v>
      </c>
      <c r="M162" s="119">
        <f>Seller!I178+Buyer!I219</f>
        <v>-69673.844515203571</v>
      </c>
      <c r="N162" s="119">
        <f>Seller!J178+Buyer!J219</f>
        <v>-83608.23514627757</v>
      </c>
      <c r="O162" s="119">
        <f>Seller!K178+Buyer!K219</f>
        <v>-109772.66757040368</v>
      </c>
      <c r="P162" s="119">
        <f>Seller!L178+Buyer!L219</f>
        <v>-148110.78015180622</v>
      </c>
    </row>
    <row r="163" spans="3:16" x14ac:dyDescent="0.25">
      <c r="C163" t="s">
        <v>168</v>
      </c>
      <c r="D163" s="14" t="s">
        <v>3</v>
      </c>
      <c r="E163" s="391">
        <f>Buyer!E220</f>
        <v>-192</v>
      </c>
      <c r="F163" s="391">
        <f>Buyer!F220</f>
        <v>-121</v>
      </c>
      <c r="G163" s="391">
        <f>Buyer!G220</f>
        <v>-1575</v>
      </c>
      <c r="H163" s="464"/>
      <c r="I163" s="235"/>
      <c r="J163" s="235"/>
      <c r="K163" s="433"/>
      <c r="L163" s="119">
        <f ca="1">Seller!H179+Buyer!H220</f>
        <v>-1769.7891132434688</v>
      </c>
      <c r="M163" s="119">
        <f ca="1">Seller!I179+Buyer!I220</f>
        <v>-1967.1120016004452</v>
      </c>
      <c r="N163" s="119">
        <f ca="1">Seller!J179+Buyer!J220</f>
        <v>-2180.0434022639251</v>
      </c>
      <c r="O163" s="119">
        <f ca="1">Seller!K179+Buyer!K220</f>
        <v>-2420.3001125664796</v>
      </c>
      <c r="P163" s="119">
        <f ca="1">Seller!L179+Buyer!L220</f>
        <v>-2689.9023686154014</v>
      </c>
    </row>
    <row r="164" spans="3:16" x14ac:dyDescent="0.25">
      <c r="C164"/>
      <c r="D164" s="27"/>
      <c r="E164" s="235"/>
      <c r="F164" s="235"/>
      <c r="G164" s="235"/>
      <c r="H164" s="464"/>
      <c r="I164" s="235"/>
      <c r="J164" s="235"/>
      <c r="K164" s="433"/>
      <c r="L164" s="235"/>
      <c r="M164" s="235"/>
      <c r="N164" s="235"/>
      <c r="O164" s="235"/>
      <c r="P164" s="235"/>
    </row>
    <row r="165" spans="3:16" x14ac:dyDescent="0.25">
      <c r="C165" s="1" t="s">
        <v>169</v>
      </c>
      <c r="D165" s="27"/>
      <c r="E165" s="235"/>
      <c r="F165" s="235"/>
      <c r="G165" s="235"/>
      <c r="H165" s="464"/>
      <c r="I165" s="235"/>
      <c r="J165" s="235"/>
      <c r="K165" s="433"/>
      <c r="L165" s="235"/>
      <c r="M165" s="235"/>
      <c r="N165" s="235"/>
      <c r="O165" s="235"/>
      <c r="P165" s="235"/>
    </row>
    <row r="166" spans="3:16" x14ac:dyDescent="0.25">
      <c r="C166" s="13" t="s">
        <v>170</v>
      </c>
      <c r="D166" s="14" t="s">
        <v>3</v>
      </c>
      <c r="E166" s="391">
        <f>Buyer!E223</f>
        <v>-14222</v>
      </c>
      <c r="F166" s="391">
        <f>Buyer!F223</f>
        <v>-18177</v>
      </c>
      <c r="G166" s="391">
        <f>Buyer!G223</f>
        <v>-22588</v>
      </c>
      <c r="H166" s="464"/>
      <c r="I166" s="235"/>
      <c r="J166" s="235"/>
      <c r="K166" s="433"/>
      <c r="L166" s="119">
        <f ca="1">Seller!H182+Buyer!H223</f>
        <v>-33340.827699285845</v>
      </c>
      <c r="M166" s="119">
        <f ca="1">Seller!I182+Buyer!I223</f>
        <v>-38137.128178978084</v>
      </c>
      <c r="N166" s="119">
        <f ca="1">Seller!J182+Buyer!J223</f>
        <v>-42247.42624706537</v>
      </c>
      <c r="O166" s="119">
        <f ca="1">Seller!K182+Buyer!K223</f>
        <v>-51321.70778436392</v>
      </c>
      <c r="P166" s="119">
        <f ca="1">Seller!L182+Buyer!L223</f>
        <v>-62143.332877730674</v>
      </c>
    </row>
    <row r="167" spans="3:16" x14ac:dyDescent="0.25">
      <c r="C167" s="13" t="s">
        <v>171</v>
      </c>
      <c r="D167" s="14" t="s">
        <v>3</v>
      </c>
      <c r="E167" s="391">
        <f>Buyer!E224</f>
        <v>-15602</v>
      </c>
      <c r="F167" s="391">
        <f>Buyer!F224</f>
        <v>-19204</v>
      </c>
      <c r="G167" s="391">
        <f>Buyer!G224</f>
        <v>-24335</v>
      </c>
      <c r="H167" s="464"/>
      <c r="I167" s="235"/>
      <c r="J167" s="235"/>
      <c r="K167" s="433"/>
      <c r="L167" s="119">
        <f ca="1">Seller!H183+Buyer!H224</f>
        <v>-54736.315102165237</v>
      </c>
      <c r="M167" s="119">
        <f ca="1">Seller!I183+Buyer!I224</f>
        <v>-60297.572389769906</v>
      </c>
      <c r="N167" s="119">
        <f ca="1">Seller!J183+Buyer!J224</f>
        <v>-66110.539202573374</v>
      </c>
      <c r="O167" s="119">
        <f ca="1">Seller!K183+Buyer!K224</f>
        <v>-77288.38254484543</v>
      </c>
      <c r="P167" s="119">
        <f ca="1">Seller!L183+Buyer!L224</f>
        <v>-90529.164921878546</v>
      </c>
    </row>
    <row r="168" spans="3:16" x14ac:dyDescent="0.25">
      <c r="C168" s="13" t="s">
        <v>172</v>
      </c>
      <c r="D168" s="14" t="s">
        <v>3</v>
      </c>
      <c r="E168" s="391">
        <f>Buyer!E225</f>
        <v>0</v>
      </c>
      <c r="F168" s="391">
        <f>Buyer!F225</f>
        <v>-727</v>
      </c>
      <c r="G168" s="391">
        <f>Buyer!G225</f>
        <v>-702</v>
      </c>
      <c r="H168" s="464"/>
      <c r="I168" s="235"/>
      <c r="J168" s="235"/>
      <c r="K168" s="433"/>
      <c r="L168" s="119">
        <f>Seller!H184+Buyer!H225</f>
        <v>-496.83251158927089</v>
      </c>
      <c r="M168" s="119">
        <f>Seller!I184+Buyer!I225</f>
        <v>-577.59258924820961</v>
      </c>
      <c r="N168" s="119">
        <f>Seller!J184+Buyer!J225</f>
        <v>-647.87565063172451</v>
      </c>
      <c r="O168" s="119">
        <f>Seller!K184+Buyer!K225</f>
        <v>-720.7679806769238</v>
      </c>
      <c r="P168" s="119">
        <f>Seller!L184+Buyer!L225</f>
        <v>-839.66409915063377</v>
      </c>
    </row>
    <row r="169" spans="3:16" x14ac:dyDescent="0.25">
      <c r="C169" s="13" t="s">
        <v>173</v>
      </c>
      <c r="D169" s="14" t="s">
        <v>3</v>
      </c>
      <c r="E169" s="391">
        <f>Buyer!E226</f>
        <v>-823</v>
      </c>
      <c r="F169" s="391">
        <f>Buyer!F226</f>
        <v>-1287</v>
      </c>
      <c r="G169" s="391">
        <f>Buyer!G226</f>
        <v>-1617</v>
      </c>
      <c r="H169" s="464"/>
      <c r="I169" s="235"/>
      <c r="J169" s="235"/>
      <c r="K169" s="433"/>
      <c r="L169" s="119">
        <f>Seller!H185+Buyer!H226</f>
        <v>-5614.7342555888972</v>
      </c>
      <c r="M169" s="119">
        <f ca="1">Seller!I185+Buyer!I226</f>
        <v>-6189.916293156155</v>
      </c>
      <c r="N169" s="119">
        <f ca="1">Seller!J185+Buyer!J226</f>
        <v>-6984.4791495528707</v>
      </c>
      <c r="O169" s="119">
        <f ca="1">Seller!K185+Buyer!K226</f>
        <v>-7817.1269135327848</v>
      </c>
      <c r="P169" s="119">
        <f ca="1">Seller!L185+Buyer!L226</f>
        <v>-8791.4492461407954</v>
      </c>
    </row>
    <row r="170" spans="3:16" x14ac:dyDescent="0.25">
      <c r="C170" s="13" t="s">
        <v>174</v>
      </c>
      <c r="D170" s="14" t="s">
        <v>3</v>
      </c>
      <c r="E170" s="391">
        <f>Buyer!E227</f>
        <v>-899</v>
      </c>
      <c r="F170" s="391">
        <f>Buyer!F227</f>
        <v>-1331</v>
      </c>
      <c r="G170" s="391">
        <f>Buyer!G227</f>
        <v>-1961</v>
      </c>
      <c r="H170" s="464"/>
      <c r="I170" s="235"/>
      <c r="J170" s="235"/>
      <c r="K170" s="433"/>
      <c r="L170" s="119">
        <f>Seller!H186+Buyer!H227</f>
        <v>-5359.0221827197502</v>
      </c>
      <c r="M170" s="119">
        <f ca="1">Seller!I186+Buyer!I227</f>
        <v>-6297.0273630651554</v>
      </c>
      <c r="N170" s="119">
        <f ca="1">Seller!J186+Buyer!J227</f>
        <v>-7440.7385175865984</v>
      </c>
      <c r="O170" s="119">
        <f ca="1">Seller!K186+Buyer!K227</f>
        <v>-8669.8044959195504</v>
      </c>
      <c r="P170" s="119">
        <f ca="1">Seller!L186+Buyer!L227</f>
        <v>-10137.708296241537</v>
      </c>
    </row>
    <row r="171" spans="3:16" x14ac:dyDescent="0.25">
      <c r="C171" s="13" t="s">
        <v>175</v>
      </c>
      <c r="D171" s="16" t="s">
        <v>3</v>
      </c>
      <c r="E171" s="446">
        <f>Buyer!E228</f>
        <v>-4175</v>
      </c>
      <c r="F171" s="446">
        <f>Buyer!F228</f>
        <v>-5043</v>
      </c>
      <c r="G171" s="446">
        <f>Buyer!G228</f>
        <v>-5800</v>
      </c>
      <c r="H171" s="564"/>
      <c r="I171" s="273"/>
      <c r="J171" s="273"/>
      <c r="K171" s="565"/>
      <c r="L171" s="244">
        <f ca="1">Seller!H187+Buyer!H228</f>
        <v>-19708.325524936998</v>
      </c>
      <c r="M171" s="244">
        <f ca="1">Seller!I187+Buyer!I228</f>
        <v>-21232.362788841492</v>
      </c>
      <c r="N171" s="244">
        <f ca="1">Seller!J187+Buyer!J228</f>
        <v>-23155.075824299514</v>
      </c>
      <c r="O171" s="244">
        <f ca="1">Seller!K187+Buyer!K228</f>
        <v>-26416.568671269932</v>
      </c>
      <c r="P171" s="244">
        <f ca="1">Seller!L187+Buyer!L228</f>
        <v>-30263.047284755667</v>
      </c>
    </row>
    <row r="172" spans="3:16" x14ac:dyDescent="0.25">
      <c r="C172" s="452" t="s">
        <v>551</v>
      </c>
      <c r="D172" s="567" t="s">
        <v>3</v>
      </c>
      <c r="E172" s="568">
        <v>0</v>
      </c>
      <c r="F172" s="568">
        <v>0</v>
      </c>
      <c r="G172" s="568">
        <v>0</v>
      </c>
      <c r="H172" s="569"/>
      <c r="I172" s="570"/>
      <c r="J172" s="570"/>
      <c r="K172" s="571"/>
      <c r="L172" s="572">
        <f>-Cost_Synergies_Pct*Seller!H188*Cost_Synergies_Pct_Realized_Year_1</f>
        <v>3666.7111705329025</v>
      </c>
      <c r="M172" s="572">
        <f ca="1">-Cost_Synergies_Pct*Seller!I188*Cost_Synergies_Pct_Realized_Year_2</f>
        <v>7380.3644798351716</v>
      </c>
      <c r="N172" s="572">
        <f ca="1">-Cost_Synergies_Pct*Seller!J188*Cost_Synergies_Pct_Realized_Year_3</f>
        <v>7776.1999886920139</v>
      </c>
      <c r="O172" s="572">
        <f ca="1">-Cost_Synergies_Pct*Seller!K188*Cost_Synergies_Pct_Realized_Year_3</f>
        <v>8124.5438483251555</v>
      </c>
      <c r="P172" s="572">
        <f ca="1">-Cost_Synergies_Pct*Seller!L188*Cost_Synergies_Pct_Realized_Year_3</f>
        <v>8467.4819586805625</v>
      </c>
    </row>
    <row r="173" spans="3:16" x14ac:dyDescent="0.25">
      <c r="C173" s="456" t="s">
        <v>552</v>
      </c>
      <c r="D173" s="567" t="s">
        <v>3</v>
      </c>
      <c r="E173" s="568">
        <v>0</v>
      </c>
      <c r="F173" s="568">
        <v>0</v>
      </c>
      <c r="G173" s="568">
        <v>0</v>
      </c>
      <c r="H173" s="569"/>
      <c r="I173" s="570"/>
      <c r="J173" s="570"/>
      <c r="K173" s="571"/>
      <c r="L173" s="572">
        <f>-(1-Rev_Synergies_Margin)*L159</f>
        <v>-2400.8826163646941</v>
      </c>
      <c r="M173" s="572">
        <f ca="1">-(1-Rev_Synergies_Margin)*M159</f>
        <v>-2416.2509614162591</v>
      </c>
      <c r="N173" s="572">
        <f ca="1">-(1-Rev_Synergies_Margin)*N159</f>
        <v>-2545.8431965221598</v>
      </c>
      <c r="O173" s="572">
        <f ca="1">-(1-Rev_Synergies_Margin)*O159</f>
        <v>-2659.8871828377005</v>
      </c>
      <c r="P173" s="572">
        <f ca="1">-(1-Rev_Synergies_Margin)*P159</f>
        <v>-2772.1613857062071</v>
      </c>
    </row>
    <row r="174" spans="3:16" x14ac:dyDescent="0.25">
      <c r="C174" s="456" t="s">
        <v>553</v>
      </c>
      <c r="D174" s="567" t="s">
        <v>3</v>
      </c>
      <c r="E174" s="568">
        <v>0</v>
      </c>
      <c r="F174" s="568">
        <v>0</v>
      </c>
      <c r="G174" s="568">
        <v>0</v>
      </c>
      <c r="H174" s="569"/>
      <c r="I174" s="570"/>
      <c r="J174" s="570"/>
      <c r="K174" s="571"/>
      <c r="L174" s="572">
        <f>L80-K80</f>
        <v>-333.33333333333326</v>
      </c>
      <c r="M174" s="572">
        <f>M80-L80</f>
        <v>-333.33333333333331</v>
      </c>
      <c r="N174" s="572">
        <f>N80-M80</f>
        <v>-333.33333333333343</v>
      </c>
      <c r="O174" s="572">
        <f>O80-N80</f>
        <v>0</v>
      </c>
      <c r="P174" s="572">
        <f>P80-O80</f>
        <v>0</v>
      </c>
    </row>
    <row r="175" spans="3:16" x14ac:dyDescent="0.25">
      <c r="C175" s="460" t="s">
        <v>554</v>
      </c>
      <c r="D175" s="573" t="s">
        <v>3</v>
      </c>
      <c r="E175" s="574">
        <v>0</v>
      </c>
      <c r="F175" s="574">
        <v>0</v>
      </c>
      <c r="G175" s="574">
        <v>0</v>
      </c>
      <c r="H175" s="575"/>
      <c r="I175" s="576"/>
      <c r="J175" s="576"/>
      <c r="K175" s="577"/>
      <c r="L175" s="578">
        <f>-Merger_Costs_Pct_Full_Synergies*L172</f>
        <v>-5041.7278594827412</v>
      </c>
      <c r="M175" s="576"/>
      <c r="N175" s="576"/>
      <c r="O175" s="576"/>
      <c r="P175" s="576"/>
    </row>
    <row r="176" spans="3:16" x14ac:dyDescent="0.25">
      <c r="C176" s="306" t="s">
        <v>176</v>
      </c>
      <c r="D176" s="14" t="s">
        <v>3</v>
      </c>
      <c r="E176" s="235">
        <f t="shared" ref="E176:G176" si="48">SUM(E166:E175)</f>
        <v>-35721</v>
      </c>
      <c r="F176" s="235">
        <f t="shared" si="48"/>
        <v>-45769</v>
      </c>
      <c r="G176" s="235">
        <f t="shared" si="48"/>
        <v>-57003</v>
      </c>
      <c r="H176" s="464"/>
      <c r="I176" s="235"/>
      <c r="J176" s="235"/>
      <c r="K176" s="433"/>
      <c r="L176" s="235">
        <f ca="1">SUM(L166:L175)</f>
        <v>-123365.28991493385</v>
      </c>
      <c r="M176" s="235">
        <f t="shared" ref="M176:P176" ca="1" si="49">SUM(M166:M175)</f>
        <v>-128100.81941797341</v>
      </c>
      <c r="N176" s="235">
        <f t="shared" ca="1" si="49"/>
        <v>-141689.11113287296</v>
      </c>
      <c r="O176" s="235">
        <f t="shared" ca="1" si="49"/>
        <v>-166769.70172512109</v>
      </c>
      <c r="P176" s="235">
        <f t="shared" ca="1" si="49"/>
        <v>-197009.04615292349</v>
      </c>
    </row>
    <row r="177" spans="3:16" x14ac:dyDescent="0.25">
      <c r="C177"/>
      <c r="D177" s="27"/>
      <c r="E177" s="235"/>
      <c r="F177" s="235"/>
      <c r="G177" s="235"/>
      <c r="H177" s="464"/>
      <c r="I177" s="235"/>
      <c r="J177" s="235"/>
      <c r="K177" s="433"/>
      <c r="L177" s="235"/>
      <c r="M177" s="235"/>
      <c r="N177" s="235"/>
    </row>
    <row r="178" spans="3:16" x14ac:dyDescent="0.25">
      <c r="C178" s="1" t="s">
        <v>177</v>
      </c>
      <c r="D178" s="14" t="s">
        <v>3</v>
      </c>
      <c r="E178" s="235">
        <f t="shared" ref="E178:G178" si="50">E160+SUM(E162:E163)+E176</f>
        <v>35224</v>
      </c>
      <c r="F178" s="235">
        <f t="shared" si="50"/>
        <v>45536</v>
      </c>
      <c r="G178" s="275">
        <f t="shared" si="50"/>
        <v>56249</v>
      </c>
      <c r="H178" s="464"/>
      <c r="I178" s="275"/>
      <c r="J178" s="275"/>
      <c r="K178" s="433"/>
      <c r="L178" s="275">
        <f t="shared" ref="L178:P178" ca="1" si="51">L160+L176+SUM(L162:L163)</f>
        <v>106798.76293287661</v>
      </c>
      <c r="M178" s="235">
        <f t="shared" ca="1" si="51"/>
        <v>123329.31851246003</v>
      </c>
      <c r="N178" s="235">
        <f t="shared" ca="1" si="51"/>
        <v>124936.87628272218</v>
      </c>
      <c r="O178" s="235">
        <f t="shared" ca="1" si="51"/>
        <v>133660.57406695827</v>
      </c>
      <c r="P178" s="235">
        <f t="shared" ca="1" si="51"/>
        <v>137466.48637597548</v>
      </c>
    </row>
    <row r="179" spans="3:16" x14ac:dyDescent="0.25">
      <c r="C179" s="13" t="s">
        <v>178</v>
      </c>
      <c r="D179" s="16" t="s">
        <v>3</v>
      </c>
      <c r="E179" s="446">
        <f>Buyer!E232</f>
        <v>-8102</v>
      </c>
      <c r="F179" s="446">
        <f>Buyer!F232</f>
        <v>-9413</v>
      </c>
      <c r="G179" s="446">
        <f>Buyer!G232</f>
        <v>-12036</v>
      </c>
      <c r="H179" s="564"/>
      <c r="I179" s="273"/>
      <c r="J179" s="273"/>
      <c r="K179" s="565"/>
      <c r="L179" s="244">
        <f ca="1">-Buyer!$D$15*'Merger-Model'!L178</f>
        <v>-21359.752586575323</v>
      </c>
      <c r="M179" s="244">
        <f ca="1">-Buyer!$D$15*'Merger-Model'!M178</f>
        <v>-24665.863702492006</v>
      </c>
      <c r="N179" s="244">
        <f ca="1">-Buyer!$D$15*'Merger-Model'!N178</f>
        <v>-24987.375256544437</v>
      </c>
      <c r="O179" s="244">
        <f ca="1">-Buyer!$D$15*'Merger-Model'!O178</f>
        <v>-26732.114813391658</v>
      </c>
      <c r="P179" s="244">
        <f ca="1">-Buyer!$D$15*'Merger-Model'!P178</f>
        <v>-27493.297275195098</v>
      </c>
    </row>
    <row r="180" spans="3:16" x14ac:dyDescent="0.25">
      <c r="C180" s="83" t="s">
        <v>179</v>
      </c>
      <c r="D180" s="14" t="s">
        <v>3</v>
      </c>
      <c r="E180" s="235">
        <f t="shared" ref="E180:G180" si="52">SUM(E178:E179)</f>
        <v>27122</v>
      </c>
      <c r="F180" s="235">
        <f t="shared" si="52"/>
        <v>36123</v>
      </c>
      <c r="G180" s="235">
        <f t="shared" si="52"/>
        <v>44213</v>
      </c>
      <c r="H180" s="464"/>
      <c r="I180" s="235"/>
      <c r="J180" s="235"/>
      <c r="K180" s="433"/>
      <c r="L180" s="235">
        <f ca="1">SUM(L178:L179)</f>
        <v>85439.010346301278</v>
      </c>
      <c r="M180" s="235">
        <f t="shared" ref="M180:P180" ca="1" si="53">SUM(M178:M179)</f>
        <v>98663.454809968025</v>
      </c>
      <c r="N180" s="235">
        <f t="shared" ca="1" si="53"/>
        <v>99949.50102617775</v>
      </c>
      <c r="O180" s="235">
        <f t="shared" ca="1" si="53"/>
        <v>106928.45925356662</v>
      </c>
      <c r="P180" s="235">
        <f t="shared" ca="1" si="53"/>
        <v>109973.18910078038</v>
      </c>
    </row>
    <row r="181" spans="3:16" x14ac:dyDescent="0.25">
      <c r="C181" t="s">
        <v>180</v>
      </c>
      <c r="D181" s="14" t="s">
        <v>3</v>
      </c>
      <c r="E181" s="391">
        <f>Buyer!E234</f>
        <v>-34</v>
      </c>
      <c r="F181" s="391">
        <f>Buyer!F234</f>
        <v>-1</v>
      </c>
      <c r="G181" s="391">
        <f>Buyer!G234</f>
        <v>-4</v>
      </c>
      <c r="H181" s="464"/>
      <c r="I181" s="235"/>
      <c r="J181" s="235"/>
      <c r="K181" s="433"/>
      <c r="L181" s="119">
        <f ca="1">-(1-$D$14)*Seller!H192</f>
        <v>-2716.8400611959528</v>
      </c>
      <c r="M181" s="119">
        <f ca="1">-(1-$D$14)*Seller!I192</f>
        <v>-2611.7496094890894</v>
      </c>
      <c r="N181" s="119">
        <f ca="1">-(1-$D$14)*Seller!J192</f>
        <v>-2811.2840633241549</v>
      </c>
      <c r="O181" s="119">
        <f ca="1">-(1-$D$14)*Seller!K192</f>
        <v>-2960.1811031766601</v>
      </c>
      <c r="P181" s="119">
        <f ca="1">-(1-$D$14)*Seller!L192</f>
        <v>-3095.7180415502535</v>
      </c>
    </row>
    <row r="182" spans="3:16" x14ac:dyDescent="0.25">
      <c r="C182" s="1" t="s">
        <v>181</v>
      </c>
      <c r="D182" s="14" t="s">
        <v>3</v>
      </c>
      <c r="E182" s="235">
        <f t="shared" ref="E182:G182" si="54">SUM(E180:E181)</f>
        <v>27088</v>
      </c>
      <c r="F182" s="235">
        <f t="shared" si="54"/>
        <v>36122</v>
      </c>
      <c r="G182" s="235">
        <f t="shared" si="54"/>
        <v>44209</v>
      </c>
      <c r="H182" s="464"/>
      <c r="I182" s="235"/>
      <c r="J182" s="235"/>
      <c r="K182" s="433"/>
      <c r="L182" s="235">
        <f t="shared" ref="L182:P182" ca="1" si="55">SUM(L180:L181)</f>
        <v>82722.170285105327</v>
      </c>
      <c r="M182" s="235">
        <f t="shared" ca="1" si="55"/>
        <v>96051.705200478929</v>
      </c>
      <c r="N182" s="235">
        <f t="shared" ca="1" si="55"/>
        <v>97138.216962853592</v>
      </c>
      <c r="O182" s="163">
        <f t="shared" ca="1" si="55"/>
        <v>103968.27815038996</v>
      </c>
      <c r="P182" s="163">
        <f t="shared" ca="1" si="55"/>
        <v>106877.47105923013</v>
      </c>
    </row>
    <row r="183" spans="3:16" x14ac:dyDescent="0.25">
      <c r="C183" s="107"/>
      <c r="D183" s="14"/>
      <c r="E183" s="235"/>
      <c r="F183" s="235"/>
      <c r="G183" s="235"/>
      <c r="H183" s="464"/>
      <c r="I183" s="235"/>
      <c r="J183" s="235"/>
      <c r="K183" s="433"/>
      <c r="L183" s="235"/>
      <c r="M183" s="235"/>
      <c r="N183" s="235"/>
    </row>
    <row r="184" spans="3:16" x14ac:dyDescent="0.25">
      <c r="C184" s="230" t="s">
        <v>556</v>
      </c>
      <c r="D184" s="14" t="s">
        <v>183</v>
      </c>
      <c r="E184" s="473">
        <f>Buyer!E238</f>
        <v>193.62</v>
      </c>
      <c r="F184" s="473">
        <f>Buyer!F238</f>
        <v>186.559</v>
      </c>
      <c r="G184" s="473">
        <f>Buyer!G238</f>
        <v>195.96199999999999</v>
      </c>
      <c r="H184" s="474"/>
      <c r="I184" s="473"/>
      <c r="J184" s="473"/>
      <c r="K184" s="475">
        <f>G184</f>
        <v>195.96199999999999</v>
      </c>
      <c r="L184" s="251">
        <f ca="1">K187</f>
        <v>224.09067147073924</v>
      </c>
      <c r="M184" s="251">
        <f t="shared" ref="M184:P184" ca="1" si="56">L187</f>
        <v>224.09067147073924</v>
      </c>
      <c r="N184" s="251">
        <f t="shared" ca="1" si="56"/>
        <v>224.09067147073924</v>
      </c>
      <c r="O184" s="251">
        <f t="shared" ca="1" si="56"/>
        <v>224.09067147073924</v>
      </c>
      <c r="P184" s="251">
        <f t="shared" ca="1" si="56"/>
        <v>224.09067147073924</v>
      </c>
    </row>
    <row r="185" spans="3:16" x14ac:dyDescent="0.25">
      <c r="C185" s="476" t="s">
        <v>557</v>
      </c>
      <c r="D185" s="423" t="s">
        <v>183</v>
      </c>
      <c r="E185" s="477">
        <f>0</f>
        <v>0</v>
      </c>
      <c r="F185" s="477">
        <f>0</f>
        <v>0</v>
      </c>
      <c r="G185" s="477">
        <f>0</f>
        <v>0</v>
      </c>
      <c r="H185" s="478"/>
      <c r="I185" s="477"/>
      <c r="J185" s="477"/>
      <c r="K185" s="479">
        <f ca="1">O12</f>
        <v>28.128671470739249</v>
      </c>
      <c r="L185" s="480"/>
      <c r="M185" s="480"/>
      <c r="N185" s="480"/>
      <c r="O185" s="480"/>
      <c r="P185" s="480"/>
    </row>
    <row r="186" spans="3:16" x14ac:dyDescent="0.25">
      <c r="C186" s="481" t="s">
        <v>558</v>
      </c>
      <c r="D186" s="426" t="s">
        <v>183</v>
      </c>
      <c r="E186" s="482">
        <f>0</f>
        <v>0</v>
      </c>
      <c r="F186" s="482">
        <f>0</f>
        <v>0</v>
      </c>
      <c r="G186" s="482">
        <f>0</f>
        <v>0</v>
      </c>
      <c r="H186" s="483"/>
      <c r="I186" s="482"/>
      <c r="J186" s="482"/>
      <c r="K186" s="484"/>
      <c r="L186" s="485">
        <f ca="1">L239/Buyer!$J$9</f>
        <v>0</v>
      </c>
      <c r="M186" s="485">
        <f ca="1">M239/Buyer!$J$9</f>
        <v>0</v>
      </c>
      <c r="N186" s="485">
        <f ca="1">N239/Buyer!$J$9</f>
        <v>0</v>
      </c>
      <c r="O186" s="485">
        <f ca="1">O239/Buyer!$J$9</f>
        <v>0</v>
      </c>
      <c r="P186" s="485">
        <f ca="1">P239/Buyer!$J$9</f>
        <v>0</v>
      </c>
    </row>
    <row r="187" spans="3:16" x14ac:dyDescent="0.25">
      <c r="C187" s="38" t="s">
        <v>559</v>
      </c>
      <c r="D187" s="14" t="s">
        <v>183</v>
      </c>
      <c r="E187" s="486">
        <f>SUM(E184:E185)</f>
        <v>193.62</v>
      </c>
      <c r="F187" s="486">
        <f t="shared" ref="F187:G187" si="57">SUM(F184:F185)</f>
        <v>186.559</v>
      </c>
      <c r="G187" s="486">
        <f t="shared" si="57"/>
        <v>195.96199999999999</v>
      </c>
      <c r="H187" s="474"/>
      <c r="I187" s="473"/>
      <c r="J187" s="473"/>
      <c r="K187" s="631">
        <f ca="1">SUM(K184:K186)</f>
        <v>224.09067147073924</v>
      </c>
      <c r="L187" s="486">
        <f ca="1">SUM(L184:L186)</f>
        <v>224.09067147073924</v>
      </c>
      <c r="M187" s="486">
        <f t="shared" ref="M187:N187" ca="1" si="58">SUM(M184:M186)</f>
        <v>224.09067147073924</v>
      </c>
      <c r="N187" s="486">
        <f t="shared" ca="1" si="58"/>
        <v>224.09067147073924</v>
      </c>
      <c r="O187" s="486">
        <f t="shared" ref="O187:P187" ca="1" si="59">SUM(O184:O186)</f>
        <v>224.09067147073924</v>
      </c>
      <c r="P187" s="486">
        <f t="shared" ca="1" si="59"/>
        <v>224.09067147073924</v>
      </c>
    </row>
    <row r="188" spans="3:16" x14ac:dyDescent="0.25">
      <c r="C188" s="230"/>
      <c r="D188" s="14"/>
      <c r="E188" s="473"/>
      <c r="F188" s="473"/>
      <c r="G188" s="473"/>
      <c r="H188" s="474"/>
      <c r="I188" s="473"/>
      <c r="J188" s="473"/>
      <c r="K188" s="487"/>
      <c r="L188" s="473"/>
      <c r="M188" s="473"/>
      <c r="N188" s="473"/>
      <c r="O188" s="473"/>
      <c r="P188" s="473"/>
    </row>
    <row r="189" spans="3:16" x14ac:dyDescent="0.25">
      <c r="C189" s="230" t="s">
        <v>381</v>
      </c>
      <c r="D189" s="14" t="s">
        <v>612</v>
      </c>
      <c r="E189" s="492">
        <f>+E182/E187</f>
        <v>139.90290259270736</v>
      </c>
      <c r="F189" s="492">
        <f>+F182/F187</f>
        <v>193.62239291591399</v>
      </c>
      <c r="G189" s="492">
        <f>+G182/G187</f>
        <v>225.59986119757914</v>
      </c>
      <c r="H189" s="488"/>
      <c r="I189" s="252"/>
      <c r="J189" s="252"/>
      <c r="K189" s="489"/>
      <c r="L189" s="401">
        <f ca="1">L182/L187</f>
        <v>369.14597891196388</v>
      </c>
      <c r="M189" s="401">
        <f t="shared" ref="M189:P189" ca="1" si="60">M182/M187</f>
        <v>428.62875357585301</v>
      </c>
      <c r="N189" s="401">
        <f t="shared" ca="1" si="60"/>
        <v>433.47728990823907</v>
      </c>
      <c r="O189" s="401">
        <f t="shared" ca="1" si="60"/>
        <v>463.95629710077276</v>
      </c>
      <c r="P189" s="401">
        <f t="shared" ca="1" si="60"/>
        <v>476.93851045997565</v>
      </c>
    </row>
    <row r="190" spans="3:16" x14ac:dyDescent="0.25">
      <c r="C190" s="230" t="s">
        <v>560</v>
      </c>
      <c r="D190" s="14" t="s">
        <v>612</v>
      </c>
      <c r="E190" s="492">
        <f t="shared" ref="E190:G190" si="61">+E182/E187</f>
        <v>139.90290259270736</v>
      </c>
      <c r="F190" s="492">
        <f t="shared" si="61"/>
        <v>193.62239291591399</v>
      </c>
      <c r="G190" s="492">
        <f t="shared" si="61"/>
        <v>225.59986119757914</v>
      </c>
      <c r="H190" s="474"/>
      <c r="I190" s="473"/>
      <c r="J190" s="473"/>
      <c r="K190" s="491"/>
      <c r="L190" s="490">
        <f ca="1">Buyer!H235/Buyer!H238</f>
        <v>350.28594417262252</v>
      </c>
      <c r="M190" s="490">
        <f ca="1">Buyer!I235/Buyer!I238</f>
        <v>376.08529526167717</v>
      </c>
      <c r="N190" s="490">
        <f ca="1">Buyer!J235/Buyer!J238</f>
        <v>382.67170848933876</v>
      </c>
      <c r="O190" s="490">
        <f ca="1">Buyer!K235/Buyer!K238</f>
        <v>414.89222343206484</v>
      </c>
      <c r="P190" s="490">
        <f ca="1">Buyer!L235/Buyer!L238</f>
        <v>426.87160611047238</v>
      </c>
    </row>
    <row r="191" spans="3:16" x14ac:dyDescent="0.25">
      <c r="C191" s="230" t="s">
        <v>608</v>
      </c>
      <c r="D191" s="14" t="s">
        <v>612</v>
      </c>
      <c r="E191" s="473"/>
      <c r="F191" s="473"/>
      <c r="G191" s="473"/>
      <c r="H191" s="474"/>
      <c r="I191" s="473"/>
      <c r="J191" s="473"/>
      <c r="K191" s="491"/>
      <c r="L191" s="492">
        <f ca="1">+L189-L190</f>
        <v>18.860034739341359</v>
      </c>
      <c r="M191" s="492">
        <f t="shared" ref="M191:N191" ca="1" si="62">+M189-M190</f>
        <v>52.543458314175837</v>
      </c>
      <c r="N191" s="492">
        <f t="shared" ca="1" si="62"/>
        <v>50.805581418900317</v>
      </c>
      <c r="O191" s="492">
        <f t="shared" ref="O191:P191" ca="1" si="63">+O189-O190</f>
        <v>49.06407366870792</v>
      </c>
      <c r="P191" s="492">
        <f t="shared" ca="1" si="63"/>
        <v>50.066904349503261</v>
      </c>
    </row>
    <row r="192" spans="3:16" x14ac:dyDescent="0.25">
      <c r="C192" s="230" t="s">
        <v>561</v>
      </c>
      <c r="D192" s="14" t="s">
        <v>11</v>
      </c>
      <c r="E192" s="473"/>
      <c r="F192" s="473"/>
      <c r="G192" s="473"/>
      <c r="H192" s="474"/>
      <c r="I192" s="473"/>
      <c r="J192" s="473"/>
      <c r="K192" s="491"/>
      <c r="L192" s="493">
        <f ca="1">+L191/L190</f>
        <v>5.3841825665853854E-2</v>
      </c>
      <c r="M192" s="493">
        <f t="shared" ref="M192:N192" ca="1" si="64">+M191/M190</f>
        <v>0.1397115467586057</v>
      </c>
      <c r="N192" s="493">
        <f t="shared" ca="1" si="64"/>
        <v>0.13276544957938996</v>
      </c>
      <c r="O192" s="493">
        <f t="shared" ref="O192:P192" ca="1" si="65">+O191/O190</f>
        <v>0.11825739528892798</v>
      </c>
      <c r="P192" s="493">
        <f t="shared" ca="1" si="65"/>
        <v>0.11728797051108192</v>
      </c>
    </row>
    <row r="193" spans="3:16" x14ac:dyDescent="0.25">
      <c r="C193" s="230"/>
      <c r="D193" s="14"/>
      <c r="E193" s="473"/>
      <c r="F193" s="473"/>
      <c r="G193" s="473"/>
      <c r="H193" s="474"/>
      <c r="I193" s="473"/>
      <c r="J193" s="473"/>
      <c r="K193" s="491"/>
      <c r="L193" s="473"/>
      <c r="M193" s="473"/>
      <c r="N193" s="473"/>
      <c r="O193" s="473"/>
      <c r="P193" s="473"/>
    </row>
    <row r="194" spans="3:16" x14ac:dyDescent="0.25">
      <c r="C194" s="230" t="s">
        <v>562</v>
      </c>
      <c r="D194" s="14" t="s">
        <v>612</v>
      </c>
      <c r="E194" s="619"/>
      <c r="F194" s="619"/>
      <c r="G194" s="619"/>
      <c r="H194" s="620"/>
      <c r="I194" s="619"/>
      <c r="J194" s="619"/>
      <c r="K194" s="621"/>
      <c r="L194" s="401">
        <f t="shared" ref="L194:P194" ca="1" si="66">L238/L187</f>
        <v>313.17292007993296</v>
      </c>
      <c r="M194" s="401">
        <f t="shared" ca="1" si="66"/>
        <v>304.22855124551842</v>
      </c>
      <c r="N194" s="401">
        <f t="shared" ca="1" si="66"/>
        <v>297.84202146249157</v>
      </c>
      <c r="O194" s="401">
        <f t="shared" ca="1" si="66"/>
        <v>309.63271011760639</v>
      </c>
      <c r="P194" s="401">
        <f t="shared" ca="1" si="66"/>
        <v>307.53598891543055</v>
      </c>
    </row>
    <row r="195" spans="3:16" x14ac:dyDescent="0.25">
      <c r="C195" s="230" t="s">
        <v>563</v>
      </c>
      <c r="D195" s="14" t="s">
        <v>612</v>
      </c>
      <c r="E195" s="619"/>
      <c r="F195" s="619"/>
      <c r="G195" s="619"/>
      <c r="H195" s="620"/>
      <c r="I195" s="619"/>
      <c r="J195" s="619"/>
      <c r="K195" s="621"/>
      <c r="L195" s="622">
        <f ca="1">'Capital &amp; Dividends'!H24/Buyer!H238</f>
        <v>364.7189718573718</v>
      </c>
      <c r="M195" s="622">
        <f ca="1">'Capital &amp; Dividends'!I24/Buyer!I238</f>
        <v>259.74550495547385</v>
      </c>
      <c r="N195" s="622">
        <f ca="1">'Capital &amp; Dividends'!J24/Buyer!J238</f>
        <v>254.73630230021513</v>
      </c>
      <c r="O195" s="622">
        <f ca="1">'Capital &amp; Dividends'!K24/Buyer!K238</f>
        <v>268.73906536854969</v>
      </c>
      <c r="P195" s="622">
        <f ca="1">'Capital &amp; Dividends'!L24/Buyer!L238</f>
        <v>264.99792377752027</v>
      </c>
    </row>
    <row r="196" spans="3:16" x14ac:dyDescent="0.25">
      <c r="C196" s="230" t="s">
        <v>609</v>
      </c>
      <c r="D196" s="14" t="s">
        <v>612</v>
      </c>
      <c r="E196" s="619"/>
      <c r="F196" s="619"/>
      <c r="G196" s="619"/>
      <c r="H196" s="620"/>
      <c r="I196" s="619"/>
      <c r="J196" s="619"/>
      <c r="K196" s="621"/>
      <c r="L196" s="623">
        <f ca="1">+L194-L195</f>
        <v>-51.546051777438834</v>
      </c>
      <c r="M196" s="623">
        <f t="shared" ref="M196:N196" ca="1" si="67">+M194-M195</f>
        <v>44.48304629004457</v>
      </c>
      <c r="N196" s="623">
        <f t="shared" ca="1" si="67"/>
        <v>43.105719162276444</v>
      </c>
      <c r="O196" s="623">
        <f t="shared" ref="O196:P196" ca="1" si="68">+O194-O195</f>
        <v>40.893644749056705</v>
      </c>
      <c r="P196" s="623">
        <f t="shared" ca="1" si="68"/>
        <v>42.53806513791028</v>
      </c>
    </row>
    <row r="197" spans="3:16" x14ac:dyDescent="0.25">
      <c r="C197" s="230" t="s">
        <v>564</v>
      </c>
      <c r="D197" s="14" t="s">
        <v>11</v>
      </c>
      <c r="E197" s="619"/>
      <c r="F197" s="619"/>
      <c r="G197" s="619"/>
      <c r="H197" s="620"/>
      <c r="I197" s="619"/>
      <c r="J197" s="619"/>
      <c r="K197" s="621"/>
      <c r="L197" s="624">
        <f ca="1">+L196/L195</f>
        <v>-0.14133087597537045</v>
      </c>
      <c r="M197" s="624">
        <f t="shared" ref="M197:N197" ca="1" si="69">+M196/M195</f>
        <v>0.17125626985410181</v>
      </c>
      <c r="N197" s="624">
        <f t="shared" ca="1" si="69"/>
        <v>0.169217024715523</v>
      </c>
      <c r="O197" s="624">
        <f t="shared" ref="O197:P197" ca="1" si="70">+O196/O195</f>
        <v>0.15216859034980648</v>
      </c>
      <c r="P197" s="624">
        <f t="shared" ca="1" si="70"/>
        <v>0.16052225818049515</v>
      </c>
    </row>
    <row r="198" spans="3:16" x14ac:dyDescent="0.25">
      <c r="C198" s="230"/>
      <c r="D198" s="14"/>
      <c r="E198" s="473"/>
      <c r="F198" s="473"/>
      <c r="G198" s="473"/>
      <c r="H198" s="474"/>
      <c r="I198" s="473"/>
      <c r="J198" s="473"/>
      <c r="K198" s="491"/>
      <c r="L198" s="473"/>
      <c r="M198" s="473"/>
      <c r="N198" s="473"/>
      <c r="O198" s="473"/>
      <c r="P198" s="473"/>
    </row>
    <row r="199" spans="3:16" x14ac:dyDescent="0.25">
      <c r="C199" s="230" t="s">
        <v>565</v>
      </c>
      <c r="D199" s="14" t="s">
        <v>612</v>
      </c>
      <c r="E199" s="473"/>
      <c r="F199" s="473"/>
      <c r="G199" s="473"/>
      <c r="H199" s="474"/>
      <c r="I199" s="473"/>
      <c r="J199" s="473"/>
      <c r="K199" s="489"/>
      <c r="L199" s="401">
        <f ca="1">L104/L187</f>
        <v>916.46807051745259</v>
      </c>
      <c r="M199" s="401">
        <f ca="1">M104/M187</f>
        <v>1040.8682728477872</v>
      </c>
      <c r="N199" s="401">
        <f ca="1">N104/N187</f>
        <v>1176.5035412935349</v>
      </c>
      <c r="O199" s="401">
        <f ca="1">O104/O187</f>
        <v>1330.8271282767012</v>
      </c>
      <c r="P199" s="401">
        <f ca="1">P104/P187</f>
        <v>1500.2296498212461</v>
      </c>
    </row>
    <row r="200" spans="3:16" x14ac:dyDescent="0.25">
      <c r="C200" s="230" t="s">
        <v>566</v>
      </c>
      <c r="D200" s="14" t="s">
        <v>612</v>
      </c>
      <c r="E200" s="473"/>
      <c r="F200" s="473"/>
      <c r="G200" s="473"/>
      <c r="H200" s="474"/>
      <c r="I200" s="473"/>
      <c r="J200" s="473"/>
      <c r="K200" s="487"/>
      <c r="L200" s="490">
        <f ca="1">Buyer!H191/Buyer!H238</f>
        <v>633.27928388586133</v>
      </c>
      <c r="M200" s="490">
        <f ca="1">Buyer!I191/Buyer!I238</f>
        <v>749.61907419206466</v>
      </c>
      <c r="N200" s="490">
        <f ca="1">Buyer!J191/Buyer!J238</f>
        <v>877.55448038118823</v>
      </c>
      <c r="O200" s="490">
        <f ca="1">Buyer!K191/Buyer!K238</f>
        <v>1023.7076384447034</v>
      </c>
      <c r="P200" s="490">
        <f ca="1">Buyer!L191/Buyer!L238</f>
        <v>1185.5813207776555</v>
      </c>
    </row>
    <row r="201" spans="3:16" x14ac:dyDescent="0.25">
      <c r="C201" s="230" t="s">
        <v>610</v>
      </c>
      <c r="D201" s="14" t="s">
        <v>612</v>
      </c>
      <c r="E201" s="473"/>
      <c r="F201" s="473"/>
      <c r="G201" s="473"/>
      <c r="H201" s="474"/>
      <c r="I201" s="473"/>
      <c r="J201" s="473"/>
      <c r="K201" s="494"/>
      <c r="L201" s="492">
        <f ca="1">+L199-L200</f>
        <v>283.18878663159126</v>
      </c>
      <c r="M201" s="492">
        <f t="shared" ref="M201:N201" ca="1" si="71">+M199-M200</f>
        <v>291.24919865572258</v>
      </c>
      <c r="N201" s="492">
        <f t="shared" ca="1" si="71"/>
        <v>298.94906091234668</v>
      </c>
      <c r="O201" s="492">
        <f t="shared" ref="O201:P201" ca="1" si="72">+O199-O200</f>
        <v>307.11948983199773</v>
      </c>
      <c r="P201" s="492">
        <f t="shared" ca="1" si="72"/>
        <v>314.64832904359059</v>
      </c>
    </row>
    <row r="202" spans="3:16" x14ac:dyDescent="0.25">
      <c r="C202" s="230" t="s">
        <v>567</v>
      </c>
      <c r="D202" s="14" t="s">
        <v>11</v>
      </c>
      <c r="E202" s="473"/>
      <c r="F202" s="473"/>
      <c r="G202" s="473"/>
      <c r="H202" s="474"/>
      <c r="I202" s="473"/>
      <c r="J202" s="473"/>
      <c r="K202" s="495"/>
      <c r="L202" s="493">
        <f ca="1">+L201/L200</f>
        <v>0.44717835217018026</v>
      </c>
      <c r="M202" s="493">
        <f t="shared" ref="M202:N202" ca="1" si="73">+M201/M200</f>
        <v>0.38852959947641325</v>
      </c>
      <c r="N202" s="493">
        <f t="shared" ca="1" si="73"/>
        <v>0.34066154021855205</v>
      </c>
      <c r="O202" s="493">
        <f t="shared" ref="O202:P202" ca="1" si="74">+O201/O200</f>
        <v>0.30000703159604986</v>
      </c>
      <c r="P202" s="493">
        <f t="shared" ca="1" si="74"/>
        <v>0.26539582188862765</v>
      </c>
    </row>
    <row r="203" spans="3:16" x14ac:dyDescent="0.25">
      <c r="C203" s="230"/>
      <c r="D203" s="14"/>
      <c r="E203" s="473"/>
      <c r="F203" s="473"/>
      <c r="G203" s="473"/>
      <c r="H203" s="474"/>
      <c r="I203" s="473"/>
      <c r="J203" s="473"/>
      <c r="K203" s="491"/>
      <c r="L203" s="473"/>
      <c r="M203" s="473"/>
      <c r="N203" s="473"/>
      <c r="O203" s="473"/>
      <c r="P203" s="473"/>
    </row>
    <row r="204" spans="3:16" x14ac:dyDescent="0.25">
      <c r="C204" s="230" t="s">
        <v>568</v>
      </c>
      <c r="D204" s="14" t="s">
        <v>612</v>
      </c>
      <c r="E204" s="473"/>
      <c r="F204" s="473"/>
      <c r="G204" s="473"/>
      <c r="H204" s="474"/>
      <c r="I204" s="473"/>
      <c r="J204" s="473"/>
      <c r="K204" s="489"/>
      <c r="L204" s="401">
        <f ca="1">(L104-L79-L80-L81)/L187</f>
        <v>784.06810195161631</v>
      </c>
      <c r="M204" s="401">
        <f ca="1">(M104-M79-M80-M81)/M187</f>
        <v>894.59605113045109</v>
      </c>
      <c r="N204" s="401">
        <f ca="1">(N104-N79-N80-N81)/N187</f>
        <v>1017.8594679390415</v>
      </c>
      <c r="O204" s="401">
        <f ca="1">(O104-O79-O80-O81)/O187</f>
        <v>1157.2690778393937</v>
      </c>
      <c r="P204" s="401">
        <f ca="1">(P104-P79-P80-P81)/P187</f>
        <v>1311.6260473038958</v>
      </c>
    </row>
    <row r="205" spans="3:16" x14ac:dyDescent="0.25">
      <c r="C205" s="230" t="s">
        <v>569</v>
      </c>
      <c r="D205" s="14" t="s">
        <v>612</v>
      </c>
      <c r="E205" s="473"/>
      <c r="F205" s="473"/>
      <c r="G205" s="473"/>
      <c r="H205" s="474"/>
      <c r="I205" s="473"/>
      <c r="J205" s="473"/>
      <c r="K205" s="487"/>
      <c r="L205" s="490">
        <f ca="1">(Buyer!H191-Buyer!H170)/Buyer!H238</f>
        <v>588.04694466777926</v>
      </c>
      <c r="M205" s="490">
        <f ca="1">(Buyer!I191-Buyer!I170)/Buyer!I238</f>
        <v>698.11396257811828</v>
      </c>
      <c r="N205" s="490">
        <f ca="1">(Buyer!J191-Buyer!J170)/Buyer!J238</f>
        <v>822.33981791170584</v>
      </c>
      <c r="O205" s="490">
        <f ca="1">(Buyer!K191-Buyer!K170)/Buyer!K238</f>
        <v>964.48862225316179</v>
      </c>
      <c r="P205" s="490">
        <f ca="1">(Buyer!L191-Buyer!L170)/Buyer!L238</f>
        <v>1123.1865812907458</v>
      </c>
    </row>
    <row r="206" spans="3:16" x14ac:dyDescent="0.25">
      <c r="C206" s="230" t="s">
        <v>611</v>
      </c>
      <c r="D206" s="14" t="s">
        <v>612</v>
      </c>
      <c r="E206" s="473"/>
      <c r="F206" s="473"/>
      <c r="G206" s="473"/>
      <c r="H206" s="474"/>
      <c r="I206" s="473"/>
      <c r="J206" s="473"/>
      <c r="K206" s="494"/>
      <c r="L206" s="492">
        <f ca="1">+L204-L205</f>
        <v>196.02115728383706</v>
      </c>
      <c r="M206" s="492">
        <f t="shared" ref="M206:N206" ca="1" si="75">+M204-M205</f>
        <v>196.48208855233281</v>
      </c>
      <c r="N206" s="492">
        <f t="shared" ca="1" si="75"/>
        <v>195.51965002733562</v>
      </c>
      <c r="O206" s="492">
        <f t="shared" ref="O206:P206" ca="1" si="76">+O204-O205</f>
        <v>192.78045558623194</v>
      </c>
      <c r="P206" s="492">
        <f t="shared" ca="1" si="76"/>
        <v>188.43946601314997</v>
      </c>
    </row>
    <row r="207" spans="3:16" x14ac:dyDescent="0.25">
      <c r="C207" s="230" t="s">
        <v>570</v>
      </c>
      <c r="D207" s="14" t="s">
        <v>11</v>
      </c>
      <c r="E207" s="473"/>
      <c r="F207" s="473"/>
      <c r="G207" s="473"/>
      <c r="H207" s="474"/>
      <c r="I207" s="473"/>
      <c r="J207" s="473"/>
      <c r="K207" s="495"/>
      <c r="L207" s="493">
        <f ca="1">+L206/L205</f>
        <v>0.33334270173715536</v>
      </c>
      <c r="M207" s="493">
        <f t="shared" ref="M207:N207" ca="1" si="77">+M206/M205</f>
        <v>0.28144701164080593</v>
      </c>
      <c r="N207" s="493">
        <f t="shared" ca="1" si="77"/>
        <v>0.23776016406921505</v>
      </c>
      <c r="O207" s="493">
        <f t="shared" ref="O207:P207" ca="1" si="78">+O206/O205</f>
        <v>0.19987841342894594</v>
      </c>
      <c r="P207" s="493">
        <f t="shared" ca="1" si="78"/>
        <v>0.1677721842052268</v>
      </c>
    </row>
    <row r="208" spans="3:16" x14ac:dyDescent="0.25">
      <c r="C208" s="232"/>
      <c r="F208" s="243"/>
      <c r="G208" s="243"/>
      <c r="H208" s="243"/>
      <c r="I208" s="243"/>
      <c r="J208" s="243"/>
      <c r="K208" s="243"/>
      <c r="L208" s="243"/>
    </row>
    <row r="209" spans="1:16" outlineLevel="1" x14ac:dyDescent="0.25">
      <c r="B209" s="224"/>
      <c r="C209" s="224"/>
      <c r="D209" s="224"/>
      <c r="E209" s="225" t="str">
        <f>+$E$67</f>
        <v>Historical</v>
      </c>
      <c r="F209" s="225"/>
      <c r="G209" s="226"/>
      <c r="H209" s="225" t="str">
        <f>+$H$67</f>
        <v>Transaction Adjustments</v>
      </c>
      <c r="I209" s="225"/>
      <c r="J209" s="225"/>
      <c r="K209" s="226"/>
      <c r="L209" s="225" t="str">
        <f>+$L$67</f>
        <v>Projected</v>
      </c>
      <c r="M209" s="225"/>
      <c r="N209" s="226"/>
      <c r="O209" s="226"/>
      <c r="P209" s="226"/>
    </row>
    <row r="210" spans="1:16" outlineLevel="1" x14ac:dyDescent="0.25">
      <c r="B210" s="227" t="s">
        <v>25</v>
      </c>
      <c r="C210" s="227"/>
      <c r="D210" s="7" t="str">
        <f>+$D$68</f>
        <v>Units:</v>
      </c>
      <c r="E210" s="8">
        <f>+$E$68</f>
        <v>43465</v>
      </c>
      <c r="F210" s="228">
        <f>+$F$68</f>
        <v>43830</v>
      </c>
      <c r="G210" s="229">
        <f>+$G$68</f>
        <v>44196</v>
      </c>
      <c r="H210" s="228" t="str">
        <f>+$H$68</f>
        <v>Seller:</v>
      </c>
      <c r="I210" s="228" t="str">
        <f>+$I$68</f>
        <v>Debit:</v>
      </c>
      <c r="J210" s="228" t="str">
        <f>+$J$68</f>
        <v>Credit:</v>
      </c>
      <c r="K210" s="229">
        <f>+$K$68</f>
        <v>44196</v>
      </c>
      <c r="L210" s="228">
        <f>+$L$68</f>
        <v>44561</v>
      </c>
      <c r="M210" s="228">
        <f>+$M$68</f>
        <v>44926</v>
      </c>
      <c r="N210" s="228">
        <f>+$N$68</f>
        <v>45291</v>
      </c>
      <c r="O210" s="228">
        <f t="shared" ref="O210:P210" si="79">+$N$68</f>
        <v>45291</v>
      </c>
      <c r="P210" s="228">
        <f t="shared" si="79"/>
        <v>45291</v>
      </c>
    </row>
    <row r="211" spans="1:16" s="222" customFormat="1" outlineLevel="1" x14ac:dyDescent="0.25">
      <c r="A211" s="223"/>
      <c r="B211" s="593"/>
      <c r="C211" s="597" t="str">
        <f>'Capital &amp; Dividends'!C32</f>
        <v>Total Equity:</v>
      </c>
      <c r="D211" s="594"/>
      <c r="E211" s="595"/>
      <c r="F211" s="595"/>
      <c r="G211" s="595"/>
      <c r="H211" s="595"/>
      <c r="I211" s="595"/>
      <c r="J211" s="595"/>
      <c r="K211" s="595"/>
      <c r="L211" s="595"/>
      <c r="M211" s="595"/>
      <c r="N211" s="595"/>
      <c r="O211" s="595"/>
      <c r="P211" s="595"/>
    </row>
    <row r="212" spans="1:16" s="222" customFormat="1" outlineLevel="1" x14ac:dyDescent="0.25">
      <c r="A212" s="223"/>
      <c r="B212" s="593"/>
      <c r="C212" s="597" t="str">
        <f>'Capital &amp; Dividends'!C33</f>
        <v>(+) Share Capital</v>
      </c>
      <c r="D212" s="14" t="s">
        <v>3</v>
      </c>
      <c r="E212" s="303">
        <f>'Capital &amp; Dividends'!E33</f>
        <v>188</v>
      </c>
      <c r="F212" s="303">
        <f>'Capital &amp; Dividends'!F33</f>
        <v>230</v>
      </c>
      <c r="G212" s="603">
        <f>'Capital &amp; Dividends'!G33</f>
        <v>230</v>
      </c>
      <c r="H212" s="611">
        <f t="shared" ref="H212:J212" si="80">H98</f>
        <v>77296</v>
      </c>
      <c r="I212" s="611">
        <f t="shared" si="80"/>
        <v>77296</v>
      </c>
      <c r="J212" s="611">
        <f t="shared" ca="1" si="80"/>
        <v>66558.062434063206</v>
      </c>
      <c r="K212" s="609">
        <f ca="1">G212+H212-I212+J212</f>
        <v>66788.062434063206</v>
      </c>
      <c r="L212" s="611">
        <f ca="1">L98</f>
        <v>93786.062434063206</v>
      </c>
      <c r="M212" s="611">
        <f t="shared" ref="M212:P212" ca="1" si="81">M98</f>
        <v>93786.062434063206</v>
      </c>
      <c r="N212" s="611">
        <f t="shared" ca="1" si="81"/>
        <v>93786.062434063206</v>
      </c>
      <c r="O212" s="611">
        <f t="shared" ca="1" si="81"/>
        <v>93786.062434063206</v>
      </c>
      <c r="P212" s="611">
        <f t="shared" ca="1" si="81"/>
        <v>93786.062434063206</v>
      </c>
    </row>
    <row r="213" spans="1:16" s="222" customFormat="1" outlineLevel="1" x14ac:dyDescent="0.25">
      <c r="A213" s="223"/>
      <c r="B213" s="593"/>
      <c r="C213" s="597" t="str">
        <f>'Capital &amp; Dividends'!C34</f>
        <v>(+) Share Premium</v>
      </c>
      <c r="D213" s="14" t="s">
        <v>3</v>
      </c>
      <c r="E213" s="303">
        <f>'Capital &amp; Dividends'!E34</f>
        <v>8623</v>
      </c>
      <c r="F213" s="303">
        <f>'Capital &amp; Dividends'!F34</f>
        <v>26998</v>
      </c>
      <c r="G213" s="603">
        <f>'Capital &amp; Dividends'!G34</f>
        <v>26998</v>
      </c>
      <c r="H213" s="611">
        <v>0</v>
      </c>
      <c r="I213" s="611">
        <v>0</v>
      </c>
      <c r="J213" s="611">
        <v>0</v>
      </c>
      <c r="K213" s="609">
        <f t="shared" ref="K213:K219" si="82">G213+H213-I213+J213</f>
        <v>26998</v>
      </c>
      <c r="L213" s="611">
        <v>0</v>
      </c>
      <c r="M213" s="611">
        <v>0</v>
      </c>
      <c r="N213" s="611">
        <v>0</v>
      </c>
      <c r="O213" s="611">
        <v>0</v>
      </c>
      <c r="P213" s="611">
        <v>0</v>
      </c>
    </row>
    <row r="214" spans="1:16" s="222" customFormat="1" outlineLevel="1" x14ac:dyDescent="0.25">
      <c r="A214" s="223"/>
      <c r="B214" s="593"/>
      <c r="C214" s="597" t="str">
        <f>'Capital &amp; Dividends'!C35</f>
        <v>(-) Treasury Shares</v>
      </c>
      <c r="D214" s="14" t="s">
        <v>3</v>
      </c>
      <c r="E214" s="303">
        <f>'Capital &amp; Dividends'!E35</f>
        <v>-3670</v>
      </c>
      <c r="F214" s="303">
        <f>'Capital &amp; Dividends'!F35</f>
        <v>-3164</v>
      </c>
      <c r="G214" s="603">
        <f>'Capital &amp; Dividends'!G35</f>
        <v>-3238</v>
      </c>
      <c r="H214" s="611">
        <f t="shared" ref="H214:J214" si="83">H99</f>
        <v>0</v>
      </c>
      <c r="I214" s="611">
        <f t="shared" si="83"/>
        <v>0</v>
      </c>
      <c r="J214" s="611">
        <f t="shared" si="83"/>
        <v>0</v>
      </c>
      <c r="K214" s="609">
        <f t="shared" si="82"/>
        <v>-3238</v>
      </c>
      <c r="L214" s="611">
        <f t="shared" ref="L214:P214" si="84">L99</f>
        <v>-3238</v>
      </c>
      <c r="M214" s="611">
        <f t="shared" si="84"/>
        <v>-3238</v>
      </c>
      <c r="N214" s="611">
        <f t="shared" si="84"/>
        <v>-3238</v>
      </c>
      <c r="O214" s="611">
        <f t="shared" si="84"/>
        <v>-3238</v>
      </c>
      <c r="P214" s="611">
        <f t="shared" si="84"/>
        <v>-3238</v>
      </c>
    </row>
    <row r="215" spans="1:16" s="222" customFormat="1" outlineLevel="1" x14ac:dyDescent="0.25">
      <c r="A215" s="223"/>
      <c r="B215" s="593"/>
      <c r="C215" s="597" t="str">
        <f>'Capital &amp; Dividends'!C36</f>
        <v>(+) Share-Based Premium Reserve</v>
      </c>
      <c r="D215" s="14" t="s">
        <v>3</v>
      </c>
      <c r="E215" s="303">
        <f>'Capital &amp; Dividends'!E36</f>
        <v>1232</v>
      </c>
      <c r="F215" s="303">
        <f>'Capital &amp; Dividends'!F36</f>
        <v>1039</v>
      </c>
      <c r="G215" s="603">
        <f>'Capital &amp; Dividends'!G36</f>
        <v>1548</v>
      </c>
      <c r="H215" s="611">
        <v>0</v>
      </c>
      <c r="I215" s="611">
        <v>0</v>
      </c>
      <c r="J215" s="611">
        <v>0</v>
      </c>
      <c r="K215" s="609">
        <f t="shared" si="82"/>
        <v>1548</v>
      </c>
      <c r="L215" s="611">
        <f t="shared" ref="L215:P215" si="85">L103</f>
        <v>1548</v>
      </c>
      <c r="M215" s="611">
        <f t="shared" si="85"/>
        <v>1548</v>
      </c>
      <c r="N215" s="611">
        <f t="shared" si="85"/>
        <v>1548</v>
      </c>
      <c r="O215" s="611">
        <f t="shared" si="85"/>
        <v>1548</v>
      </c>
      <c r="P215" s="611">
        <f t="shared" si="85"/>
        <v>1548</v>
      </c>
    </row>
    <row r="216" spans="1:16" s="222" customFormat="1" outlineLevel="1" x14ac:dyDescent="0.25">
      <c r="A216" s="223"/>
      <c r="B216" s="593"/>
      <c r="C216" s="597" t="str">
        <f>'Capital &amp; Dividends'!C37</f>
        <v>(+) Retained Earnings</v>
      </c>
      <c r="D216" s="14" t="s">
        <v>3</v>
      </c>
      <c r="E216" s="303">
        <f>'Capital &amp; Dividends'!E37</f>
        <v>36785</v>
      </c>
      <c r="F216" s="303">
        <f>'Capital &amp; Dividends'!F37</f>
        <v>66880</v>
      </c>
      <c r="G216" s="603">
        <f>'Capital &amp; Dividends'!G37</f>
        <v>99540</v>
      </c>
      <c r="H216" s="611">
        <f t="shared" ref="H216:J216" si="86">H101</f>
        <v>83353</v>
      </c>
      <c r="I216" s="611">
        <f t="shared" si="86"/>
        <v>84173.196835319337</v>
      </c>
      <c r="J216" s="611">
        <f t="shared" si="86"/>
        <v>164.0393670638685</v>
      </c>
      <c r="K216" s="609">
        <f>G216+H216-I216+J216</f>
        <v>98883.842531744536</v>
      </c>
      <c r="L216" s="611">
        <f t="shared" ref="L216:P216" ca="1" si="87">L101</f>
        <v>111426.88286968553</v>
      </c>
      <c r="M216" s="611">
        <f t="shared" ca="1" si="87"/>
        <v>139303.80774098606</v>
      </c>
      <c r="N216" s="611">
        <f t="shared" ca="1" si="87"/>
        <v>169698.40612210758</v>
      </c>
      <c r="O216" s="611">
        <f t="shared" ca="1" si="87"/>
        <v>204280.88235293835</v>
      </c>
      <c r="P216" s="611">
        <f t="shared" ca="1" si="87"/>
        <v>242242.40715469181</v>
      </c>
    </row>
    <row r="217" spans="1:16" s="222" customFormat="1" outlineLevel="1" x14ac:dyDescent="0.25">
      <c r="A217" s="223"/>
      <c r="B217" s="593"/>
      <c r="C217" s="597" t="str">
        <f>'Capital &amp; Dividends'!C38</f>
        <v>(+) Revaluation reserve</v>
      </c>
      <c r="D217" s="14" t="s">
        <v>3</v>
      </c>
      <c r="E217" s="303">
        <f>'Capital &amp; Dividends'!E38</f>
        <v>-1144</v>
      </c>
      <c r="F217" s="303">
        <f>'Capital &amp; Dividends'!F38</f>
        <v>3996</v>
      </c>
      <c r="G217" s="603">
        <f>'Capital &amp; Dividends'!G38</f>
        <v>1849</v>
      </c>
      <c r="H217" s="611">
        <f t="shared" ref="H217" si="88">H100</f>
        <v>3564</v>
      </c>
      <c r="I217" s="611">
        <f>I100</f>
        <v>3564</v>
      </c>
      <c r="J217" s="611">
        <f>J100</f>
        <v>0</v>
      </c>
      <c r="K217" s="609">
        <f>G217+H217-I217+J217</f>
        <v>1849</v>
      </c>
      <c r="L217" s="611">
        <f t="shared" ref="L217:P217" si="89">L100</f>
        <v>1849</v>
      </c>
      <c r="M217" s="611">
        <f t="shared" si="89"/>
        <v>1849</v>
      </c>
      <c r="N217" s="611">
        <f t="shared" si="89"/>
        <v>1849</v>
      </c>
      <c r="O217" s="611">
        <f t="shared" si="89"/>
        <v>1849</v>
      </c>
      <c r="P217" s="611">
        <f t="shared" si="89"/>
        <v>1849</v>
      </c>
    </row>
    <row r="218" spans="1:16" s="222" customFormat="1" outlineLevel="1" x14ac:dyDescent="0.25">
      <c r="A218" s="223"/>
      <c r="B218" s="593"/>
      <c r="C218" s="597" t="str">
        <f>'Capital &amp; Dividends'!C39</f>
        <v>(-) Goodwill &amp; Other Intangible Assets:</v>
      </c>
      <c r="D218" s="14" t="s">
        <v>3</v>
      </c>
      <c r="E218" s="303">
        <f>'Capital &amp; Dividends'!E39</f>
        <v>-4223</v>
      </c>
      <c r="F218" s="303">
        <f>'Capital &amp; Dividends'!F39</f>
        <v>-5435</v>
      </c>
      <c r="G218" s="603">
        <f>'Capital &amp; Dividends'!G39</f>
        <v>-7082</v>
      </c>
      <c r="H218" s="611">
        <f>-(H79+H80+H81)</f>
        <v>-8277</v>
      </c>
      <c r="I218" s="611">
        <f>-(I79+I80+I81)</f>
        <v>-10798.338042579006</v>
      </c>
      <c r="J218" s="611">
        <f>-(J79+J80+J81)</f>
        <v>0</v>
      </c>
      <c r="K218" s="609">
        <f>G218+H218+I218-J218</f>
        <v>-26157.338042579006</v>
      </c>
      <c r="L218" s="611">
        <f>-(L79+L80+L81)</f>
        <v>-29669.597858623019</v>
      </c>
      <c r="M218" s="611">
        <f>-(M79+M80+M81)</f>
        <v>-32778.240382154705</v>
      </c>
      <c r="N218" s="611">
        <f>-(N79+N80+N81)</f>
        <v>-35550.656922861628</v>
      </c>
      <c r="O218" s="611">
        <f>-(O79+O80+O81)</f>
        <v>-38892.74006164867</v>
      </c>
      <c r="P218" s="611">
        <f>-(P79+P80+P81)</f>
        <v>-42264.307929913455</v>
      </c>
    </row>
    <row r="219" spans="1:16" s="222" customFormat="1" outlineLevel="1" x14ac:dyDescent="0.25">
      <c r="A219" s="223"/>
      <c r="B219" s="593"/>
      <c r="C219" s="598" t="str">
        <f>'Capital &amp; Dividends'!C40</f>
        <v>(+) NCI:</v>
      </c>
      <c r="D219" s="16" t="s">
        <v>3</v>
      </c>
      <c r="E219" s="600">
        <f>'Capital &amp; Dividends'!E40</f>
        <v>236</v>
      </c>
      <c r="F219" s="600">
        <f>'Capital &amp; Dividends'!F40</f>
        <v>103</v>
      </c>
      <c r="G219" s="604">
        <f>'Capital &amp; Dividends'!G40</f>
        <v>89</v>
      </c>
      <c r="H219" s="613">
        <f t="shared" ref="H219:J219" si="90">H105</f>
        <v>0</v>
      </c>
      <c r="I219" s="612">
        <f t="shared" si="90"/>
        <v>0</v>
      </c>
      <c r="J219" s="612">
        <f t="shared" si="90"/>
        <v>32313.960000000003</v>
      </c>
      <c r="K219" s="608">
        <f t="shared" si="82"/>
        <v>32402.960000000003</v>
      </c>
      <c r="L219" s="613">
        <f t="shared" ref="L219:P219" ca="1" si="91">L105</f>
        <v>32814.910440394226</v>
      </c>
      <c r="M219" s="612">
        <f t="shared" ca="1" si="91"/>
        <v>33572.91413740733</v>
      </c>
      <c r="N219" s="612">
        <f t="shared" ca="1" si="91"/>
        <v>34452.566376367628</v>
      </c>
      <c r="O219" s="612">
        <f t="shared" ca="1" si="91"/>
        <v>35437.197404799997</v>
      </c>
      <c r="P219" s="612">
        <f t="shared" ca="1" si="91"/>
        <v>36536.757265721651</v>
      </c>
    </row>
    <row r="220" spans="1:16" s="222" customFormat="1" outlineLevel="1" x14ac:dyDescent="0.25">
      <c r="A220" s="223"/>
      <c r="B220" s="593"/>
      <c r="C220" s="596" t="str">
        <f>'Capital &amp; Dividends'!C41</f>
        <v>Common Equity Tier 1 (CET 1):</v>
      </c>
      <c r="D220" s="58" t="s">
        <v>3</v>
      </c>
      <c r="E220" s="601">
        <f>SUM(E212:E219)</f>
        <v>38027</v>
      </c>
      <c r="F220" s="601">
        <f t="shared" ref="F220:G220" si="92">SUM(F212:F219)</f>
        <v>90647</v>
      </c>
      <c r="G220" s="605">
        <f t="shared" si="92"/>
        <v>119934</v>
      </c>
      <c r="H220" s="595"/>
      <c r="I220" s="595"/>
      <c r="J220" s="595"/>
      <c r="K220" s="616">
        <f ca="1">SUM(K212:K219)</f>
        <v>199074.52692322872</v>
      </c>
      <c r="L220" s="610">
        <f t="shared" ref="L220:P220" ca="1" si="93">SUM(L212:L219)</f>
        <v>208517.25788551994</v>
      </c>
      <c r="M220" s="610">
        <f t="shared" ca="1" si="93"/>
        <v>234043.54393030188</v>
      </c>
      <c r="N220" s="610">
        <f t="shared" ca="1" si="93"/>
        <v>262545.37800967682</v>
      </c>
      <c r="O220" s="610">
        <f t="shared" ca="1" si="93"/>
        <v>294770.40213015291</v>
      </c>
      <c r="P220" s="610">
        <f t="shared" ca="1" si="93"/>
        <v>330459.91892456322</v>
      </c>
    </row>
    <row r="221" spans="1:16" s="222" customFormat="1" outlineLevel="1" x14ac:dyDescent="0.25">
      <c r="A221" s="223"/>
      <c r="B221" s="593"/>
      <c r="C221" s="598" t="str">
        <f>'Capital &amp; Dividends'!C42</f>
        <v>(+) Additional Tier 1 Capital:</v>
      </c>
      <c r="D221" s="16" t="s">
        <v>3</v>
      </c>
      <c r="E221" s="600">
        <f>'Capital &amp; Dividends'!E42</f>
        <v>20644</v>
      </c>
      <c r="F221" s="600">
        <f>'Capital &amp; Dividends'!F42</f>
        <v>18487</v>
      </c>
      <c r="G221" s="604">
        <f>'Capital &amp; Dividends'!G42</f>
        <v>20755</v>
      </c>
      <c r="H221" s="599">
        <v>0</v>
      </c>
      <c r="I221" s="599"/>
      <c r="J221" s="599"/>
      <c r="K221" s="608">
        <f t="shared" ref="K221:K223" si="94">G221+H221-I221+J221</f>
        <v>20755</v>
      </c>
      <c r="L221" s="613">
        <f>Buyer!H179</f>
        <v>20755</v>
      </c>
      <c r="M221" s="612">
        <f>Buyer!I179</f>
        <v>20755</v>
      </c>
      <c r="N221" s="612">
        <f>Buyer!J179</f>
        <v>20755</v>
      </c>
      <c r="O221" s="612">
        <f>Buyer!K179</f>
        <v>20755</v>
      </c>
      <c r="P221" s="612">
        <f>Buyer!L179</f>
        <v>20755</v>
      </c>
    </row>
    <row r="222" spans="1:16" s="222" customFormat="1" outlineLevel="1" x14ac:dyDescent="0.25">
      <c r="A222" s="223"/>
      <c r="B222" s="593"/>
      <c r="C222" s="596" t="str">
        <f>'Capital &amp; Dividends'!C43</f>
        <v>Tier 1 Capital:</v>
      </c>
      <c r="D222" s="58" t="s">
        <v>3</v>
      </c>
      <c r="E222" s="601">
        <f>SUM(E220:E221)</f>
        <v>58671</v>
      </c>
      <c r="F222" s="601">
        <f t="shared" ref="F222:G222" si="95">SUM(F220:F221)</f>
        <v>109134</v>
      </c>
      <c r="G222" s="605">
        <f t="shared" si="95"/>
        <v>140689</v>
      </c>
      <c r="H222" s="595"/>
      <c r="I222" s="595"/>
      <c r="J222" s="595"/>
      <c r="K222" s="607">
        <f ca="1">SUM(K220:K221)</f>
        <v>219829.52692322872</v>
      </c>
      <c r="L222" s="610">
        <f ca="1">SUM(L220:L221)</f>
        <v>229272.25788551994</v>
      </c>
      <c r="M222" s="610">
        <f t="shared" ref="M222:P222" ca="1" si="96">SUM(M220:M221)</f>
        <v>254798.54393030188</v>
      </c>
      <c r="N222" s="610">
        <f t="shared" ca="1" si="96"/>
        <v>283300.37800967682</v>
      </c>
      <c r="O222" s="610">
        <f t="shared" ca="1" si="96"/>
        <v>315525.40213015291</v>
      </c>
      <c r="P222" s="610">
        <f t="shared" ca="1" si="96"/>
        <v>351214.91892456322</v>
      </c>
    </row>
    <row r="223" spans="1:16" s="222" customFormat="1" outlineLevel="1" x14ac:dyDescent="0.25">
      <c r="A223" s="223"/>
      <c r="B223" s="593"/>
      <c r="C223" s="598" t="s">
        <v>613</v>
      </c>
      <c r="D223" s="16" t="s">
        <v>3</v>
      </c>
      <c r="E223" s="602">
        <v>0</v>
      </c>
      <c r="F223" s="602">
        <v>0</v>
      </c>
      <c r="G223" s="606">
        <v>0</v>
      </c>
      <c r="H223" s="614">
        <f>'Merger-Model'!H90</f>
        <v>21450</v>
      </c>
      <c r="I223" s="599"/>
      <c r="J223" s="599"/>
      <c r="K223" s="608">
        <f t="shared" si="94"/>
        <v>21450</v>
      </c>
      <c r="L223" s="613">
        <f>L90-L221</f>
        <v>21450</v>
      </c>
      <c r="M223" s="612">
        <f>M90-M221</f>
        <v>21450</v>
      </c>
      <c r="N223" s="612">
        <f>N90-N221</f>
        <v>21450</v>
      </c>
      <c r="O223" s="612">
        <f>O90-O221</f>
        <v>21450</v>
      </c>
      <c r="P223" s="612">
        <f>P90-P221</f>
        <v>21450</v>
      </c>
    </row>
    <row r="224" spans="1:16" s="222" customFormat="1" outlineLevel="1" x14ac:dyDescent="0.25">
      <c r="A224" s="223"/>
      <c r="B224" s="593"/>
      <c r="C224" s="596" t="s">
        <v>269</v>
      </c>
      <c r="D224" s="58" t="s">
        <v>3</v>
      </c>
      <c r="E224" s="601">
        <f>SUM(E222:E223)</f>
        <v>58671</v>
      </c>
      <c r="F224" s="601">
        <f t="shared" ref="F224" si="97">SUM(F222:F223)</f>
        <v>109134</v>
      </c>
      <c r="G224" s="605">
        <f t="shared" ref="G224" si="98">SUM(G222:G223)</f>
        <v>140689</v>
      </c>
      <c r="H224" s="595"/>
      <c r="I224" s="595"/>
      <c r="J224" s="595"/>
      <c r="K224" s="607">
        <f ca="1">SUM(K222:K223)</f>
        <v>241279.52692322872</v>
      </c>
      <c r="L224" s="610">
        <f ca="1">SUM(L222:L223)</f>
        <v>250722.25788551994</v>
      </c>
      <c r="M224" s="610">
        <f t="shared" ref="M224:P224" ca="1" si="99">SUM(M222:M223)</f>
        <v>276248.54393030191</v>
      </c>
      <c r="N224" s="610">
        <f t="shared" ca="1" si="99"/>
        <v>304750.37800967682</v>
      </c>
      <c r="O224" s="610">
        <f t="shared" ca="1" si="99"/>
        <v>336975.40213015291</v>
      </c>
      <c r="P224" s="610">
        <f t="shared" ca="1" si="99"/>
        <v>372664.91892456322</v>
      </c>
    </row>
    <row r="225" spans="3:16" outlineLevel="1" x14ac:dyDescent="0.25">
      <c r="H225" s="422"/>
      <c r="K225" s="438"/>
    </row>
    <row r="226" spans="3:16" outlineLevel="1" x14ac:dyDescent="0.25">
      <c r="C226" s="223" t="s">
        <v>394</v>
      </c>
      <c r="D226" s="14" t="s">
        <v>3</v>
      </c>
      <c r="E226" s="391">
        <f>'Capital &amp; Dividends'!E46</f>
        <v>393319</v>
      </c>
      <c r="F226" s="391">
        <f>'Capital &amp; Dividends'!F46</f>
        <v>577792</v>
      </c>
      <c r="G226" s="391">
        <f>'Capital &amp; Dividends'!G46</f>
        <v>786809</v>
      </c>
      <c r="H226" s="431">
        <f>Seller!G240</f>
        <v>923200</v>
      </c>
      <c r="I226" s="117">
        <v>0</v>
      </c>
      <c r="J226" s="117">
        <v>0</v>
      </c>
      <c r="K226" s="442">
        <f>G226+H226+I226-J226</f>
        <v>1710009</v>
      </c>
      <c r="L226" s="119">
        <f ca="1">'Capital &amp; Dividends'!H46+Seller!H240</f>
        <v>1910602.1490459996</v>
      </c>
      <c r="M226" s="119">
        <f ca="1">'Capital &amp; Dividends'!I46+Seller!I240</f>
        <v>2123321.1994191823</v>
      </c>
      <c r="N226" s="119">
        <f ca="1">'Capital &amp; Dividends'!J46+Seller!J240</f>
        <v>2360836.4834139734</v>
      </c>
      <c r="O226" s="119">
        <f ca="1">'Capital &amp; Dividends'!K46+Seller!K240</f>
        <v>2629378.3510846086</v>
      </c>
      <c r="P226" s="119">
        <f ca="1">'Capital &amp; Dividends'!L46+Seller!L240</f>
        <v>2926790.99103803</v>
      </c>
    </row>
    <row r="227" spans="3:16" outlineLevel="1" x14ac:dyDescent="0.25">
      <c r="E227" s="243"/>
      <c r="F227" s="243"/>
      <c r="G227" s="243"/>
      <c r="H227" s="465"/>
      <c r="I227" s="243"/>
      <c r="J227" s="243"/>
      <c r="K227" s="466"/>
      <c r="L227" s="243"/>
    </row>
    <row r="228" spans="3:16" outlineLevel="1" x14ac:dyDescent="0.25">
      <c r="C228" s="1" t="s">
        <v>571</v>
      </c>
      <c r="D228" s="14" t="s">
        <v>11</v>
      </c>
      <c r="E228" s="617">
        <f>'Capital &amp; Dividends'!E54</f>
        <v>0.14916899514134838</v>
      </c>
      <c r="F228" s="617">
        <f>'Capital &amp; Dividends'!F54</f>
        <v>0.18888111984935754</v>
      </c>
      <c r="G228" s="617">
        <f>'Capital &amp; Dividends'!G54</f>
        <v>0.17880959673821728</v>
      </c>
      <c r="H228" s="502"/>
      <c r="I228" s="501"/>
      <c r="J228" s="501"/>
      <c r="K228" s="503">
        <f t="shared" ref="K228:P228" ca="1" si="100">+K220/K226</f>
        <v>0.11641723927957615</v>
      </c>
      <c r="L228" s="501">
        <f t="shared" ca="1" si="100"/>
        <v>0.10913693255795646</v>
      </c>
      <c r="M228" s="501">
        <f t="shared" ca="1" si="100"/>
        <v>0.11022521886670875</v>
      </c>
      <c r="N228" s="501">
        <f t="shared" ca="1" si="100"/>
        <v>0.11120862450838337</v>
      </c>
      <c r="O228" s="501">
        <f t="shared" ca="1" si="100"/>
        <v>0.11210649924479725</v>
      </c>
      <c r="P228" s="501">
        <f t="shared" ca="1" si="100"/>
        <v>0.11290861559176819</v>
      </c>
    </row>
    <row r="229" spans="3:16" outlineLevel="1" x14ac:dyDescent="0.25">
      <c r="C229" s="1" t="s">
        <v>27</v>
      </c>
      <c r="D229" s="14" t="s">
        <v>11</v>
      </c>
      <c r="E229" s="617">
        <f>'Capital &amp; Dividends'!E55</f>
        <v>0.14916899514134838</v>
      </c>
      <c r="F229" s="617">
        <f>'Capital &amp; Dividends'!F55</f>
        <v>0.18888111984935754</v>
      </c>
      <c r="G229" s="617">
        <f>'Capital &amp; Dividends'!G55</f>
        <v>0.17880959673821728</v>
      </c>
      <c r="H229" s="502"/>
      <c r="I229" s="501"/>
      <c r="J229" s="501"/>
      <c r="K229" s="503">
        <f t="shared" ref="K229:P229" ca="1" si="101">+K222/K226</f>
        <v>0.12855460229930293</v>
      </c>
      <c r="L229" s="501">
        <f ca="1">+L222/L226</f>
        <v>0.12</v>
      </c>
      <c r="M229" s="501">
        <f t="shared" ca="1" si="101"/>
        <v>0.12000000000000001</v>
      </c>
      <c r="N229" s="501">
        <f t="shared" ca="1" si="101"/>
        <v>0.12000000000000001</v>
      </c>
      <c r="O229" s="501">
        <f t="shared" ca="1" si="101"/>
        <v>0.11999999999999995</v>
      </c>
      <c r="P229" s="501">
        <f t="shared" ca="1" si="101"/>
        <v>0.11999999999999987</v>
      </c>
    </row>
    <row r="230" spans="3:16" outlineLevel="1" x14ac:dyDescent="0.25">
      <c r="C230" s="1" t="s">
        <v>28</v>
      </c>
      <c r="D230" s="14" t="s">
        <v>11</v>
      </c>
      <c r="E230" s="617">
        <f>'Capital &amp; Dividends'!E56</f>
        <v>0.15802529654488845</v>
      </c>
      <c r="F230" s="617">
        <f>'Capital &amp; Dividends'!F56</f>
        <v>0.18993369184984077</v>
      </c>
      <c r="G230" s="617">
        <f>'Capital &amp; Dividends'!G56</f>
        <v>0.16508685632213579</v>
      </c>
      <c r="H230" s="502"/>
      <c r="I230" s="501"/>
      <c r="J230" s="501"/>
      <c r="K230" s="503">
        <f t="shared" ref="K230:P230" ca="1" si="102">+K224/K226</f>
        <v>0.14109839592845927</v>
      </c>
      <c r="L230" s="501">
        <f t="shared" ca="1" si="102"/>
        <v>0.13122682710825506</v>
      </c>
      <c r="M230" s="501">
        <f t="shared" ca="1" si="102"/>
        <v>0.13010209854536728</v>
      </c>
      <c r="N230" s="501">
        <f t="shared" ca="1" si="102"/>
        <v>0.12908576267382207</v>
      </c>
      <c r="O230" s="501">
        <f t="shared" ca="1" si="102"/>
        <v>0.12815782178747759</v>
      </c>
      <c r="P230" s="501">
        <f t="shared" ca="1" si="102"/>
        <v>0.1273288458471003</v>
      </c>
    </row>
    <row r="231" spans="3:16" outlineLevel="1" x14ac:dyDescent="0.25">
      <c r="C231" s="232"/>
      <c r="F231" s="243"/>
      <c r="G231" s="243"/>
      <c r="H231" s="465"/>
      <c r="I231" s="243"/>
      <c r="J231" s="243"/>
      <c r="K231" s="466"/>
      <c r="L231" s="243"/>
      <c r="M231" s="243"/>
      <c r="N231" s="243"/>
      <c r="O231" s="243"/>
      <c r="P231" s="243"/>
    </row>
    <row r="232" spans="3:16" outlineLevel="1" x14ac:dyDescent="0.25">
      <c r="C232" s="223" t="s">
        <v>572</v>
      </c>
      <c r="D232" s="14" t="s">
        <v>3</v>
      </c>
      <c r="E232" s="100"/>
      <c r="F232" s="243"/>
      <c r="G232" s="243"/>
      <c r="H232" s="496"/>
      <c r="I232" s="248"/>
      <c r="J232" s="248"/>
      <c r="K232" s="442"/>
      <c r="L232" s="399">
        <f ca="1">+L226*Combined_CET_1</f>
        <v>229272.25788551994</v>
      </c>
      <c r="M232" s="399">
        <f ca="1">+M226*Combined_CET_1</f>
        <v>254798.54393030185</v>
      </c>
      <c r="N232" s="399">
        <f ca="1">+N226*Combined_CET_1</f>
        <v>283300.37800967682</v>
      </c>
      <c r="O232" s="399">
        <f ca="1">+O226*Combined_CET_1</f>
        <v>315525.40213015303</v>
      </c>
      <c r="P232" s="399">
        <f ca="1">+P226*Combined_CET_1</f>
        <v>351214.91892456356</v>
      </c>
    </row>
    <row r="233" spans="3:16" outlineLevel="1" x14ac:dyDescent="0.25">
      <c r="C233" s="230" t="s">
        <v>277</v>
      </c>
      <c r="D233" s="14" t="s">
        <v>11</v>
      </c>
      <c r="E233" s="26"/>
      <c r="F233" s="26"/>
      <c r="G233" s="26"/>
      <c r="H233" s="504"/>
      <c r="I233" s="505"/>
      <c r="J233" s="505"/>
      <c r="K233" s="506"/>
      <c r="L233" s="159">
        <v>0.5</v>
      </c>
      <c r="M233" s="159">
        <v>0.5</v>
      </c>
      <c r="N233" s="159">
        <v>0.5</v>
      </c>
      <c r="O233" s="159">
        <v>0.5</v>
      </c>
      <c r="P233" s="159">
        <v>0.5</v>
      </c>
    </row>
    <row r="234" spans="3:16" outlineLevel="1" x14ac:dyDescent="0.25">
      <c r="C234" s="223" t="s">
        <v>278</v>
      </c>
      <c r="D234" s="14" t="s">
        <v>3</v>
      </c>
      <c r="E234" s="100"/>
      <c r="F234" s="243"/>
      <c r="G234" s="243"/>
      <c r="H234" s="496"/>
      <c r="I234" s="248"/>
      <c r="J234" s="248"/>
      <c r="K234" s="442"/>
      <c r="L234" s="248">
        <f ca="1">L180*L233</f>
        <v>42719.505173150639</v>
      </c>
      <c r="M234" s="248">
        <f t="shared" ref="M234:P234" ca="1" si="103">M180*M233</f>
        <v>49331.727404984013</v>
      </c>
      <c r="N234" s="248">
        <f t="shared" ca="1" si="103"/>
        <v>49974.750513088875</v>
      </c>
      <c r="O234" s="248">
        <f t="shared" ca="1" si="103"/>
        <v>53464.229626783308</v>
      </c>
      <c r="P234" s="248">
        <f t="shared" ca="1" si="103"/>
        <v>54986.594550390189</v>
      </c>
    </row>
    <row r="235" spans="3:16" outlineLevel="1" x14ac:dyDescent="0.25">
      <c r="C235" s="223" t="s">
        <v>395</v>
      </c>
      <c r="D235" s="14" t="s">
        <v>3</v>
      </c>
      <c r="F235" s="243"/>
      <c r="G235" s="243"/>
      <c r="H235" s="496"/>
      <c r="I235" s="248"/>
      <c r="J235" s="248"/>
      <c r="K235" s="442"/>
      <c r="L235" s="248">
        <f t="shared" ref="L235:P235" ca="1" si="104">MAX(SUM(L212:L215,L217:L218,K219,L221,K216,L180)-L232,0)</f>
        <v>72484.019567966054</v>
      </c>
      <c r="M235" s="248">
        <f t="shared" ca="1" si="104"/>
        <v>70028.526241654414</v>
      </c>
      <c r="N235" s="248">
        <f t="shared" ca="1" si="104"/>
        <v>68675.250406095874</v>
      </c>
      <c r="O235" s="248">
        <f t="shared" ca="1" si="104"/>
        <v>71361.351994303346</v>
      </c>
      <c r="P235" s="248">
        <f t="shared" ca="1" si="104"/>
        <v>70912.1044381049</v>
      </c>
    </row>
    <row r="236" spans="3:16" outlineLevel="1" x14ac:dyDescent="0.25">
      <c r="C236" s="38" t="s">
        <v>279</v>
      </c>
      <c r="D236" s="14" t="s">
        <v>3</v>
      </c>
      <c r="F236" s="243"/>
      <c r="G236" s="243"/>
      <c r="H236" s="436"/>
      <c r="I236" s="435"/>
      <c r="J236" s="435"/>
      <c r="K236" s="437"/>
      <c r="L236" s="163">
        <f ca="1">MAX(L235,0)</f>
        <v>72484.019567966054</v>
      </c>
      <c r="M236" s="163">
        <f t="shared" ref="M236:P236" ca="1" si="105">MAX(M235,0)</f>
        <v>70028.526241654414</v>
      </c>
      <c r="N236" s="163">
        <f t="shared" ca="1" si="105"/>
        <v>68675.250406095874</v>
      </c>
      <c r="O236" s="163">
        <f t="shared" ca="1" si="105"/>
        <v>71361.351994303346</v>
      </c>
      <c r="P236" s="163">
        <f t="shared" ca="1" si="105"/>
        <v>70912.1044381049</v>
      </c>
    </row>
    <row r="237" spans="3:16" outlineLevel="1" x14ac:dyDescent="0.25">
      <c r="C237" s="232" t="s">
        <v>614</v>
      </c>
      <c r="D237" s="14" t="s">
        <v>3</v>
      </c>
      <c r="F237" s="243"/>
      <c r="G237" s="243"/>
      <c r="H237" s="436"/>
      <c r="I237" s="435"/>
      <c r="J237" s="435"/>
      <c r="K237" s="437"/>
      <c r="L237" s="248">
        <f t="shared" ref="L237:P237" ca="1" si="106">MIN(L236/L180*-L181,-L181)</f>
        <v>2304.8896208017309</v>
      </c>
      <c r="M237" s="248">
        <f t="shared" ca="1" si="106"/>
        <v>1853.7459124759857</v>
      </c>
      <c r="N237" s="248">
        <f t="shared" ca="1" si="106"/>
        <v>1931.631824363858</v>
      </c>
      <c r="O237" s="248">
        <f t="shared" ca="1" si="106"/>
        <v>1975.5500747442857</v>
      </c>
      <c r="P237" s="248">
        <f t="shared" ca="1" si="106"/>
        <v>1996.1581806285853</v>
      </c>
    </row>
    <row r="238" spans="3:16" outlineLevel="1" x14ac:dyDescent="0.25">
      <c r="C238" s="232" t="s">
        <v>615</v>
      </c>
      <c r="D238" s="14" t="s">
        <v>3</v>
      </c>
      <c r="F238" s="243"/>
      <c r="G238" s="243"/>
      <c r="H238" s="436"/>
      <c r="I238" s="435"/>
      <c r="J238" s="435"/>
      <c r="K238" s="437"/>
      <c r="L238" s="163">
        <f t="shared" ref="L238:P238" ca="1" si="107">L236-L237</f>
        <v>70179.129947164329</v>
      </c>
      <c r="M238" s="163">
        <f t="shared" ca="1" si="107"/>
        <v>68174.780329178422</v>
      </c>
      <c r="N238" s="163">
        <f t="shared" ca="1" si="107"/>
        <v>66743.618581732022</v>
      </c>
      <c r="O238" s="163">
        <f t="shared" ca="1" si="107"/>
        <v>69385.80191955906</v>
      </c>
      <c r="P238" s="163">
        <f t="shared" ca="1" si="107"/>
        <v>68915.946257476317</v>
      </c>
    </row>
    <row r="239" spans="3:16" outlineLevel="1" x14ac:dyDescent="0.25">
      <c r="C239" s="230" t="s">
        <v>280</v>
      </c>
      <c r="D239" s="14" t="s">
        <v>3</v>
      </c>
      <c r="F239" s="243"/>
      <c r="G239" s="243"/>
      <c r="H239" s="496"/>
      <c r="I239" s="248"/>
      <c r="J239" s="248"/>
      <c r="K239" s="442"/>
      <c r="L239" s="248">
        <f ca="1">MIN(L235,0)</f>
        <v>0</v>
      </c>
      <c r="M239" s="248">
        <f t="shared" ref="M239:P239" ca="1" si="108">MIN(M235,0)</f>
        <v>0</v>
      </c>
      <c r="N239" s="248">
        <f t="shared" ca="1" si="108"/>
        <v>0</v>
      </c>
      <c r="O239" s="248">
        <f t="shared" ca="1" si="108"/>
        <v>0</v>
      </c>
      <c r="P239" s="248">
        <f t="shared" ca="1" si="108"/>
        <v>0</v>
      </c>
    </row>
    <row r="240" spans="3:16" x14ac:dyDescent="0.25">
      <c r="C240" s="232"/>
      <c r="E240" s="231"/>
      <c r="F240" s="243"/>
      <c r="G240" s="243"/>
      <c r="H240" s="243"/>
      <c r="I240" s="243"/>
      <c r="J240" s="243"/>
      <c r="K240" s="243"/>
      <c r="L240" s="243"/>
    </row>
    <row r="241" spans="2:18" x14ac:dyDescent="0.25">
      <c r="B241" s="224"/>
      <c r="C241" s="224"/>
      <c r="D241" s="224"/>
      <c r="E241" s="225" t="str">
        <f>+$E$67</f>
        <v>Historical</v>
      </c>
      <c r="F241" s="225"/>
      <c r="G241" s="226"/>
      <c r="H241" s="225" t="str">
        <f>+$H$67</f>
        <v>Transaction Adjustments</v>
      </c>
      <c r="I241" s="225"/>
      <c r="J241" s="225"/>
      <c r="K241" s="226"/>
      <c r="L241" s="225" t="str">
        <f>+$L$67</f>
        <v>Projected</v>
      </c>
      <c r="M241" s="225"/>
      <c r="N241" s="226"/>
      <c r="O241" s="226"/>
      <c r="P241" s="226"/>
    </row>
    <row r="242" spans="2:18" x14ac:dyDescent="0.25">
      <c r="B242" s="227" t="s">
        <v>228</v>
      </c>
      <c r="C242" s="227"/>
      <c r="D242" s="7" t="str">
        <f>+$D$68</f>
        <v>Units:</v>
      </c>
      <c r="E242" s="8">
        <f>+$E$68</f>
        <v>43465</v>
      </c>
      <c r="F242" s="228">
        <f>+$F$68</f>
        <v>43830</v>
      </c>
      <c r="G242" s="229">
        <f>+$G$68</f>
        <v>44196</v>
      </c>
      <c r="H242" s="228" t="str">
        <f>+$H$68</f>
        <v>Seller:</v>
      </c>
      <c r="I242" s="228" t="str">
        <f>+$I$68</f>
        <v>Debit:</v>
      </c>
      <c r="J242" s="228" t="str">
        <f>+$J$68</f>
        <v>Credit:</v>
      </c>
      <c r="K242" s="229">
        <f>+$K$68</f>
        <v>44196</v>
      </c>
      <c r="L242" s="228">
        <f>+$L$68</f>
        <v>44561</v>
      </c>
      <c r="M242" s="228">
        <f>+$M$68</f>
        <v>44926</v>
      </c>
      <c r="N242" s="229">
        <f>+$N$68</f>
        <v>45291</v>
      </c>
      <c r="O242" s="229">
        <f t="shared" ref="O242:P242" si="109">+$N$68</f>
        <v>45291</v>
      </c>
      <c r="P242" s="229">
        <f t="shared" si="109"/>
        <v>45291</v>
      </c>
    </row>
    <row r="243" spans="2:18" x14ac:dyDescent="0.25">
      <c r="C243" s="232"/>
      <c r="F243" s="243"/>
      <c r="G243" s="243"/>
      <c r="H243" s="243"/>
      <c r="I243" s="243"/>
      <c r="J243" s="243"/>
      <c r="K243" s="243"/>
      <c r="L243" s="243"/>
    </row>
    <row r="244" spans="2:18" x14ac:dyDescent="0.25">
      <c r="C244" s="230" t="s">
        <v>397</v>
      </c>
      <c r="D244" s="14" t="s">
        <v>11</v>
      </c>
      <c r="E244" s="26" t="str">
        <f>IFERROR('Merger-Model'!E85/'Merger-Model'!D85-1,"N/A")</f>
        <v>N/A</v>
      </c>
      <c r="F244" s="26">
        <f>IFERROR('Merger-Model'!F85/'Merger-Model'!E85-1,"N/A")</f>
        <v>0.54467788196506506</v>
      </c>
      <c r="G244" s="632">
        <f>IFERROR('Merger-Model'!G85/'Merger-Model'!F85-1,"N/A")</f>
        <v>0.48147752252058096</v>
      </c>
      <c r="H244" s="465"/>
      <c r="I244" s="633"/>
      <c r="J244" s="633"/>
      <c r="K244" s="466"/>
      <c r="L244" s="634">
        <f ca="1">IFERROR('Merger-Model'!L85/'Merger-Model'!K85-1,"N/A")</f>
        <v>0.10819997719442132</v>
      </c>
      <c r="M244" s="255">
        <f ca="1">IFERROR('Merger-Model'!M85/'Merger-Model'!L85-1,"N/A")</f>
        <v>9.8380961192550576E-2</v>
      </c>
      <c r="N244" s="255">
        <f ca="1">IFERROR('Merger-Model'!N85/'Merger-Model'!M85-1,"N/A")</f>
        <v>9.6733974733085981E-2</v>
      </c>
      <c r="O244" s="255">
        <f ca="1">IFERROR('Merger-Model'!O85/'Merger-Model'!N85-1,"N/A")</f>
        <v>9.4566330813886212E-2</v>
      </c>
      <c r="P244" s="255">
        <f ca="1">IFERROR('Merger-Model'!P85/'Merger-Model'!O85-1,"N/A")</f>
        <v>8.804957236031874E-2</v>
      </c>
    </row>
    <row r="245" spans="2:18" x14ac:dyDescent="0.25">
      <c r="C245" s="223" t="s">
        <v>229</v>
      </c>
      <c r="D245" s="14" t="s">
        <v>11</v>
      </c>
      <c r="E245" s="26">
        <f>Buyer!E296</f>
        <v>0.52860060878990356</v>
      </c>
      <c r="F245" s="26">
        <f>Buyer!F296</f>
        <v>0.56751864143786901</v>
      </c>
      <c r="G245" s="632">
        <f>Buyer!G296</f>
        <v>0.4381748272418986</v>
      </c>
      <c r="H245" s="639"/>
      <c r="I245" s="634"/>
      <c r="J245" s="634"/>
      <c r="K245" s="625"/>
      <c r="L245" s="634">
        <f t="shared" ref="L245:P245" ca="1" si="110">L75/L85</f>
        <v>0.5487213367035978</v>
      </c>
      <c r="M245" s="255">
        <f t="shared" ca="1" si="110"/>
        <v>0.53165339591603478</v>
      </c>
      <c r="N245" s="255">
        <f t="shared" ca="1" si="110"/>
        <v>0.51984050384623337</v>
      </c>
      <c r="O245" s="255">
        <f t="shared" ca="1" si="110"/>
        <v>0.53268475074100208</v>
      </c>
      <c r="P245" s="255">
        <f t="shared" ca="1" si="110"/>
        <v>0.54389680612159796</v>
      </c>
    </row>
    <row r="246" spans="2:18" x14ac:dyDescent="0.25">
      <c r="C246" s="223" t="s">
        <v>230</v>
      </c>
      <c r="D246" s="14" t="s">
        <v>11</v>
      </c>
      <c r="E246" s="26">
        <f>Buyer!E297</f>
        <v>0.74811384317934271</v>
      </c>
      <c r="F246" s="26">
        <f>Buyer!F297</f>
        <v>0.70964872203784324</v>
      </c>
      <c r="G246" s="632">
        <f>Buyer!G297</f>
        <v>0.72947908399220751</v>
      </c>
      <c r="H246" s="639"/>
      <c r="I246" s="634"/>
      <c r="J246" s="634"/>
      <c r="K246" s="625"/>
      <c r="L246" s="634">
        <f t="shared" ref="L246:P246" ca="1" si="111">L88/L95</f>
        <v>0.83901177357233003</v>
      </c>
      <c r="M246" s="255">
        <f t="shared" ca="1" si="111"/>
        <v>0.85160258869072636</v>
      </c>
      <c r="N246" s="255">
        <f t="shared" ca="1" si="111"/>
        <v>0.86302964652740255</v>
      </c>
      <c r="O246" s="255">
        <f t="shared" ca="1" si="111"/>
        <v>0.86474695952802261</v>
      </c>
      <c r="P246" s="255">
        <f t="shared" ca="1" si="111"/>
        <v>0.86705431525855614</v>
      </c>
    </row>
    <row r="247" spans="2:18" x14ac:dyDescent="0.25">
      <c r="C247" s="223" t="s">
        <v>19</v>
      </c>
      <c r="D247" s="14" t="s">
        <v>11</v>
      </c>
      <c r="E247" s="26">
        <f>Buyer!E298</f>
        <v>0.70657776701932251</v>
      </c>
      <c r="F247" s="26">
        <f>Buyer!F298</f>
        <v>0.79971769667698378</v>
      </c>
      <c r="G247" s="632">
        <f>Buyer!G298</f>
        <v>0.60066811627265138</v>
      </c>
      <c r="H247" s="639"/>
      <c r="I247" s="634"/>
      <c r="J247" s="634"/>
      <c r="K247" s="625"/>
      <c r="L247" s="634">
        <f t="shared" ref="L247:P247" si="112">+L75/L88</f>
        <v>0.72836085068874901</v>
      </c>
      <c r="M247" s="255">
        <f t="shared" si="112"/>
        <v>0.69684668333226529</v>
      </c>
      <c r="N247" s="255">
        <f t="shared" si="112"/>
        <v>0.67380357496029419</v>
      </c>
      <c r="O247" s="255">
        <f t="shared" si="112"/>
        <v>0.69093409396113237</v>
      </c>
      <c r="P247" s="255">
        <f t="shared" si="112"/>
        <v>0.70588970113156313</v>
      </c>
    </row>
    <row r="248" spans="2:18" x14ac:dyDescent="0.25">
      <c r="E248" s="508"/>
      <c r="F248" s="508"/>
      <c r="G248" s="630"/>
      <c r="H248" s="422"/>
      <c r="I248" s="312"/>
      <c r="J248" s="312"/>
      <c r="K248" s="438"/>
      <c r="L248" s="312"/>
    </row>
    <row r="249" spans="2:18" x14ac:dyDescent="0.25">
      <c r="C249" s="223" t="s">
        <v>16</v>
      </c>
      <c r="D249" s="14" t="s">
        <v>11</v>
      </c>
      <c r="E249" s="26">
        <f>Buyer!E300</f>
        <v>5.1800093732691406E-2</v>
      </c>
      <c r="F249" s="26">
        <f>Buyer!F300</f>
        <v>2.5977091018424821E-2</v>
      </c>
      <c r="G249" s="632">
        <f>Buyer!G300</f>
        <v>5.4998486932765558E-2</v>
      </c>
      <c r="H249" s="640"/>
      <c r="I249" s="635"/>
      <c r="J249" s="635"/>
      <c r="K249" s="626"/>
      <c r="L249" s="634">
        <f>-(Seller!H82+Loans!H56)/AVERAGE(K73:L73)</f>
        <v>3.0482815537730586E-2</v>
      </c>
      <c r="M249" s="255">
        <f>-(Seller!I82+Loans!I56)/AVERAGE(L73:M73)</f>
        <v>3.2931463862657107E-2</v>
      </c>
      <c r="N249" s="255">
        <f>-(Seller!J82+Loans!J56)/AVERAGE(M73:N73)</f>
        <v>3.4639542425252752E-2</v>
      </c>
      <c r="O249" s="255">
        <f>-(Seller!K82+Loans!K56)/AVERAGE(N73:O73)</f>
        <v>3.6966913865413224E-2</v>
      </c>
      <c r="P249" s="255">
        <f>-(Seller!L82+Loans!L56)/AVERAGE(O73:P73)</f>
        <v>3.965487802441988E-2</v>
      </c>
    </row>
    <row r="250" spans="2:18" x14ac:dyDescent="0.25">
      <c r="C250" s="223" t="s">
        <v>17</v>
      </c>
      <c r="D250" s="14" t="s">
        <v>11</v>
      </c>
      <c r="E250" s="26">
        <f>Buyer!E301</f>
        <v>0.33566163275447947</v>
      </c>
      <c r="F250" s="26">
        <f>Buyer!F301</f>
        <v>0.14679284578986793</v>
      </c>
      <c r="G250" s="632">
        <f>Buyer!G301</f>
        <v>0.32170662905500708</v>
      </c>
      <c r="H250" s="640"/>
      <c r="I250" s="635"/>
      <c r="J250" s="635"/>
      <c r="K250" s="626"/>
      <c r="L250" s="634">
        <f>(Seller!H82+Loans!H56)/L74</f>
        <v>0.43353491413203704</v>
      </c>
      <c r="M250" s="255">
        <f>(Seller!I82+Loans!I56)/M74</f>
        <v>0.41733488314029332</v>
      </c>
      <c r="N250" s="255">
        <f>(Seller!J82+Loans!J56)/N74</f>
        <v>0.37411389669112005</v>
      </c>
      <c r="O250" s="255">
        <f>(Seller!K82+Loans!K56)/O74</f>
        <v>0.33581272715658533</v>
      </c>
      <c r="P250" s="255">
        <f>(Seller!L82+Loans!L56)/P74</f>
        <v>0.29859438197259358</v>
      </c>
    </row>
    <row r="251" spans="2:18" x14ac:dyDescent="0.25">
      <c r="C251" s="223" t="s">
        <v>18</v>
      </c>
      <c r="D251" s="14" t="s">
        <v>11</v>
      </c>
      <c r="E251" s="26">
        <f>Buyer!E302</f>
        <v>0.15432235524690044</v>
      </c>
      <c r="F251" s="26">
        <f>Buyer!F302</f>
        <v>0.14257694471649754</v>
      </c>
      <c r="G251" s="632">
        <f>Buyer!G302</f>
        <v>0.15913666674896584</v>
      </c>
      <c r="H251" s="639"/>
      <c r="I251" s="634"/>
      <c r="J251" s="634"/>
      <c r="K251" s="625"/>
      <c r="L251" s="634">
        <f t="shared" ref="L251:P251" si="113">-L74/L73</f>
        <v>6.5262573869076884E-2</v>
      </c>
      <c r="M251" s="255">
        <f t="shared" si="113"/>
        <v>7.6098465410440644E-2</v>
      </c>
      <c r="N251" s="255">
        <f t="shared" si="113"/>
        <v>8.8870007716481611E-2</v>
      </c>
      <c r="O251" s="255">
        <f t="shared" si="113"/>
        <v>0.10333502178409007</v>
      </c>
      <c r="P251" s="255">
        <f t="shared" si="113"/>
        <v>0.12474626686964227</v>
      </c>
    </row>
    <row r="252" spans="2:18" x14ac:dyDescent="0.25">
      <c r="E252" s="508"/>
      <c r="F252" s="508"/>
      <c r="G252" s="630"/>
      <c r="H252" s="422"/>
      <c r="I252" s="312"/>
      <c r="J252" s="312"/>
      <c r="K252" s="438"/>
      <c r="L252" s="312"/>
    </row>
    <row r="253" spans="2:18" x14ac:dyDescent="0.25">
      <c r="C253" s="223" t="s">
        <v>10</v>
      </c>
      <c r="D253" s="14" t="s">
        <v>11</v>
      </c>
      <c r="E253" s="509">
        <f>Buyer!E304</f>
        <v>0.64473746846289337</v>
      </c>
      <c r="F253" s="509">
        <f>Buyer!F304</f>
        <v>0.52353380243925418</v>
      </c>
      <c r="G253" s="636">
        <f>Buyer!G304</f>
        <v>0.39666047571622121</v>
      </c>
      <c r="H253" s="641"/>
      <c r="I253" s="637"/>
      <c r="J253" s="637"/>
      <c r="K253" s="627"/>
      <c r="L253" s="637">
        <f ca="1">L182/AVERAGE(SUM(K98:K103),SUM(L98:L103))</f>
        <v>0.41547962657090115</v>
      </c>
      <c r="M253" s="238">
        <f t="shared" ref="M253:P253" ca="1" si="114">M182/AVERAGE(SUM(L98:L103),SUM(M98:M103))</f>
        <v>0.43797148612579634</v>
      </c>
      <c r="N253" s="238">
        <f t="shared" ca="1" si="114"/>
        <v>0.39098295301106573</v>
      </c>
      <c r="O253" s="238">
        <f t="shared" ca="1" si="114"/>
        <v>0.37007986440041135</v>
      </c>
      <c r="P253" s="238">
        <f t="shared" ca="1" si="114"/>
        <v>0.33693320045697422</v>
      </c>
      <c r="R253" s="312"/>
    </row>
    <row r="254" spans="2:18" x14ac:dyDescent="0.25">
      <c r="C254" s="223" t="s">
        <v>12</v>
      </c>
      <c r="D254" s="14" t="s">
        <v>11</v>
      </c>
      <c r="E254" s="509">
        <f>Buyer!E305</f>
        <v>0.7167844195707973</v>
      </c>
      <c r="F254" s="509">
        <f>Buyer!F305</f>
        <v>0.56293294892274126</v>
      </c>
      <c r="G254" s="636">
        <f>Buyer!G305</f>
        <v>0.42025961433344899</v>
      </c>
      <c r="H254" s="641"/>
      <c r="I254" s="637"/>
      <c r="J254" s="637"/>
      <c r="K254" s="627"/>
      <c r="L254" s="637">
        <f ca="1">L182/AVERAGE(SUM(K98:K103)-SUM(K79:K81),SUM(L98:L103)-SUM(L79:L81))</f>
        <v>0.4832270614875519</v>
      </c>
      <c r="M254" s="238">
        <f t="shared" ref="M254:P254" ca="1" si="115">M182/AVERAGE(SUM(L98:L103)-SUM(L79:L81),SUM(M98:M103)-SUM(M79:M81))</f>
        <v>0.51067839006257498</v>
      </c>
      <c r="N254" s="238">
        <f t="shared" ca="1" si="115"/>
        <v>0.45332012753859813</v>
      </c>
      <c r="O254" s="238">
        <f t="shared" ca="1" si="115"/>
        <v>0.42660126731473891</v>
      </c>
      <c r="P254" s="238">
        <f t="shared" ca="1" si="115"/>
        <v>0.38635785344044954</v>
      </c>
    </row>
    <row r="255" spans="2:18" x14ac:dyDescent="0.25">
      <c r="C255" s="223" t="s">
        <v>13</v>
      </c>
      <c r="D255" s="14" t="s">
        <v>11</v>
      </c>
      <c r="E255" s="509">
        <f>Buyer!E306</f>
        <v>0.64194082840236688</v>
      </c>
      <c r="F255" s="509">
        <f>Buyer!F306</f>
        <v>0.52226527484602259</v>
      </c>
      <c r="G255" s="636">
        <f>Buyer!G306</f>
        <v>0.39635496508260942</v>
      </c>
      <c r="H255" s="641"/>
      <c r="I255" s="637"/>
      <c r="J255" s="637"/>
      <c r="K255" s="627"/>
      <c r="L255" s="637">
        <f t="shared" ref="L255:P255" ca="1" si="116">L180/AVERAGE(K106:L106)</f>
        <v>0.36873352986435237</v>
      </c>
      <c r="M255" s="238">
        <f t="shared" ca="1" si="116"/>
        <v>0.39073967050904385</v>
      </c>
      <c r="N255" s="238">
        <f t="shared" ca="1" si="116"/>
        <v>0.35385501260965319</v>
      </c>
      <c r="O255" s="238">
        <f t="shared" ca="1" si="116"/>
        <v>0.33851018908909786</v>
      </c>
      <c r="P255" s="238">
        <f t="shared" ca="1" si="116"/>
        <v>0.3113679375361979</v>
      </c>
    </row>
    <row r="256" spans="2:18" x14ac:dyDescent="0.25">
      <c r="C256" s="223" t="s">
        <v>14</v>
      </c>
      <c r="D256" s="14" t="s">
        <v>11</v>
      </c>
      <c r="E256" s="509">
        <f>Buyer!E307</f>
        <v>7.2229220317497511E-2</v>
      </c>
      <c r="F256" s="509">
        <f>Buyer!F307</f>
        <v>7.560877591771635E-2</v>
      </c>
      <c r="G256" s="636">
        <f>Buyer!G307</f>
        <v>6.1435998552093037E-2</v>
      </c>
      <c r="H256" s="641"/>
      <c r="I256" s="637"/>
      <c r="J256" s="637"/>
      <c r="K256" s="627"/>
      <c r="L256" s="637">
        <f ca="1">L180/AVERAGE(K85:L85)</f>
        <v>3.8496330843041181E-2</v>
      </c>
      <c r="M256" s="238">
        <f t="shared" ref="M256:P256" ca="1" si="117">M180/AVERAGE(L85:M85)</f>
        <v>4.0302202215701251E-2</v>
      </c>
      <c r="N256" s="238">
        <f t="shared" ca="1" si="117"/>
        <v>3.7199842211934987E-2</v>
      </c>
      <c r="O256" s="238">
        <f t="shared" ca="1" si="117"/>
        <v>3.6324671328289274E-2</v>
      </c>
      <c r="P256" s="238">
        <f t="shared" ca="1" si="117"/>
        <v>3.4237845813943568E-2</v>
      </c>
    </row>
    <row r="257" spans="2:18" x14ac:dyDescent="0.25">
      <c r="C257" s="223" t="s">
        <v>15</v>
      </c>
      <c r="D257" s="14" t="s">
        <v>11</v>
      </c>
      <c r="E257" s="509">
        <f>Buyer!E308</f>
        <v>7.3050776241933221E-2</v>
      </c>
      <c r="F257" s="509">
        <f>Buyer!F308</f>
        <v>7.6380798125738739E-2</v>
      </c>
      <c r="G257" s="636">
        <f>Buyer!G308</f>
        <v>6.1974962188166262E-2</v>
      </c>
      <c r="H257" s="641"/>
      <c r="I257" s="637"/>
      <c r="J257" s="637"/>
      <c r="K257" s="627"/>
      <c r="L257" s="637">
        <f t="shared" ref="L257:P257" ca="1" si="118">L180/(AVERAGE(K85:L85)-AVERAGE(SUM(K79:K81),SUM(L79:L81)))</f>
        <v>3.8986665987886082E-2</v>
      </c>
      <c r="M257" s="238">
        <f t="shared" ca="1" si="118"/>
        <v>4.0822873277961948E-2</v>
      </c>
      <c r="N257" s="238">
        <f t="shared" ca="1" si="118"/>
        <v>3.7678950497399701E-2</v>
      </c>
      <c r="O257" s="238">
        <f t="shared" ca="1" si="118"/>
        <v>3.6789863879641151E-2</v>
      </c>
      <c r="P257" s="238">
        <f t="shared" ca="1" si="118"/>
        <v>3.4675916105719781E-2</v>
      </c>
    </row>
    <row r="258" spans="2:18" x14ac:dyDescent="0.25">
      <c r="E258" s="508"/>
      <c r="F258" s="508"/>
      <c r="G258" s="630"/>
      <c r="H258" s="422"/>
      <c r="I258" s="312"/>
      <c r="J258" s="312"/>
      <c r="K258" s="438"/>
      <c r="L258" s="312"/>
    </row>
    <row r="259" spans="2:18" x14ac:dyDescent="0.25">
      <c r="C259" s="223" t="s">
        <v>20</v>
      </c>
      <c r="D259" s="14" t="s">
        <v>11</v>
      </c>
      <c r="E259" s="26">
        <f>Buyer!E310</f>
        <v>0.17022339124537852</v>
      </c>
      <c r="F259" s="26">
        <f>Buyer!F310</f>
        <v>0.19507638787201093</v>
      </c>
      <c r="G259" s="632">
        <f>Buyer!G310</f>
        <v>0.15943427040418937</v>
      </c>
      <c r="H259" s="639"/>
      <c r="I259" s="634"/>
      <c r="J259" s="634"/>
      <c r="K259" s="625"/>
      <c r="L259" s="634">
        <f ca="1">+L146/AVERAGE(SUM(K72:K73,K76),SUM(L72:L73,L76))</f>
        <v>0.11285479726067983</v>
      </c>
      <c r="M259" s="255">
        <f t="shared" ref="M259:P259" ca="1" si="119">+M146/AVERAGE(SUM(L72:L73,L76),SUM(M72:M73,M76))</f>
        <v>0.11101320264884539</v>
      </c>
      <c r="N259" s="255">
        <f t="shared" ca="1" si="119"/>
        <v>0.10785993307017677</v>
      </c>
      <c r="O259" s="255">
        <f t="shared" ca="1" si="119"/>
        <v>0.11500583302840257</v>
      </c>
      <c r="P259" s="255">
        <f t="shared" ca="1" si="119"/>
        <v>0.12302924238980573</v>
      </c>
    </row>
    <row r="260" spans="2:18" x14ac:dyDescent="0.25">
      <c r="C260" s="223" t="s">
        <v>231</v>
      </c>
      <c r="D260" s="14" t="s">
        <v>11</v>
      </c>
      <c r="E260" s="26">
        <f>Buyer!E311</f>
        <v>0.21770218851349626</v>
      </c>
      <c r="F260" s="26">
        <f>Buyer!F311</f>
        <v>0.24640912660907069</v>
      </c>
      <c r="G260" s="632">
        <f>Buyer!G311</f>
        <v>0.19116215008310372</v>
      </c>
      <c r="H260" s="639"/>
      <c r="I260" s="634"/>
      <c r="J260" s="634"/>
      <c r="K260" s="625"/>
      <c r="L260" s="634">
        <f t="shared" ref="L260:P260" ca="1" si="120">(L140+L142+L143+MAX(L145,0))/AVERAGE(SUM(K72:K73,K76),SUM(L72:L73,L76))</f>
        <v>0.15406330124238571</v>
      </c>
      <c r="M260" s="255">
        <f t="shared" ca="1" si="120"/>
        <v>0.17245156086367941</v>
      </c>
      <c r="N260" s="255">
        <f t="shared" ca="1" si="120"/>
        <v>0.15090354683995727</v>
      </c>
      <c r="O260" s="255">
        <f t="shared" ca="1" si="120"/>
        <v>0.15253250716461922</v>
      </c>
      <c r="P260" s="255">
        <f t="shared" ca="1" si="120"/>
        <v>0.15982586966589613</v>
      </c>
    </row>
    <row r="261" spans="2:18" x14ac:dyDescent="0.25">
      <c r="C261" s="223" t="s">
        <v>232</v>
      </c>
      <c r="D261" s="14" t="s">
        <v>11</v>
      </c>
      <c r="E261" s="26">
        <f>Buyer!E312</f>
        <v>4.9571004833165004E-2</v>
      </c>
      <c r="F261" s="26">
        <f>Buyer!F312</f>
        <v>5.5363438626107847E-2</v>
      </c>
      <c r="G261" s="632">
        <f>Buyer!G312</f>
        <v>3.8111367274660204E-2</v>
      </c>
      <c r="H261" s="639"/>
      <c r="I261" s="634"/>
      <c r="J261" s="634"/>
      <c r="K261" s="625"/>
      <c r="L261" s="634">
        <f t="shared" ref="L261:P261" ca="1" si="121">-(L141+L144+MIN(L145,0))/AVERAGE(SUM(K88:K93),SUM(L88:L93))</f>
        <v>4.0908830886593368E-2</v>
      </c>
      <c r="M261" s="255">
        <f t="shared" ca="1" si="121"/>
        <v>6.1825271301341703E-2</v>
      </c>
      <c r="N261" s="255">
        <f t="shared" ca="1" si="121"/>
        <v>4.385007050444914E-2</v>
      </c>
      <c r="O261" s="255">
        <f t="shared" ca="1" si="121"/>
        <v>3.8838700227694173E-2</v>
      </c>
      <c r="P261" s="255">
        <f t="shared" ca="1" si="121"/>
        <v>3.8902487358285852E-2</v>
      </c>
    </row>
    <row r="262" spans="2:18" x14ac:dyDescent="0.25">
      <c r="C262" s="223" t="s">
        <v>398</v>
      </c>
      <c r="D262" s="14" t="s">
        <v>11</v>
      </c>
      <c r="E262" s="26">
        <f>Buyer!E313</f>
        <v>0.16813118368033125</v>
      </c>
      <c r="F262" s="26">
        <f>Buyer!F313</f>
        <v>0.19104568798296284</v>
      </c>
      <c r="G262" s="632">
        <f>Buyer!G313</f>
        <v>0.15305078280844353</v>
      </c>
      <c r="H262" s="639"/>
      <c r="I262" s="634"/>
      <c r="J262" s="634"/>
      <c r="K262" s="625"/>
      <c r="L262" s="634">
        <f ca="1">+L260-L261</f>
        <v>0.11315447035579235</v>
      </c>
      <c r="M262" s="255">
        <f t="shared" ref="M262:N262" ca="1" si="122">+M260-M261</f>
        <v>0.11062628956233771</v>
      </c>
      <c r="N262" s="255">
        <f t="shared" ca="1" si="122"/>
        <v>0.10705347633550813</v>
      </c>
      <c r="O262" s="255">
        <f t="shared" ref="O262:P262" ca="1" si="123">+O260-O261</f>
        <v>0.11369380693692505</v>
      </c>
      <c r="P262" s="255">
        <f t="shared" ca="1" si="123"/>
        <v>0.12092338230761027</v>
      </c>
    </row>
    <row r="263" spans="2:18" x14ac:dyDescent="0.25">
      <c r="E263" s="508"/>
      <c r="F263" s="508"/>
      <c r="G263" s="630"/>
      <c r="H263" s="422"/>
      <c r="I263" s="312"/>
      <c r="J263" s="312"/>
      <c r="K263" s="438"/>
      <c r="L263" s="312"/>
    </row>
    <row r="264" spans="2:18" x14ac:dyDescent="0.25">
      <c r="C264" s="223" t="s">
        <v>22</v>
      </c>
      <c r="D264" s="14" t="s">
        <v>11</v>
      </c>
      <c r="E264" s="26">
        <f>Buyer!E315</f>
        <v>0.72503142221792516</v>
      </c>
      <c r="F264" s="26">
        <f>Buyer!F315</f>
        <v>0.7452808598286107</v>
      </c>
      <c r="G264" s="632">
        <f>Buyer!G315</f>
        <v>0.6807716565127212</v>
      </c>
      <c r="H264" s="639"/>
      <c r="I264" s="634"/>
      <c r="J264" s="634"/>
      <c r="K264" s="625"/>
      <c r="L264" s="634">
        <f t="shared" ref="L264:P264" ca="1" si="124">L146/L160</f>
        <v>0.74152553484056005</v>
      </c>
      <c r="M264" s="255">
        <f t="shared" ca="1" si="124"/>
        <v>0.73150608542510931</v>
      </c>
      <c r="N264" s="255">
        <f t="shared" ca="1" si="124"/>
        <v>0.72368021162645746</v>
      </c>
      <c r="O264" s="255">
        <f t="shared" ca="1" si="124"/>
        <v>0.73301971703486546</v>
      </c>
      <c r="P264" s="255">
        <f t="shared" ca="1" si="124"/>
        <v>0.74209540421684561</v>
      </c>
    </row>
    <row r="265" spans="2:18" x14ac:dyDescent="0.25">
      <c r="C265" s="223" t="s">
        <v>23</v>
      </c>
      <c r="D265" s="14" t="s">
        <v>11</v>
      </c>
      <c r="E265" s="26">
        <f>Buyer!E316</f>
        <v>0.43170501788649329</v>
      </c>
      <c r="F265" s="26">
        <f>Buyer!F316</f>
        <v>0.38794849843613588</v>
      </c>
      <c r="G265" s="632">
        <f>Buyer!G316</f>
        <v>0.37063309904485725</v>
      </c>
      <c r="H265" s="639"/>
      <c r="I265" s="634"/>
      <c r="J265" s="634"/>
      <c r="K265" s="625"/>
      <c r="L265" s="634">
        <f t="shared" ref="L265:P265" ca="1" si="125">L176/L160</f>
        <v>-0.42740091508431699</v>
      </c>
      <c r="M265" s="255">
        <f t="shared" ca="1" si="125"/>
        <v>-0.39650968972370965</v>
      </c>
      <c r="N265" s="255">
        <f t="shared" ca="1" si="125"/>
        <v>-0.40205271130338388</v>
      </c>
      <c r="O265" s="255">
        <f t="shared" ca="1" si="125"/>
        <v>-0.40416943146637185</v>
      </c>
      <c r="P265" s="255">
        <f t="shared" ca="1" si="125"/>
        <v>-0.40597301092306914</v>
      </c>
    </row>
    <row r="266" spans="2:18" x14ac:dyDescent="0.25">
      <c r="C266" s="223" t="s">
        <v>24</v>
      </c>
      <c r="D266" s="14" t="s">
        <v>11</v>
      </c>
      <c r="E266" s="26">
        <f>Buyer!E317</f>
        <v>0</v>
      </c>
      <c r="F266" s="26">
        <f>Buyer!F317</f>
        <v>0.1668789103593378</v>
      </c>
      <c r="G266" s="632">
        <f>Buyer!G317</f>
        <v>0.26132687914225611</v>
      </c>
      <c r="H266" s="639"/>
      <c r="I266" s="634"/>
      <c r="J266" s="634"/>
      <c r="K266" s="625"/>
      <c r="L266" s="634">
        <f t="shared" ref="L266:P266" ca="1" si="126">L238/L182</f>
        <v>0.84837147895526799</v>
      </c>
      <c r="M266" s="255">
        <f t="shared" ca="1" si="126"/>
        <v>0.70977168168835891</v>
      </c>
      <c r="N266" s="255">
        <f t="shared" ca="1" si="126"/>
        <v>0.68709948224863238</v>
      </c>
      <c r="O266" s="255">
        <f t="shared" ca="1" si="126"/>
        <v>0.66737473346622711</v>
      </c>
      <c r="P266" s="255">
        <f t="shared" ca="1" si="126"/>
        <v>0.64481265859372716</v>
      </c>
      <c r="Q266" s="221"/>
      <c r="R266" s="221"/>
    </row>
    <row r="267" spans="2:18" x14ac:dyDescent="0.25">
      <c r="Q267" s="221"/>
      <c r="R267" s="221"/>
    </row>
    <row r="268" spans="2:18" x14ac:dyDescent="0.25">
      <c r="B268" s="227" t="s">
        <v>573</v>
      </c>
      <c r="C268" s="510"/>
      <c r="D268" s="510"/>
      <c r="E268" s="510"/>
      <c r="F268" s="510"/>
      <c r="G268" s="510"/>
      <c r="H268" s="510"/>
      <c r="I268" s="510"/>
      <c r="J268" s="510"/>
      <c r="K268" s="510"/>
      <c r="L268" s="510"/>
      <c r="M268" s="510"/>
      <c r="N268" s="510"/>
      <c r="O268" s="510"/>
      <c r="P268" s="510"/>
      <c r="Q268" s="709"/>
      <c r="R268" s="709"/>
    </row>
    <row r="269" spans="2:18" x14ac:dyDescent="0.25">
      <c r="Q269" s="221"/>
      <c r="R269" s="221"/>
    </row>
    <row r="270" spans="2:18" x14ac:dyDescent="0.25">
      <c r="C270" s="511"/>
      <c r="D270" s="512"/>
      <c r="E270" s="513" t="s">
        <v>518</v>
      </c>
      <c r="F270" s="514"/>
      <c r="G270" s="514"/>
      <c r="H270" s="514"/>
      <c r="I270" s="514"/>
      <c r="J270" s="514"/>
      <c r="K270" s="514"/>
      <c r="L270" s="514"/>
      <c r="M270" s="515"/>
      <c r="Q270" s="221"/>
      <c r="R270" s="221"/>
    </row>
    <row r="271" spans="2:18" x14ac:dyDescent="0.25">
      <c r="C271" s="516"/>
      <c r="D271" s="517">
        <f ca="1">+$M$192</f>
        <v>0.1397115467586057</v>
      </c>
      <c r="E271" s="518">
        <f t="shared" ref="E271:K271" si="127">F271-2.5%</f>
        <v>3.4694469519536142E-17</v>
      </c>
      <c r="F271" s="518">
        <f t="shared" si="127"/>
        <v>2.5000000000000036E-2</v>
      </c>
      <c r="G271" s="518">
        <f t="shared" si="127"/>
        <v>5.0000000000000037E-2</v>
      </c>
      <c r="H271" s="518">
        <f t="shared" si="127"/>
        <v>7.5000000000000039E-2</v>
      </c>
      <c r="I271" s="518">
        <f t="shared" si="127"/>
        <v>0.10000000000000003</v>
      </c>
      <c r="J271" s="518">
        <f t="shared" si="127"/>
        <v>0.12500000000000003</v>
      </c>
      <c r="K271" s="518">
        <f t="shared" si="127"/>
        <v>0.15000000000000002</v>
      </c>
      <c r="L271" s="518">
        <f>M271-2.5%</f>
        <v>0.17500000000000002</v>
      </c>
      <c r="M271" s="519">
        <v>0.2</v>
      </c>
      <c r="Q271" s="221"/>
      <c r="R271" s="221"/>
    </row>
    <row r="272" spans="2:18" x14ac:dyDescent="0.25">
      <c r="C272" s="710" t="s">
        <v>574</v>
      </c>
      <c r="D272" s="523">
        <f>D273+2.5%</f>
        <v>0.19999999999999998</v>
      </c>
      <c r="E272" s="520">
        <f t="dataTable" ref="E272:M280" dt2D="1" dtr="1" r1="D29" r2="D8" ca="1"/>
        <v>5.7428272529589118E-2</v>
      </c>
      <c r="F272" s="521">
        <v>6.6086717562258535E-2</v>
      </c>
      <c r="G272" s="521">
        <v>7.474516259492793E-2</v>
      </c>
      <c r="H272" s="521">
        <v>8.340360762759734E-2</v>
      </c>
      <c r="I272" s="521">
        <v>9.2062052660266749E-2</v>
      </c>
      <c r="J272" s="521">
        <v>0.10072049769293662</v>
      </c>
      <c r="K272" s="521">
        <v>0.10937894272560601</v>
      </c>
      <c r="L272" s="521">
        <v>0.11803738775827573</v>
      </c>
      <c r="M272" s="522">
        <v>0.12669583279094512</v>
      </c>
      <c r="Q272" s="221"/>
      <c r="R272" s="221"/>
    </row>
    <row r="273" spans="3:20" x14ac:dyDescent="0.25">
      <c r="C273" s="713"/>
      <c r="D273" s="523">
        <f>D274+2.5%</f>
        <v>0.17499999999999999</v>
      </c>
      <c r="E273" s="524">
        <v>6.0458658528608128E-2</v>
      </c>
      <c r="F273" s="525">
        <v>6.9141594848269192E-2</v>
      </c>
      <c r="G273" s="525">
        <v>7.7824531167930255E-2</v>
      </c>
      <c r="H273" s="525">
        <v>8.6507467487591319E-2</v>
      </c>
      <c r="I273" s="525">
        <v>9.5190403807252535E-2</v>
      </c>
      <c r="J273" s="525">
        <v>0.1038733401269139</v>
      </c>
      <c r="K273" s="525">
        <v>0.11255627644657497</v>
      </c>
      <c r="L273" s="525">
        <v>0.12123921276623649</v>
      </c>
      <c r="M273" s="526">
        <v>0.12992214908589755</v>
      </c>
    </row>
    <row r="274" spans="3:20" x14ac:dyDescent="0.25">
      <c r="C274" s="713"/>
      <c r="D274" s="523">
        <f>D275+2.5%</f>
        <v>0.15</v>
      </c>
      <c r="E274" s="524">
        <v>6.3506236663554802E-2</v>
      </c>
      <c r="F274" s="525">
        <v>7.2213803215390088E-2</v>
      </c>
      <c r="G274" s="525">
        <v>8.0921369767225054E-2</v>
      </c>
      <c r="H274" s="525">
        <v>8.9628936319060035E-2</v>
      </c>
      <c r="I274" s="525">
        <v>9.8336502870895168E-2</v>
      </c>
      <c r="J274" s="525">
        <v>0.10704406942273044</v>
      </c>
      <c r="K274" s="525">
        <v>0.11575163597456557</v>
      </c>
      <c r="L274" s="525">
        <v>0.12445920252640084</v>
      </c>
      <c r="M274" s="526">
        <v>0.13316676907823599</v>
      </c>
    </row>
    <row r="275" spans="3:20" x14ac:dyDescent="0.25">
      <c r="C275" s="713"/>
      <c r="D275" s="523">
        <f>D276+2.5%</f>
        <v>0.125</v>
      </c>
      <c r="E275" s="524">
        <v>6.6571153653532472E-2</v>
      </c>
      <c r="F275" s="525">
        <v>7.5303490568493309E-2</v>
      </c>
      <c r="G275" s="525">
        <v>8.4035827483454312E-2</v>
      </c>
      <c r="H275" s="525">
        <v>9.2768164398415148E-2</v>
      </c>
      <c r="I275" s="525">
        <v>0.10150050131337614</v>
      </c>
      <c r="J275" s="525">
        <v>0.11023283822833729</v>
      </c>
      <c r="K275" s="525">
        <v>0.11896517514329828</v>
      </c>
      <c r="L275" s="525">
        <v>0.12769751205825944</v>
      </c>
      <c r="M275" s="526">
        <v>0.13642984897322027</v>
      </c>
    </row>
    <row r="276" spans="3:20" x14ac:dyDescent="0.25">
      <c r="C276" s="713"/>
      <c r="D276" s="523">
        <v>0.1</v>
      </c>
      <c r="E276" s="527">
        <v>6.9653557891890081E-2</v>
      </c>
      <c r="F276" s="526">
        <v>7.8410806500229399E-2</v>
      </c>
      <c r="G276" s="526">
        <v>8.716805510856887E-2</v>
      </c>
      <c r="H276" s="526">
        <v>9.5925303716908342E-2</v>
      </c>
      <c r="I276" s="526">
        <v>0.10468255232524766</v>
      </c>
      <c r="J276" s="526">
        <v>0.11343980093358742</v>
      </c>
      <c r="K276" s="526">
        <v>0.12219704954192674</v>
      </c>
      <c r="L276" s="526">
        <v>0.13095429815026638</v>
      </c>
      <c r="M276" s="526">
        <v>0.1397115467586057</v>
      </c>
    </row>
    <row r="277" spans="3:20" x14ac:dyDescent="0.25">
      <c r="C277" s="713"/>
      <c r="D277" s="523">
        <f t="shared" ref="D277:D280" si="128">+D276-2.5%</f>
        <v>7.5000000000000011E-2</v>
      </c>
      <c r="E277" s="524">
        <v>7.2753599470173388E-2</v>
      </c>
      <c r="F277" s="525">
        <v>8.1535902315169162E-2</v>
      </c>
      <c r="G277" s="525">
        <v>9.0318205160164949E-2</v>
      </c>
      <c r="H277" s="525">
        <v>9.9100508005160723E-2</v>
      </c>
      <c r="I277" s="525">
        <v>0.10788281085015666</v>
      </c>
      <c r="J277" s="525">
        <v>0.11666511369515274</v>
      </c>
      <c r="K277" s="525">
        <v>0.12544741654014868</v>
      </c>
      <c r="L277" s="525">
        <v>0.13422971938514461</v>
      </c>
      <c r="M277" s="526">
        <v>0.1430120222301407</v>
      </c>
    </row>
    <row r="278" spans="3:20" x14ac:dyDescent="0.25">
      <c r="C278" s="713"/>
      <c r="D278" s="523">
        <f t="shared" si="128"/>
        <v>5.000000000000001E-2</v>
      </c>
      <c r="E278" s="524">
        <v>7.5871430202486503E-2</v>
      </c>
      <c r="F278" s="525">
        <v>8.4678931054363776E-2</v>
      </c>
      <c r="G278" s="525">
        <v>9.3486431906240897E-2</v>
      </c>
      <c r="H278" s="525">
        <v>0.10229393275811803</v>
      </c>
      <c r="I278" s="525">
        <v>0.11110143360999546</v>
      </c>
      <c r="J278" s="525">
        <v>0.11990893446187273</v>
      </c>
      <c r="K278" s="525">
        <v>0.12871643531375015</v>
      </c>
      <c r="L278" s="525">
        <v>0.13752393616562744</v>
      </c>
      <c r="M278" s="526">
        <v>0.14633143701750487</v>
      </c>
      <c r="T278" s="1"/>
    </row>
    <row r="279" spans="3:20" x14ac:dyDescent="0.25">
      <c r="C279" s="713"/>
      <c r="D279" s="523">
        <f t="shared" si="128"/>
        <v>2.5000000000000008E-2</v>
      </c>
      <c r="E279" s="524">
        <v>7.9007203650273777E-2</v>
      </c>
      <c r="F279" s="525">
        <v>8.7840047520326106E-2</v>
      </c>
      <c r="G279" s="525">
        <v>9.6672891390378435E-2</v>
      </c>
      <c r="H279" s="525">
        <v>0.10550573526043061</v>
      </c>
      <c r="I279" s="525">
        <v>0.11433857913048294</v>
      </c>
      <c r="J279" s="525">
        <v>0.12317142300053557</v>
      </c>
      <c r="K279" s="525">
        <v>0.13200426687058775</v>
      </c>
      <c r="L279" s="525">
        <v>0.14083711074064037</v>
      </c>
      <c r="M279" s="526">
        <v>0.14966995461069271</v>
      </c>
    </row>
    <row r="280" spans="3:20" x14ac:dyDescent="0.25">
      <c r="C280" s="714"/>
      <c r="D280" s="528">
        <f t="shared" si="128"/>
        <v>0</v>
      </c>
      <c r="E280" s="524">
        <v>8.2161075147535678E-2</v>
      </c>
      <c r="F280" s="525">
        <v>9.1019408302451268E-2</v>
      </c>
      <c r="G280" s="525">
        <v>9.9877741457366692E-2</v>
      </c>
      <c r="H280" s="525">
        <v>0.10873607461228213</v>
      </c>
      <c r="I280" s="525">
        <v>0.11759440776719741</v>
      </c>
      <c r="J280" s="525">
        <v>0.12645274092211314</v>
      </c>
      <c r="K280" s="525">
        <v>0.13531107407702858</v>
      </c>
      <c r="L280" s="525">
        <v>0.14416940723194432</v>
      </c>
      <c r="M280" s="526">
        <v>0.15302774038685973</v>
      </c>
    </row>
    <row r="282" spans="3:20" x14ac:dyDescent="0.25">
      <c r="C282" s="511"/>
      <c r="D282" s="512"/>
      <c r="E282" s="513" t="s">
        <v>713</v>
      </c>
      <c r="F282" s="514"/>
      <c r="G282" s="514"/>
      <c r="H282" s="514"/>
      <c r="I282" s="514"/>
      <c r="J282" s="514"/>
      <c r="K282" s="514"/>
      <c r="L282" s="514"/>
      <c r="M282" s="515"/>
    </row>
    <row r="283" spans="3:20" x14ac:dyDescent="0.25">
      <c r="C283" s="516"/>
      <c r="D283" s="517">
        <f ca="1">+$M$192</f>
        <v>0.1397115467586057</v>
      </c>
      <c r="E283" s="529">
        <f>F283+0.5%</f>
        <v>0.14000000000000001</v>
      </c>
      <c r="F283" s="529">
        <f>G283+0.5%</f>
        <v>0.13500000000000001</v>
      </c>
      <c r="G283" s="529">
        <f>H283+0.5%</f>
        <v>0.13</v>
      </c>
      <c r="H283" s="529">
        <f>I283+0.5%</f>
        <v>0.125</v>
      </c>
      <c r="I283" s="530">
        <v>0.12</v>
      </c>
      <c r="J283" s="529">
        <f t="shared" ref="J283:M283" si="129">I283-0.5%</f>
        <v>0.11499999999999999</v>
      </c>
      <c r="K283" s="529">
        <f t="shared" si="129"/>
        <v>0.10999999999999999</v>
      </c>
      <c r="L283" s="529">
        <f t="shared" si="129"/>
        <v>0.10499999999999998</v>
      </c>
      <c r="M283" s="531">
        <f t="shared" si="129"/>
        <v>9.9999999999999978E-2</v>
      </c>
    </row>
    <row r="284" spans="3:20" x14ac:dyDescent="0.25">
      <c r="C284" s="710" t="str">
        <f>+$C$272</f>
        <v>Purchase Premium to Seller's Undisturbed Share Price:</v>
      </c>
      <c r="D284" s="523">
        <f>D285+2.5%</f>
        <v>0.19999999999999998</v>
      </c>
      <c r="E284" s="520">
        <f t="dataTable" ref="E284:M292" dt2D="1" dtr="1" r1="D13" r2="D8" ca="1"/>
        <v>0.1386281215049292</v>
      </c>
      <c r="F284" s="521">
        <v>0.13564504932643323</v>
      </c>
      <c r="G284" s="521">
        <v>0.1326619771479374</v>
      </c>
      <c r="H284" s="521">
        <v>0.12967890496944112</v>
      </c>
      <c r="I284" s="522">
        <v>0.12669583279094512</v>
      </c>
      <c r="J284" s="521">
        <v>0.12371276061244946</v>
      </c>
      <c r="K284" s="521">
        <v>0.12072968843395362</v>
      </c>
      <c r="L284" s="521">
        <v>0.11774661625545781</v>
      </c>
      <c r="M284" s="521">
        <v>0.11476354407696197</v>
      </c>
    </row>
    <row r="285" spans="3:20" x14ac:dyDescent="0.25">
      <c r="C285" s="713"/>
      <c r="D285" s="523">
        <f>D286+2.5%</f>
        <v>0.17499999999999999</v>
      </c>
      <c r="E285" s="524">
        <v>0.14188818948465329</v>
      </c>
      <c r="F285" s="525">
        <v>0.13889667938496433</v>
      </c>
      <c r="G285" s="525">
        <v>0.13590516928527535</v>
      </c>
      <c r="H285" s="525">
        <v>0.13291365918558654</v>
      </c>
      <c r="I285" s="526">
        <v>0.12992214908589755</v>
      </c>
      <c r="J285" s="525">
        <v>0.12693063898620874</v>
      </c>
      <c r="K285" s="525">
        <v>0.12393912888651931</v>
      </c>
      <c r="L285" s="525">
        <v>0.12094761878683034</v>
      </c>
      <c r="M285" s="525">
        <v>0.11795610868714138</v>
      </c>
    </row>
    <row r="286" spans="3:20" x14ac:dyDescent="0.25">
      <c r="C286" s="713"/>
      <c r="D286" s="523">
        <f>D287+2.5%</f>
        <v>0.15</v>
      </c>
      <c r="E286" s="524">
        <v>0.14516675264349427</v>
      </c>
      <c r="F286" s="525">
        <v>0.14216675675217974</v>
      </c>
      <c r="G286" s="525">
        <v>0.13916676086086535</v>
      </c>
      <c r="H286" s="525">
        <v>0.13616676496955035</v>
      </c>
      <c r="I286" s="526">
        <v>0.13316676907823599</v>
      </c>
      <c r="J286" s="525">
        <v>0.13016677318692144</v>
      </c>
      <c r="K286" s="525">
        <v>0.12716677729560721</v>
      </c>
      <c r="L286" s="525">
        <v>0.12416678140429223</v>
      </c>
      <c r="M286" s="525">
        <v>0.12116678551297785</v>
      </c>
    </row>
    <row r="287" spans="3:20" x14ac:dyDescent="0.25">
      <c r="C287" s="713"/>
      <c r="D287" s="523">
        <f>D288+2.5%</f>
        <v>0.125</v>
      </c>
      <c r="E287" s="524">
        <v>0.14846396882083027</v>
      </c>
      <c r="F287" s="525">
        <v>0.14545543885892773</v>
      </c>
      <c r="G287" s="525">
        <v>0.14244690889702533</v>
      </c>
      <c r="H287" s="525">
        <v>0.13943837893512281</v>
      </c>
      <c r="I287" s="526">
        <v>0.13642984897322027</v>
      </c>
      <c r="J287" s="525">
        <v>0.13342131901131773</v>
      </c>
      <c r="K287" s="525">
        <v>0.1304127890494152</v>
      </c>
      <c r="L287" s="525">
        <v>0.12740425908751282</v>
      </c>
      <c r="M287" s="525">
        <v>0.1243957291256103</v>
      </c>
    </row>
    <row r="288" spans="3:20" x14ac:dyDescent="0.25">
      <c r="C288" s="713"/>
      <c r="D288" s="523">
        <v>0.1</v>
      </c>
      <c r="E288" s="527">
        <v>0.1517799976571873</v>
      </c>
      <c r="F288" s="526">
        <v>0.14876288493254192</v>
      </c>
      <c r="G288" s="526">
        <v>0.14574577220789686</v>
      </c>
      <c r="H288" s="526">
        <v>0.14272865948325106</v>
      </c>
      <c r="I288" s="526">
        <v>0.1397115467586057</v>
      </c>
      <c r="J288" s="526">
        <v>0.13669443403396048</v>
      </c>
      <c r="K288" s="526">
        <v>0.13367732130931512</v>
      </c>
      <c r="L288" s="526">
        <v>0.13066020858466945</v>
      </c>
      <c r="M288" s="526">
        <v>0.12764309586002409</v>
      </c>
    </row>
    <row r="289" spans="3:19" x14ac:dyDescent="0.25">
      <c r="C289" s="713"/>
      <c r="D289" s="523">
        <f t="shared" ref="D289:D292" si="130">+D288-2.5%</f>
        <v>7.5000000000000011E-2</v>
      </c>
      <c r="E289" s="524">
        <v>0.15511500061999348</v>
      </c>
      <c r="F289" s="525">
        <v>0.15208925602253026</v>
      </c>
      <c r="G289" s="525">
        <v>0.14906351142506702</v>
      </c>
      <c r="H289" s="525">
        <v>0.14603776682760378</v>
      </c>
      <c r="I289" s="526">
        <v>0.1430120222301407</v>
      </c>
      <c r="J289" s="525">
        <v>0.13998627763267732</v>
      </c>
      <c r="K289" s="525">
        <v>0.13696053303521408</v>
      </c>
      <c r="L289" s="525">
        <v>0.13393478843775083</v>
      </c>
      <c r="M289" s="525">
        <v>0.13090904384028762</v>
      </c>
    </row>
    <row r="290" spans="3:19" x14ac:dyDescent="0.25">
      <c r="C290" s="713"/>
      <c r="D290" s="523">
        <f t="shared" si="130"/>
        <v>5.000000000000001E-2</v>
      </c>
      <c r="E290" s="524">
        <v>0.15846914102979812</v>
      </c>
      <c r="F290" s="525">
        <v>0.15543471502672473</v>
      </c>
      <c r="G290" s="525">
        <v>0.15240028902365135</v>
      </c>
      <c r="H290" s="525">
        <v>0.14936586302057811</v>
      </c>
      <c r="I290" s="526">
        <v>0.14633143701750487</v>
      </c>
      <c r="J290" s="525">
        <v>0.14329701101443149</v>
      </c>
      <c r="K290" s="525">
        <v>0.14026258501135808</v>
      </c>
      <c r="L290" s="525">
        <v>0.13722815900828425</v>
      </c>
      <c r="M290" s="525">
        <v>0.13419373300521084</v>
      </c>
      <c r="S290" s="312"/>
    </row>
    <row r="291" spans="3:19" x14ac:dyDescent="0.25">
      <c r="C291" s="713"/>
      <c r="D291" s="523">
        <f t="shared" si="130"/>
        <v>2.5000000000000008E-2</v>
      </c>
      <c r="E291" s="524">
        <v>0.16184258408692465</v>
      </c>
      <c r="F291" s="525">
        <v>0.15879942671786682</v>
      </c>
      <c r="G291" s="525">
        <v>0.15575626934880898</v>
      </c>
      <c r="H291" s="525">
        <v>0.15271311197975054</v>
      </c>
      <c r="I291" s="526">
        <v>0.14966995461069271</v>
      </c>
      <c r="J291" s="525">
        <v>0.14662679724163472</v>
      </c>
      <c r="K291" s="525">
        <v>0.14358363987257702</v>
      </c>
      <c r="L291" s="525">
        <v>0.14054048250351919</v>
      </c>
      <c r="M291" s="525">
        <v>0.1374973251344612</v>
      </c>
      <c r="S291" s="709"/>
    </row>
    <row r="292" spans="3:19" x14ac:dyDescent="0.25">
      <c r="C292" s="714"/>
      <c r="D292" s="528">
        <f t="shared" si="130"/>
        <v>0</v>
      </c>
      <c r="E292" s="524">
        <v>0.16523549689859843</v>
      </c>
      <c r="F292" s="525">
        <v>0.1621835577706639</v>
      </c>
      <c r="G292" s="525">
        <v>0.15913161864272909</v>
      </c>
      <c r="H292" s="525">
        <v>0.15607967951479443</v>
      </c>
      <c r="I292" s="526">
        <v>0.15302774038685973</v>
      </c>
      <c r="J292" s="525">
        <v>0.14997580125892507</v>
      </c>
      <c r="K292" s="525">
        <v>0.14692386213098979</v>
      </c>
      <c r="L292" s="525">
        <v>0.14387192300305529</v>
      </c>
      <c r="M292" s="525">
        <v>0.14081998387512062</v>
      </c>
      <c r="S292" s="312"/>
    </row>
    <row r="293" spans="3:19" x14ac:dyDescent="0.25">
      <c r="S293" s="312"/>
    </row>
  </sheetData>
  <mergeCells count="2">
    <mergeCell ref="C272:C280"/>
    <mergeCell ref="C284:C292"/>
  </mergeCells>
  <conditionalFormatting sqref="L227">
    <cfRule type="cellIs" dxfId="1" priority="1" operator="notEqual">
      <formula>#REF!</formula>
    </cfRule>
  </conditionalFormatting>
  <pageMargins left="0.7" right="0.7" top="0.75" bottom="0.75" header="0.3" footer="0.3"/>
  <pageSetup scale="10" orientation="landscape" horizontalDpi="300" verticalDpi="300" r:id="rId1"/>
  <rowBreaks count="3" manualBreakCount="3">
    <brk id="133" max="12" man="1"/>
    <brk id="205" max="12" man="1"/>
    <brk id="238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5DD0-0A92-4455-B79A-AE4C5A1EBB73}">
  <dimension ref="B2:G27"/>
  <sheetViews>
    <sheetView showGridLines="0" workbookViewId="0">
      <selection activeCell="E10" sqref="E10"/>
    </sheetView>
  </sheetViews>
  <sheetFormatPr defaultRowHeight="15" x14ac:dyDescent="0.25"/>
  <cols>
    <col min="1" max="2" width="2.7109375" customWidth="1"/>
    <col min="3" max="3" width="41.28515625" customWidth="1"/>
    <col min="5" max="5" width="10.5703125" bestFit="1" customWidth="1"/>
    <col min="6" max="6" width="10.85546875" bestFit="1" customWidth="1"/>
    <col min="7" max="7" width="11.5703125" bestFit="1" customWidth="1"/>
    <col min="8" max="8" width="10.5703125" bestFit="1" customWidth="1"/>
  </cols>
  <sheetData>
    <row r="2" spans="2:7" x14ac:dyDescent="0.25">
      <c r="B2" s="1" t="str">
        <f>"Consolidation Adjustments - "&amp;Company_Name&amp;" and "&amp;Seller_Name</f>
        <v>Consolidation Adjustments - TCS Group Holding PLC and Rosbank Group</v>
      </c>
    </row>
    <row r="3" spans="2:7" x14ac:dyDescent="0.25">
      <c r="B3" t="str">
        <f>'Merger-Model'!B3</f>
        <v>(RUB in Millions Except Per Share and Per Unit Data)</v>
      </c>
    </row>
    <row r="5" spans="2:7" x14ac:dyDescent="0.25">
      <c r="B5" s="224"/>
      <c r="C5" s="224"/>
      <c r="D5" s="224"/>
      <c r="E5" s="224"/>
      <c r="F5" s="224"/>
    </row>
    <row r="6" spans="2:7" x14ac:dyDescent="0.25">
      <c r="B6" s="227" t="s">
        <v>599</v>
      </c>
      <c r="C6" s="227"/>
      <c r="D6" s="227"/>
      <c r="E6" s="547" t="s">
        <v>600</v>
      </c>
      <c r="F6" s="547" t="s">
        <v>601</v>
      </c>
    </row>
    <row r="7" spans="2:7" x14ac:dyDescent="0.25">
      <c r="B7" s="10" t="s">
        <v>532</v>
      </c>
      <c r="C7" s="10"/>
      <c r="D7" s="10"/>
      <c r="E7" s="10"/>
      <c r="F7" s="10"/>
    </row>
    <row r="8" spans="2:7" x14ac:dyDescent="0.25">
      <c r="C8" s="13" t="str">
        <f>'Merger-Model'!C70</f>
        <v>Cash and Balances at Central Banks:</v>
      </c>
      <c r="D8" s="14" t="s">
        <v>3</v>
      </c>
      <c r="E8" s="390">
        <f>F10</f>
        <v>164.0393670638685</v>
      </c>
      <c r="F8" s="390">
        <f ca="1">'Merger-Model'!O21</f>
        <v>1385.5079914045004</v>
      </c>
    </row>
    <row r="9" spans="2:7" x14ac:dyDescent="0.25">
      <c r="C9" s="13" t="str">
        <f>'Merger-Model'!C92</f>
        <v>New Debt Issued</v>
      </c>
      <c r="D9" s="14" t="s">
        <v>3</v>
      </c>
      <c r="E9" s="390">
        <f ca="1">'Merger-Model'!O19</f>
        <v>565.3111560851579</v>
      </c>
      <c r="F9" s="390"/>
    </row>
    <row r="10" spans="2:7" x14ac:dyDescent="0.25">
      <c r="C10" s="13" t="str">
        <f>'Merger-Model'!C101</f>
        <v>Retained Earnings:</v>
      </c>
      <c r="D10" s="14" t="s">
        <v>3</v>
      </c>
      <c r="E10" s="390">
        <f>'Merger-Model'!O18+'Merger-Model'!O20</f>
        <v>820.19683531934243</v>
      </c>
      <c r="F10" s="390">
        <f>E10*Buyer!D15</f>
        <v>164.0393670638685</v>
      </c>
    </row>
    <row r="11" spans="2:7" x14ac:dyDescent="0.25">
      <c r="C11" s="13" t="str">
        <f>'Merger-Model'!C76</f>
        <v>Securities</v>
      </c>
      <c r="D11" s="14" t="s">
        <v>3</v>
      </c>
      <c r="E11" s="390"/>
      <c r="F11" s="390">
        <f>-Marks!F9</f>
        <v>6854.75</v>
      </c>
      <c r="G11" s="27"/>
    </row>
    <row r="12" spans="2:7" x14ac:dyDescent="0.25">
      <c r="C12" s="13" t="str">
        <f>'Merger-Model'!C74</f>
        <v>(-) Allowance for Loan Losses:</v>
      </c>
      <c r="D12" s="14" t="s">
        <v>3</v>
      </c>
      <c r="E12" s="390">
        <f>-Marks!G26</f>
        <v>42287</v>
      </c>
      <c r="F12" s="390"/>
      <c r="G12" s="27"/>
    </row>
    <row r="13" spans="2:7" x14ac:dyDescent="0.25">
      <c r="C13" s="13" t="str">
        <f>'Merger-Model'!C73</f>
        <v>Gross Loans:</v>
      </c>
      <c r="D13" s="14" t="s">
        <v>3</v>
      </c>
      <c r="E13" s="390"/>
      <c r="F13" s="390">
        <f>E12</f>
        <v>42287</v>
      </c>
      <c r="G13" s="27"/>
    </row>
    <row r="14" spans="2:7" x14ac:dyDescent="0.25">
      <c r="C14" s="13" t="str">
        <f>'Merger-Model'!C73</f>
        <v>Gross Loans:</v>
      </c>
      <c r="D14" s="14" t="s">
        <v>3</v>
      </c>
      <c r="E14" s="390"/>
      <c r="F14" s="390">
        <f>-Marks!F10</f>
        <v>66770</v>
      </c>
      <c r="G14" s="27"/>
    </row>
    <row r="15" spans="2:7" x14ac:dyDescent="0.25">
      <c r="C15" s="13" t="str">
        <f>'Merger-Model'!C79</f>
        <v>Intangible assets</v>
      </c>
      <c r="D15" s="14" t="s">
        <v>3</v>
      </c>
      <c r="E15" s="390">
        <f>-'Merger-Model'!D62</f>
        <v>2000</v>
      </c>
      <c r="F15" s="390"/>
    </row>
    <row r="16" spans="2:7" x14ac:dyDescent="0.25">
      <c r="C16" s="13" t="str">
        <f>'Merger-Model'!C80</f>
        <v>CDI</v>
      </c>
      <c r="D16" s="14" t="s">
        <v>3</v>
      </c>
      <c r="E16" s="390">
        <f>-'Merger-Model'!D63</f>
        <v>1000</v>
      </c>
      <c r="F16" s="390"/>
    </row>
    <row r="17" spans="3:6" x14ac:dyDescent="0.25">
      <c r="C17" s="13" t="str">
        <f>'Merger-Model'!C83</f>
        <v>New Deferred Tax</v>
      </c>
      <c r="D17" s="14" t="s">
        <v>3</v>
      </c>
      <c r="E17" s="390">
        <f>-SUM(Marks!F9:F10)*Buyer!D15</f>
        <v>14724.95</v>
      </c>
      <c r="F17" s="390">
        <f>SUM(E15:E16)*Buyer!D15</f>
        <v>600</v>
      </c>
    </row>
    <row r="18" spans="3:6" x14ac:dyDescent="0.25">
      <c r="C18" s="13" t="str">
        <f>'Merger-Model'!C92</f>
        <v>New Debt Issued</v>
      </c>
      <c r="D18" s="14" t="s">
        <v>3</v>
      </c>
      <c r="E18" s="390"/>
      <c r="F18" s="390">
        <f ca="1">'Merger-Model'!D49</f>
        <v>28265.557804257896</v>
      </c>
    </row>
    <row r="19" spans="3:6" x14ac:dyDescent="0.25">
      <c r="C19" s="13" t="str">
        <f>'Merger-Model'!C98</f>
        <v>Share Capital &amp; Share Premium:</v>
      </c>
      <c r="D19" s="14" t="s">
        <v>3</v>
      </c>
      <c r="E19" s="390"/>
      <c r="F19" s="390">
        <f ca="1">'Merger-Model'!D50</f>
        <v>66558.062434063206</v>
      </c>
    </row>
    <row r="20" spans="3:6" x14ac:dyDescent="0.25">
      <c r="C20" s="13" t="str">
        <f>'Merger-Model'!C105</f>
        <v>NCI</v>
      </c>
      <c r="D20" s="14" t="s">
        <v>3</v>
      </c>
      <c r="E20" s="390"/>
      <c r="F20" s="390">
        <f>'Merger-Model'!D59</f>
        <v>32313.960000000003</v>
      </c>
    </row>
    <row r="21" spans="3:6" x14ac:dyDescent="0.25">
      <c r="C21" s="13" t="str">
        <f>'Merger-Model'!C81</f>
        <v>Goodwill</v>
      </c>
      <c r="D21" s="14" t="s">
        <v>3</v>
      </c>
      <c r="E21" s="390">
        <f>'Merger-Model'!D65</f>
        <v>7798.3380425790056</v>
      </c>
      <c r="F21" s="390"/>
    </row>
    <row r="22" spans="3:6" x14ac:dyDescent="0.25">
      <c r="C22" s="13" t="str">
        <f>'Merger-Model'!C70</f>
        <v>Cash and Balances at Central Banks:</v>
      </c>
      <c r="D22" s="14" t="s">
        <v>3</v>
      </c>
      <c r="E22" s="390"/>
      <c r="F22" s="390">
        <f>'Merger-Model'!O9</f>
        <v>10535.957804257901</v>
      </c>
    </row>
    <row r="23" spans="3:6" x14ac:dyDescent="0.25">
      <c r="C23" s="13" t="str">
        <f>'Merger-Model'!C102</f>
        <v>Subordinated debt</v>
      </c>
      <c r="D23" s="14" t="s">
        <v>3</v>
      </c>
      <c r="E23" s="390">
        <f>'Merger-Model'!D18</f>
        <v>22162</v>
      </c>
      <c r="F23" s="390"/>
    </row>
    <row r="24" spans="3:6" x14ac:dyDescent="0.25">
      <c r="C24" s="13" t="str">
        <f>'Merger-Model'!C98</f>
        <v>Share Capital &amp; Share Premium:</v>
      </c>
      <c r="D24" s="14" t="s">
        <v>3</v>
      </c>
      <c r="E24" s="390">
        <f>'Merger-Model'!H98</f>
        <v>77296</v>
      </c>
      <c r="F24" s="390"/>
    </row>
    <row r="25" spans="3:6" x14ac:dyDescent="0.25">
      <c r="C25" s="13" t="str">
        <f>'Merger-Model'!C100</f>
        <v>Reserves:</v>
      </c>
      <c r="D25" s="14" t="s">
        <v>3</v>
      </c>
      <c r="E25" s="390">
        <f>'Merger-Model'!H100</f>
        <v>3564</v>
      </c>
      <c r="F25" s="390"/>
    </row>
    <row r="26" spans="3:6" x14ac:dyDescent="0.25">
      <c r="C26" s="60" t="str">
        <f>'Merger-Model'!C101</f>
        <v>Retained Earnings:</v>
      </c>
      <c r="D26" s="16" t="s">
        <v>3</v>
      </c>
      <c r="E26" s="548">
        <f>'Merger-Model'!H101</f>
        <v>83353</v>
      </c>
      <c r="F26" s="548"/>
    </row>
    <row r="27" spans="3:6" x14ac:dyDescent="0.25">
      <c r="C27" s="1" t="s">
        <v>602</v>
      </c>
      <c r="E27" s="390"/>
      <c r="F27" s="106">
        <f ca="1">SUM(E8:E26)-SUM(F8:F26)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FA47-3607-4D82-A34B-BCFE38A427DB}">
  <sheetPr>
    <pageSetUpPr autoPageBreaks="0"/>
  </sheetPr>
  <dimension ref="B2:L35"/>
  <sheetViews>
    <sheetView showGridLines="0" zoomScaleNormal="100" workbookViewId="0">
      <selection activeCell="D34" sqref="D34"/>
    </sheetView>
  </sheetViews>
  <sheetFormatPr defaultRowHeight="15.75" outlineLevelRow="1" outlineLevelCol="1" x14ac:dyDescent="0.25"/>
  <cols>
    <col min="1" max="2" width="2.7109375" style="180" customWidth="1"/>
    <col min="3" max="3" width="52.85546875" style="180" customWidth="1"/>
    <col min="4" max="4" width="12.7109375" style="180" customWidth="1"/>
    <col min="5" max="7" width="12.7109375" style="180" customWidth="1" outlineLevel="1"/>
    <col min="8" max="12" width="12.7109375" style="180" customWidth="1"/>
    <col min="13" max="13" width="2.7109375" style="180" customWidth="1"/>
    <col min="14" max="23" width="12.7109375" style="180" customWidth="1"/>
    <col min="24" max="16384" width="9.140625" style="180"/>
  </cols>
  <sheetData>
    <row r="2" spans="2:12" ht="18.75" x14ac:dyDescent="0.3">
      <c r="B2" s="179" t="str">
        <f>"Mark-to-Market Schedule for Seller's Balance Sheet - "&amp;Seller_Name</f>
        <v>Mark-to-Market Schedule for Seller's Balance Sheet - Rosbank Group</v>
      </c>
    </row>
    <row r="3" spans="2:12" x14ac:dyDescent="0.25">
      <c r="B3" s="180" t="str">
        <f>Seller!B3</f>
        <v>(RUB in Millions Except Per Share and Per Unit Data)</v>
      </c>
    </row>
    <row r="5" spans="2:12" x14ac:dyDescent="0.25">
      <c r="B5" s="289" t="s">
        <v>433</v>
      </c>
      <c r="C5" s="290"/>
      <c r="D5" s="291"/>
      <c r="E5" s="291"/>
      <c r="F5" s="291"/>
      <c r="G5" s="291"/>
      <c r="H5" s="291"/>
      <c r="I5" s="291"/>
      <c r="J5" s="291"/>
      <c r="K5" s="291"/>
      <c r="L5" s="291"/>
    </row>
    <row r="6" spans="2:12" outlineLevel="1" x14ac:dyDescent="0.25"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</row>
    <row r="7" spans="2:12" outlineLevel="1" x14ac:dyDescent="0.25">
      <c r="B7" s="223"/>
      <c r="C7" s="292"/>
      <c r="D7" s="293" t="s">
        <v>434</v>
      </c>
      <c r="E7" s="293" t="s">
        <v>435</v>
      </c>
      <c r="F7" s="293" t="s">
        <v>436</v>
      </c>
      <c r="G7" s="293" t="s">
        <v>437</v>
      </c>
      <c r="H7" s="293" t="s">
        <v>437</v>
      </c>
      <c r="I7" s="223"/>
    </row>
    <row r="8" spans="2:12" outlineLevel="1" x14ac:dyDescent="0.25">
      <c r="B8" s="223"/>
      <c r="C8" s="10" t="s">
        <v>439</v>
      </c>
      <c r="D8" s="295" t="s">
        <v>440</v>
      </c>
      <c r="E8" s="295" t="s">
        <v>441</v>
      </c>
      <c r="F8" s="295" t="s">
        <v>442</v>
      </c>
      <c r="G8" s="295" t="s">
        <v>443</v>
      </c>
      <c r="H8" s="295" t="s">
        <v>444</v>
      </c>
      <c r="I8" s="223"/>
    </row>
    <row r="9" spans="2:12" outlineLevel="1" x14ac:dyDescent="0.25">
      <c r="B9" s="223"/>
      <c r="C9" s="232" t="s">
        <v>82</v>
      </c>
      <c r="D9" s="297">
        <v>0.95</v>
      </c>
      <c r="E9" s="298">
        <f>+D9*G28</f>
        <v>130240.25</v>
      </c>
      <c r="F9" s="298">
        <f>+E9-G28</f>
        <v>-6854.75</v>
      </c>
      <c r="G9" s="299">
        <v>5</v>
      </c>
      <c r="H9" s="119">
        <f t="shared" ref="H9" si="0">-F9/G9</f>
        <v>1370.95</v>
      </c>
      <c r="I9" s="300"/>
    </row>
    <row r="10" spans="2:12" outlineLevel="1" x14ac:dyDescent="0.25">
      <c r="B10" s="223"/>
      <c r="C10" s="232" t="s">
        <v>445</v>
      </c>
      <c r="D10" s="34">
        <v>0.92</v>
      </c>
      <c r="E10" s="298">
        <f>+D10*G25</f>
        <v>767855</v>
      </c>
      <c r="F10" s="298">
        <f>+E10-G25</f>
        <v>-66770</v>
      </c>
      <c r="G10" s="299">
        <v>6</v>
      </c>
      <c r="H10" s="119">
        <f>-F10/G10</f>
        <v>11128.333333333334</v>
      </c>
      <c r="I10" s="313"/>
    </row>
    <row r="11" spans="2:12" outlineLevel="1" x14ac:dyDescent="0.25">
      <c r="B11" s="223"/>
      <c r="C11" s="83" t="s">
        <v>341</v>
      </c>
      <c r="D11" s="301">
        <f>+E11/(G25+G28)</f>
        <v>0.92423254641254682</v>
      </c>
      <c r="E11" s="245">
        <f>SUM(E9:E10)</f>
        <v>898095.25</v>
      </c>
      <c r="F11" s="245">
        <f>SUM(F9:F10)</f>
        <v>-73624.75</v>
      </c>
      <c r="G11" s="302"/>
      <c r="H11" s="302"/>
      <c r="I11" s="312"/>
    </row>
    <row r="12" spans="2:12" outlineLevel="1" x14ac:dyDescent="0.25">
      <c r="B12" s="223"/>
      <c r="C12" s="309"/>
      <c r="D12" s="310"/>
      <c r="E12" s="311"/>
      <c r="F12" s="311"/>
      <c r="G12" s="312"/>
      <c r="H12" s="312"/>
      <c r="I12" s="312"/>
      <c r="J12" s="311"/>
      <c r="K12" s="311"/>
      <c r="L12" s="311"/>
    </row>
    <row r="13" spans="2:12" outlineLevel="1" x14ac:dyDescent="0.25">
      <c r="B13" s="223"/>
      <c r="C13" s="294" t="s">
        <v>438</v>
      </c>
      <c r="D13" s="294"/>
      <c r="E13" s="294" t="s">
        <v>438</v>
      </c>
      <c r="F13" s="294"/>
      <c r="G13" s="294"/>
      <c r="H13" s="294"/>
      <c r="I13" s="294"/>
      <c r="K13" s="311"/>
      <c r="L13" s="311"/>
    </row>
    <row r="14" spans="2:12" outlineLevel="1" x14ac:dyDescent="0.25">
      <c r="B14" s="223"/>
      <c r="C14" s="296">
        <f>F20</f>
        <v>43830</v>
      </c>
      <c r="D14" s="296"/>
      <c r="E14" s="296">
        <f>H20</f>
        <v>44561</v>
      </c>
      <c r="F14" s="296">
        <f>I20</f>
        <v>44926</v>
      </c>
      <c r="G14" s="296">
        <f>J20</f>
        <v>45291</v>
      </c>
      <c r="H14" s="296">
        <f t="shared" ref="H14:I14" si="1">K20</f>
        <v>45657</v>
      </c>
      <c r="I14" s="296">
        <f t="shared" si="1"/>
        <v>46022</v>
      </c>
      <c r="K14" s="311"/>
      <c r="L14" s="311"/>
    </row>
    <row r="15" spans="2:12" outlineLevel="1" x14ac:dyDescent="0.25">
      <c r="B15" s="223"/>
      <c r="C15" s="232" t="s">
        <v>82</v>
      </c>
      <c r="D15" s="310"/>
      <c r="E15" s="119">
        <f>SIGN($H9)*MIN(ABS($F9)-ABS(SUM($D15:D15)),ABS($H9))</f>
        <v>1370.95</v>
      </c>
      <c r="F15" s="119">
        <f>SIGN($H9)*MIN(ABS($F9)-ABS(SUM($D15:E15)),ABS($H9))</f>
        <v>1370.95</v>
      </c>
      <c r="G15" s="119">
        <f>SIGN($H9)*MIN(ABS($F9)-ABS(SUM($D15:F15)),ABS($H9))</f>
        <v>1370.95</v>
      </c>
      <c r="H15" s="119">
        <f>SIGN($H9)*MIN(ABS($F9)-ABS(SUM($D15:G15)),ABS($H9))</f>
        <v>1370.95</v>
      </c>
      <c r="I15" s="119">
        <f>SIGN($H9)*MIN(ABS($F9)-ABS(SUM($D15:H15)),ABS($H9))</f>
        <v>1370.9499999999998</v>
      </c>
      <c r="K15" s="311"/>
      <c r="L15" s="311"/>
    </row>
    <row r="16" spans="2:12" outlineLevel="1" x14ac:dyDescent="0.25">
      <c r="B16" s="223"/>
      <c r="C16" s="232" t="s">
        <v>445</v>
      </c>
      <c r="D16" s="314"/>
      <c r="E16" s="244">
        <f>SIGN($H10)*MIN(ABS($F10)-ABS(SUM($D16:D16)),ABS($H10))</f>
        <v>11128.333333333334</v>
      </c>
      <c r="F16" s="244">
        <f>SIGN($H10)*MIN(ABS($F10)-ABS(SUM($D16:E16)),ABS($H10))</f>
        <v>11128.333333333334</v>
      </c>
      <c r="G16" s="244">
        <f>SIGN($H10)*MIN(ABS($F10)-ABS(SUM($D16:F16)),ABS($H10))</f>
        <v>11128.333333333334</v>
      </c>
      <c r="H16" s="244">
        <f>SIGN($H10)*MIN(ABS($F10)-ABS(SUM($D16:G16)),ABS($H10))</f>
        <v>11128.333333333334</v>
      </c>
      <c r="I16" s="244">
        <f>SIGN($H10)*MIN(ABS($F10)-ABS(SUM($D16:H16)),ABS($H10))</f>
        <v>11128.333333333334</v>
      </c>
      <c r="K16" s="311"/>
      <c r="L16" s="311"/>
    </row>
    <row r="17" spans="2:12" outlineLevel="1" x14ac:dyDescent="0.25">
      <c r="B17" s="223"/>
      <c r="C17" s="83" t="s">
        <v>341</v>
      </c>
      <c r="D17" s="310"/>
      <c r="E17" s="311">
        <f>SUM(E15:E16)</f>
        <v>12499.283333333335</v>
      </c>
      <c r="F17" s="245">
        <f>SUM(F15:F16)</f>
        <v>12499.283333333335</v>
      </c>
      <c r="G17" s="245">
        <f>SUM(G15:G16)</f>
        <v>12499.283333333335</v>
      </c>
      <c r="H17" s="245">
        <f t="shared" ref="H17:I17" si="2">SUM(H15:H16)</f>
        <v>12499.283333333335</v>
      </c>
      <c r="I17" s="245">
        <f t="shared" si="2"/>
        <v>12499.283333333333</v>
      </c>
      <c r="K17" s="311"/>
      <c r="L17" s="311"/>
    </row>
    <row r="18" spans="2:12" x14ac:dyDescent="0.25"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</row>
    <row r="19" spans="2:12" x14ac:dyDescent="0.25">
      <c r="B19" s="224"/>
      <c r="C19" s="224"/>
      <c r="D19" s="224"/>
      <c r="E19" s="225" t="s">
        <v>55</v>
      </c>
      <c r="F19" s="225"/>
      <c r="G19" s="226"/>
      <c r="H19" s="225" t="s">
        <v>0</v>
      </c>
      <c r="I19" s="225"/>
      <c r="J19" s="225"/>
      <c r="K19" s="225"/>
      <c r="L19" s="226"/>
    </row>
    <row r="20" spans="2:12" x14ac:dyDescent="0.25">
      <c r="B20" s="227" t="s">
        <v>56</v>
      </c>
      <c r="C20" s="227"/>
      <c r="D20" s="7" t="s">
        <v>1</v>
      </c>
      <c r="E20" s="8">
        <f>EOMONTH(F20,-12)</f>
        <v>43465</v>
      </c>
      <c r="F20" s="228">
        <f>EOMONTH(G20,-12)</f>
        <v>43830</v>
      </c>
      <c r="G20" s="229">
        <f>Seller_Year</f>
        <v>44196</v>
      </c>
      <c r="H20" s="8">
        <f>EOMONTH(G20,12)</f>
        <v>44561</v>
      </c>
      <c r="I20" s="228">
        <f t="shared" ref="I20:L20" si="3">EOMONTH(H20,12)</f>
        <v>44926</v>
      </c>
      <c r="J20" s="228">
        <f>EOMONTH(I20,12)</f>
        <v>45291</v>
      </c>
      <c r="K20" s="228">
        <f t="shared" si="3"/>
        <v>45657</v>
      </c>
      <c r="L20" s="229">
        <f t="shared" si="3"/>
        <v>46022</v>
      </c>
    </row>
    <row r="21" spans="2:12" outlineLevel="1" x14ac:dyDescent="0.25">
      <c r="B21" s="1" t="s">
        <v>352</v>
      </c>
      <c r="C21" s="223"/>
      <c r="D21" s="223"/>
      <c r="E21" s="223"/>
      <c r="F21" s="223"/>
      <c r="G21" s="223"/>
      <c r="H21" s="223"/>
      <c r="I21" s="223"/>
      <c r="J21" s="223"/>
      <c r="K21" s="223"/>
      <c r="L21" s="223"/>
    </row>
    <row r="22" spans="2:12" outlineLevel="1" x14ac:dyDescent="0.25">
      <c r="B22" s="223"/>
      <c r="C22" s="230" t="str">
        <f>Seller!C29</f>
        <v>Cash and Balances at Central Banks:</v>
      </c>
      <c r="D22" s="14" t="str">
        <f>Seller!D29</f>
        <v>₽ M</v>
      </c>
      <c r="E22" s="303">
        <f>Seller!E29</f>
        <v>134296</v>
      </c>
      <c r="F22" s="303">
        <f>Seller!F29</f>
        <v>89010</v>
      </c>
      <c r="G22" s="303">
        <f>Seller!G29</f>
        <v>159687</v>
      </c>
      <c r="H22" s="303">
        <f>Seller!H29</f>
        <v>148965.19347721714</v>
      </c>
      <c r="I22" s="303">
        <f>Seller!I29</f>
        <v>154852.74563885271</v>
      </c>
      <c r="J22" s="303">
        <f>Seller!J29</f>
        <v>161051.85360773106</v>
      </c>
      <c r="K22" s="303">
        <f>Seller!K29</f>
        <v>167577.90609937222</v>
      </c>
      <c r="L22" s="303">
        <f>Seller!L29</f>
        <v>174447.06334615743</v>
      </c>
    </row>
    <row r="23" spans="2:12" outlineLevel="1" x14ac:dyDescent="0.25">
      <c r="B23" s="223"/>
      <c r="C23" s="230" t="str">
        <f>Seller!C30</f>
        <v>Due from CBRF</v>
      </c>
      <c r="D23" s="14" t="str">
        <f>Seller!D30</f>
        <v>₽ M</v>
      </c>
      <c r="E23" s="303">
        <f>Seller!E30</f>
        <v>7722</v>
      </c>
      <c r="F23" s="303">
        <f>Seller!F30</f>
        <v>9042</v>
      </c>
      <c r="G23" s="303">
        <f>Seller!G30</f>
        <v>10910</v>
      </c>
      <c r="H23" s="303">
        <f>Seller!H30</f>
        <v>10716.932602103838</v>
      </c>
      <c r="I23" s="303">
        <f>Seller!I30</f>
        <v>11140.497988317828</v>
      </c>
      <c r="J23" s="303">
        <f>Seller!J30</f>
        <v>11586.47748691657</v>
      </c>
      <c r="K23" s="303">
        <f>Seller!K30</f>
        <v>12055.978200997184</v>
      </c>
      <c r="L23" s="303">
        <f>Seller!L30</f>
        <v>12550.162738530171</v>
      </c>
    </row>
    <row r="24" spans="2:12" outlineLevel="1" x14ac:dyDescent="0.25">
      <c r="B24" s="223"/>
      <c r="C24" s="230" t="str">
        <f>Seller!C31</f>
        <v>Due from Banks</v>
      </c>
      <c r="D24" s="14" t="str">
        <f>Seller!D31</f>
        <v>₽ M</v>
      </c>
      <c r="E24" s="303">
        <f>Seller!E31</f>
        <v>66374</v>
      </c>
      <c r="F24" s="303">
        <f>Seller!F31</f>
        <v>115594</v>
      </c>
      <c r="G24" s="303">
        <f>Seller!G31</f>
        <v>155592</v>
      </c>
      <c r="H24" s="303">
        <f ca="1">Seller!H31</f>
        <v>155592</v>
      </c>
      <c r="I24" s="303">
        <f ca="1">Seller!I31</f>
        <v>161565.56166249863</v>
      </c>
      <c r="J24" s="303">
        <f ca="1">Seller!J31</f>
        <v>167769.15285673947</v>
      </c>
      <c r="K24" s="303">
        <f ca="1">Seller!K31</f>
        <v>174215.08617145126</v>
      </c>
      <c r="L24" s="303">
        <f ca="1">Seller!L31</f>
        <v>180916.21647456614</v>
      </c>
    </row>
    <row r="25" spans="2:12" outlineLevel="1" x14ac:dyDescent="0.25">
      <c r="B25" s="223"/>
      <c r="C25" s="38" t="str">
        <f>Seller!C32</f>
        <v>Gross Loans:</v>
      </c>
      <c r="D25" s="58" t="str">
        <f>Seller!D32</f>
        <v>₽ M</v>
      </c>
      <c r="E25" s="305">
        <f>Seller!E32</f>
        <v>768035</v>
      </c>
      <c r="F25" s="305">
        <f>Seller!F32</f>
        <v>808782</v>
      </c>
      <c r="G25" s="305">
        <f>Seller!G32</f>
        <v>834625</v>
      </c>
      <c r="H25" s="305">
        <f>Seller!H32</f>
        <v>867730.86091369495</v>
      </c>
      <c r="I25" s="305">
        <f>Seller!I32</f>
        <v>902026.19250517618</v>
      </c>
      <c r="J25" s="305">
        <f>Seller!J32</f>
        <v>938136.35467909661</v>
      </c>
      <c r="K25" s="305">
        <f>Seller!K32</f>
        <v>976150.98759269633</v>
      </c>
      <c r="L25" s="305">
        <f>Seller!L32</f>
        <v>1016164.2255335184</v>
      </c>
    </row>
    <row r="26" spans="2:12" outlineLevel="1" x14ac:dyDescent="0.25">
      <c r="B26" s="223"/>
      <c r="C26" s="230" t="str">
        <f>Seller!C33</f>
        <v>(-) Allowance for Loan Losses:</v>
      </c>
      <c r="D26" s="14" t="str">
        <f>Seller!D33</f>
        <v>₽ M</v>
      </c>
      <c r="E26" s="303">
        <f>Seller!E33</f>
        <v>-44063</v>
      </c>
      <c r="F26" s="303">
        <f>Seller!F33</f>
        <v>-37335</v>
      </c>
      <c r="G26" s="303">
        <f>Seller!G33</f>
        <v>-42287</v>
      </c>
      <c r="H26" s="303">
        <f>Seller!H33</f>
        <v>-48787.942109240641</v>
      </c>
      <c r="I26" s="303">
        <f>Seller!I33</f>
        <v>-54985.411130066903</v>
      </c>
      <c r="J26" s="303">
        <f>Seller!J33</f>
        <v>-61431.91054079085</v>
      </c>
      <c r="K26" s="303">
        <f>Seller!K33</f>
        <v>-68140.561540660754</v>
      </c>
      <c r="L26" s="303">
        <f>Seller!L33</f>
        <v>-75125.134017940392</v>
      </c>
    </row>
    <row r="27" spans="2:12" outlineLevel="1" x14ac:dyDescent="0.25">
      <c r="B27" s="223"/>
      <c r="C27" s="306" t="str">
        <f>Seller!C34</f>
        <v>Loans to customers</v>
      </c>
      <c r="D27" s="307" t="str">
        <f>Seller!D34</f>
        <v>₽ M</v>
      </c>
      <c r="E27" s="308">
        <f>Seller!E34</f>
        <v>723972</v>
      </c>
      <c r="F27" s="308">
        <f>Seller!F34</f>
        <v>771447</v>
      </c>
      <c r="G27" s="308">
        <f>Seller!G34</f>
        <v>792338</v>
      </c>
      <c r="H27" s="308">
        <f>Seller!H34</f>
        <v>818942.91880445427</v>
      </c>
      <c r="I27" s="308">
        <f>Seller!I34</f>
        <v>847040.78137510922</v>
      </c>
      <c r="J27" s="308">
        <f>Seller!J34</f>
        <v>876704.44413830573</v>
      </c>
      <c r="K27" s="308">
        <f>Seller!K34</f>
        <v>908010.42605203553</v>
      </c>
      <c r="L27" s="308">
        <f>Seller!L34</f>
        <v>941039.09151557798</v>
      </c>
    </row>
    <row r="28" spans="2:12" outlineLevel="1" x14ac:dyDescent="0.25">
      <c r="B28" s="223"/>
      <c r="C28" s="230" t="str">
        <f>Seller!C35</f>
        <v>Securities</v>
      </c>
      <c r="D28" s="14" t="str">
        <f>Seller!D35</f>
        <v>₽ M</v>
      </c>
      <c r="E28" s="303">
        <f>Seller!E35</f>
        <v>141339</v>
      </c>
      <c r="F28" s="303">
        <f>Seller!F35</f>
        <v>147323</v>
      </c>
      <c r="G28" s="303">
        <f>Seller!G35</f>
        <v>137095</v>
      </c>
      <c r="H28" s="303">
        <f>Seller!H35</f>
        <v>137095</v>
      </c>
      <c r="I28" s="303">
        <f>Seller!I35</f>
        <v>137095</v>
      </c>
      <c r="J28" s="303">
        <f>Seller!J35</f>
        <v>137095</v>
      </c>
      <c r="K28" s="303">
        <f>Seller!K35</f>
        <v>137095</v>
      </c>
      <c r="L28" s="303">
        <f>Seller!L35</f>
        <v>137095</v>
      </c>
    </row>
    <row r="29" spans="2:12" outlineLevel="1" x14ac:dyDescent="0.25">
      <c r="B29" s="223"/>
      <c r="C29" s="230" t="str">
        <f>Seller!C36</f>
        <v>Guarantee deposit</v>
      </c>
      <c r="D29" s="14" t="str">
        <f>Seller!D36</f>
        <v>₽ M</v>
      </c>
      <c r="E29" s="303">
        <f>Seller!E36</f>
        <v>0</v>
      </c>
      <c r="F29" s="303">
        <f>Seller!F36</f>
        <v>0</v>
      </c>
      <c r="G29" s="303">
        <f>Seller!G36</f>
        <v>0</v>
      </c>
      <c r="H29" s="303">
        <f>Seller!H36</f>
        <v>0</v>
      </c>
      <c r="I29" s="303">
        <f>Seller!I36</f>
        <v>0</v>
      </c>
      <c r="J29" s="303">
        <f>Seller!J36</f>
        <v>0</v>
      </c>
      <c r="K29" s="303">
        <f>Seller!K36</f>
        <v>0</v>
      </c>
      <c r="L29" s="303">
        <f>Seller!L36</f>
        <v>0</v>
      </c>
    </row>
    <row r="30" spans="2:12" outlineLevel="1" x14ac:dyDescent="0.25">
      <c r="B30" s="223"/>
      <c r="C30" s="230" t="str">
        <f>Seller!C37</f>
        <v>PPE</v>
      </c>
      <c r="D30" s="14" t="str">
        <f>Seller!D37</f>
        <v>₽ M</v>
      </c>
      <c r="E30" s="303">
        <f>Seller!E37</f>
        <v>18922</v>
      </c>
      <c r="F30" s="303">
        <f>Seller!F37</f>
        <v>24636</v>
      </c>
      <c r="G30" s="303">
        <f>Seller!G37</f>
        <v>26591</v>
      </c>
      <c r="H30" s="303">
        <f>Seller!H37</f>
        <v>28635.118410151936</v>
      </c>
      <c r="I30" s="303">
        <f>Seller!I37</f>
        <v>29766.864352670815</v>
      </c>
      <c r="J30" s="303">
        <f>Seller!J37</f>
        <v>30958.499704410191</v>
      </c>
      <c r="K30" s="303">
        <f>Seller!K37</f>
        <v>32212.982590558979</v>
      </c>
      <c r="L30" s="303">
        <f>Seller!L37</f>
        <v>33533.419442606108</v>
      </c>
    </row>
    <row r="31" spans="2:12" outlineLevel="1" x14ac:dyDescent="0.25">
      <c r="B31" s="223"/>
      <c r="C31" s="230" t="str">
        <f>Seller!C38</f>
        <v>Intangible assets</v>
      </c>
      <c r="D31" s="14" t="str">
        <f>Seller!D38</f>
        <v>₽ M</v>
      </c>
      <c r="E31" s="303">
        <f>Seller!E38</f>
        <v>3686</v>
      </c>
      <c r="F31" s="303">
        <f>Seller!F38</f>
        <v>5813</v>
      </c>
      <c r="G31" s="303">
        <f>Seller!G38</f>
        <v>8277</v>
      </c>
      <c r="H31" s="303">
        <f>Seller!H38</f>
        <v>10340.773491523545</v>
      </c>
      <c r="I31" s="303">
        <f>Seller!I38</f>
        <v>12553.524324150216</v>
      </c>
      <c r="J31" s="303">
        <f>Seller!J38</f>
        <v>14932.343193437926</v>
      </c>
      <c r="K31" s="303">
        <f>Seller!K38</f>
        <v>17489.725168142795</v>
      </c>
      <c r="L31" s="303">
        <f>Seller!L38</f>
        <v>20238.971948000672</v>
      </c>
    </row>
    <row r="32" spans="2:12" outlineLevel="1" x14ac:dyDescent="0.25">
      <c r="B32" s="223"/>
      <c r="C32" s="230" t="str">
        <f>Seller!C39</f>
        <v>Deferred tax</v>
      </c>
      <c r="D32" s="14" t="str">
        <f>Seller!D39</f>
        <v>₽ M</v>
      </c>
      <c r="E32" s="303">
        <f>Seller!E39</f>
        <v>153</v>
      </c>
      <c r="F32" s="303">
        <f>Seller!F39</f>
        <v>236</v>
      </c>
      <c r="G32" s="303">
        <f>Seller!G39</f>
        <v>2429</v>
      </c>
      <c r="H32" s="303">
        <f>Seller!H39</f>
        <v>2429</v>
      </c>
      <c r="I32" s="303">
        <f>Seller!I39</f>
        <v>2429</v>
      </c>
      <c r="J32" s="303">
        <f>Seller!J39</f>
        <v>2429</v>
      </c>
      <c r="K32" s="303">
        <f>Seller!K39</f>
        <v>2429</v>
      </c>
      <c r="L32" s="303">
        <f>Seller!L39</f>
        <v>2429</v>
      </c>
    </row>
    <row r="33" spans="2:12" outlineLevel="1" x14ac:dyDescent="0.25">
      <c r="B33" s="223"/>
      <c r="C33" s="304" t="str">
        <f>Seller!C40</f>
        <v>Other assets</v>
      </c>
      <c r="D33" s="16" t="str">
        <f>Seller!D40</f>
        <v>₽ M</v>
      </c>
      <c r="E33" s="303">
        <f>Seller!E40</f>
        <v>12660</v>
      </c>
      <c r="F33" s="303">
        <f>Seller!F40</f>
        <v>18580</v>
      </c>
      <c r="G33" s="303">
        <f>Seller!G40</f>
        <v>13745</v>
      </c>
      <c r="H33" s="303">
        <f>Seller!H40</f>
        <v>17614.998592241984</v>
      </c>
      <c r="I33" s="303">
        <f>Seller!I40</f>
        <v>18311.196278547966</v>
      </c>
      <c r="J33" s="303">
        <f>Seller!J40</f>
        <v>19044.235155590399</v>
      </c>
      <c r="K33" s="303">
        <f>Seller!K40</f>
        <v>19815.934924978057</v>
      </c>
      <c r="L33" s="303">
        <f>Seller!L40</f>
        <v>20628.206519486586</v>
      </c>
    </row>
    <row r="34" spans="2:12" outlineLevel="1" x14ac:dyDescent="0.25">
      <c r="B34" s="1" t="s">
        <v>7</v>
      </c>
      <c r="C34" s="223"/>
      <c r="D34" s="14" t="s">
        <v>3</v>
      </c>
      <c r="E34" s="245">
        <f t="shared" ref="E34:L34" si="4">SUM(E22:E24)+E28+SUM(E30:E33)</f>
        <v>385152</v>
      </c>
      <c r="F34" s="245">
        <f t="shared" si="4"/>
        <v>410234</v>
      </c>
      <c r="G34" s="245">
        <f t="shared" si="4"/>
        <v>514326</v>
      </c>
      <c r="H34" s="245">
        <f t="shared" ca="1" si="4"/>
        <v>511389.01657323842</v>
      </c>
      <c r="I34" s="245">
        <f t="shared" ca="1" si="4"/>
        <v>527714.3902450382</v>
      </c>
      <c r="J34" s="245">
        <f t="shared" ca="1" si="4"/>
        <v>544866.56200482557</v>
      </c>
      <c r="K34" s="245">
        <f t="shared" ca="1" si="4"/>
        <v>562891.6131555005</v>
      </c>
      <c r="L34" s="245">
        <f t="shared" ca="1" si="4"/>
        <v>581838.04046934715</v>
      </c>
    </row>
    <row r="35" spans="2:12" outlineLevel="1" x14ac:dyDescent="0.25">
      <c r="C35" s="186"/>
      <c r="E35" s="204"/>
      <c r="L35" s="192"/>
    </row>
  </sheetData>
  <pageMargins left="0.7" right="0.7" top="0.75" bottom="0.75" header="0.3" footer="0.3"/>
  <pageSetup scale="1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8D9-ABF1-4543-A0EC-DED2E8932A37}">
  <sheetPr>
    <tabColor rgb="FF00B050"/>
  </sheetPr>
  <dimension ref="A1"/>
  <sheetViews>
    <sheetView workbookViewId="0">
      <selection activeCell="H47" sqref="H4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7351-5EE7-4D00-BF25-9A0E4025AB2B}">
  <sheetPr>
    <pageSetUpPr autoPageBreaks="0"/>
  </sheetPr>
  <dimension ref="B2:AD72"/>
  <sheetViews>
    <sheetView showGridLines="0" topLeftCell="A40" zoomScaleNormal="100" workbookViewId="0">
      <selection activeCell="H22" sqref="H22"/>
    </sheetView>
  </sheetViews>
  <sheetFormatPr defaultRowHeight="15" x14ac:dyDescent="0.25"/>
  <cols>
    <col min="1" max="2" width="2.7109375" customWidth="1"/>
    <col min="3" max="3" width="40.7109375" customWidth="1"/>
    <col min="4" max="15" width="11.5703125" customWidth="1"/>
    <col min="16" max="17" width="2.7109375" customWidth="1"/>
  </cols>
  <sheetData>
    <row r="2" spans="2:15" x14ac:dyDescent="0.25">
      <c r="B2" s="1" t="str">
        <f>Seller_Name&amp;" - Dividend Discount Model - "&amp;Scenario&amp;" Case"</f>
        <v>Rosbank Group - Dividend Discount Model - Base Case</v>
      </c>
    </row>
    <row r="3" spans="2:15" x14ac:dyDescent="0.25">
      <c r="B3" t="s">
        <v>575</v>
      </c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6" t="s">
        <v>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2:15" x14ac:dyDescent="0.25">
      <c r="C8" s="10" t="s">
        <v>449</v>
      </c>
      <c r="D8" s="12"/>
      <c r="F8" s="259"/>
      <c r="G8" s="259"/>
      <c r="H8" s="259"/>
      <c r="I8" s="351"/>
      <c r="J8" s="259"/>
      <c r="K8" s="351"/>
      <c r="L8" s="351"/>
      <c r="M8" s="351"/>
      <c r="N8" s="351"/>
      <c r="O8" s="351"/>
    </row>
    <row r="9" spans="2:15" x14ac:dyDescent="0.25">
      <c r="C9" t="s">
        <v>450</v>
      </c>
      <c r="D9" s="316">
        <v>0.15870000000000001</v>
      </c>
      <c r="E9" s="317"/>
      <c r="F9" s="352"/>
      <c r="G9" s="351"/>
      <c r="H9" s="353"/>
      <c r="I9" s="351"/>
      <c r="J9" s="352"/>
      <c r="K9" s="282"/>
      <c r="L9" s="282"/>
      <c r="M9" s="282"/>
      <c r="N9" s="282"/>
      <c r="O9" s="282"/>
    </row>
    <row r="10" spans="2:15" x14ac:dyDescent="0.25">
      <c r="C10" s="13"/>
      <c r="D10" s="13"/>
      <c r="F10" s="352"/>
      <c r="G10" s="351"/>
      <c r="H10" s="353"/>
      <c r="I10" s="351"/>
      <c r="J10" s="352"/>
      <c r="K10" s="282"/>
      <c r="L10" s="282"/>
      <c r="M10" s="282"/>
      <c r="N10" s="282"/>
      <c r="O10" s="282"/>
    </row>
    <row r="11" spans="2:15" x14ac:dyDescent="0.25">
      <c r="C11" s="13"/>
      <c r="D11" s="13"/>
      <c r="F11" s="352"/>
      <c r="G11" s="351"/>
      <c r="H11" s="353"/>
      <c r="I11" s="351"/>
      <c r="J11" s="352"/>
      <c r="K11" s="282"/>
      <c r="L11" s="282"/>
      <c r="M11" s="282"/>
      <c r="N11" s="282"/>
      <c r="O11" s="282"/>
    </row>
    <row r="12" spans="2:15" x14ac:dyDescent="0.25">
      <c r="C12" s="24" t="s">
        <v>451</v>
      </c>
      <c r="D12" s="110">
        <f ca="1">SUM(F71:O71)</f>
        <v>0</v>
      </c>
      <c r="F12" s="259"/>
      <c r="G12" s="351"/>
      <c r="H12" s="354"/>
      <c r="I12" s="351"/>
      <c r="J12" s="259"/>
      <c r="K12" s="355"/>
      <c r="L12" s="355"/>
      <c r="M12" s="355"/>
      <c r="N12" s="355"/>
      <c r="O12" s="355"/>
    </row>
    <row r="13" spans="2:15" x14ac:dyDescent="0.25">
      <c r="C13" s="24" t="s">
        <v>452</v>
      </c>
      <c r="D13" s="110">
        <f ca="1">D12/Seller_Share_Price</f>
        <v>0</v>
      </c>
      <c r="F13" s="351"/>
      <c r="G13" s="351"/>
      <c r="H13" s="351"/>
      <c r="I13" s="351"/>
      <c r="J13" s="351"/>
      <c r="K13" s="351"/>
      <c r="L13" s="351"/>
      <c r="M13" s="351"/>
      <c r="N13" s="351"/>
      <c r="O13" s="351"/>
    </row>
    <row r="14" spans="2:15" x14ac:dyDescent="0.25">
      <c r="C14" s="1" t="s">
        <v>453</v>
      </c>
      <c r="D14" s="318">
        <f ca="1">Seller!D17+D13</f>
        <v>1551.310878</v>
      </c>
      <c r="F14" s="259"/>
      <c r="G14" s="259"/>
      <c r="H14" s="259"/>
      <c r="I14" s="351"/>
      <c r="J14" s="259"/>
      <c r="K14" s="351"/>
      <c r="L14" s="351"/>
      <c r="M14" s="351"/>
      <c r="N14" s="351"/>
      <c r="O14" s="351"/>
    </row>
    <row r="15" spans="2:15" x14ac:dyDescent="0.25">
      <c r="F15" s="352"/>
      <c r="G15" s="351"/>
      <c r="H15" s="353"/>
      <c r="I15" s="351"/>
      <c r="J15" s="352"/>
      <c r="K15" s="282"/>
      <c r="L15" s="282"/>
      <c r="M15" s="282"/>
      <c r="N15" s="282"/>
      <c r="O15" s="282"/>
    </row>
    <row r="16" spans="2:15" x14ac:dyDescent="0.25">
      <c r="C16" s="187" t="s">
        <v>454</v>
      </c>
      <c r="D16" s="319">
        <v>1</v>
      </c>
      <c r="F16" s="351"/>
      <c r="G16" s="351"/>
      <c r="H16" s="351"/>
      <c r="I16" s="351"/>
      <c r="J16" s="352"/>
      <c r="K16" s="282"/>
      <c r="L16" s="282"/>
      <c r="M16" s="282"/>
      <c r="N16" s="282"/>
      <c r="O16" s="282"/>
    </row>
    <row r="17" spans="3:15" x14ac:dyDescent="0.25">
      <c r="C17" s="24" t="s">
        <v>455</v>
      </c>
      <c r="D17" s="48">
        <f ca="1">O63</f>
        <v>0.1006511975497837</v>
      </c>
      <c r="F17" s="351"/>
      <c r="G17" s="351"/>
      <c r="H17" s="351"/>
      <c r="I17" s="351"/>
      <c r="J17" s="352"/>
      <c r="K17" s="282"/>
      <c r="L17" s="282"/>
      <c r="M17" s="282"/>
      <c r="N17" s="282"/>
      <c r="O17" s="282"/>
    </row>
    <row r="18" spans="3:15" x14ac:dyDescent="0.25">
      <c r="C18" s="24" t="s">
        <v>456</v>
      </c>
      <c r="D18" s="320">
        <v>3.5000000000000003E-2</v>
      </c>
      <c r="F18" s="259"/>
      <c r="G18" s="351"/>
      <c r="H18" s="354"/>
      <c r="I18" s="351"/>
      <c r="J18" s="259"/>
      <c r="K18" s="355"/>
      <c r="L18" s="355"/>
      <c r="M18" s="355"/>
      <c r="N18" s="355"/>
      <c r="O18" s="355"/>
    </row>
    <row r="19" spans="3:15" x14ac:dyDescent="0.25">
      <c r="F19" s="351"/>
      <c r="G19" s="351"/>
      <c r="H19" s="351"/>
      <c r="I19" s="351"/>
      <c r="J19" s="351"/>
      <c r="K19" s="351"/>
      <c r="L19" s="351"/>
      <c r="M19" s="351"/>
      <c r="N19" s="351"/>
      <c r="O19" s="351"/>
    </row>
    <row r="20" spans="3:15" x14ac:dyDescent="0.25">
      <c r="C20" s="10" t="s">
        <v>457</v>
      </c>
      <c r="D20" s="12"/>
      <c r="F20" s="259"/>
      <c r="G20" s="259"/>
      <c r="H20" s="351"/>
      <c r="I20" s="259"/>
      <c r="J20" s="351"/>
      <c r="K20" s="356"/>
      <c r="L20" s="351"/>
      <c r="M20" s="351"/>
      <c r="N20" s="351"/>
      <c r="O20" s="351"/>
    </row>
    <row r="21" spans="3:15" x14ac:dyDescent="0.25">
      <c r="F21" s="351"/>
      <c r="G21" s="351"/>
      <c r="H21" s="351"/>
      <c r="I21" s="351"/>
      <c r="J21" s="351"/>
      <c r="K21" s="351"/>
      <c r="L21" s="351"/>
      <c r="M21" s="351"/>
      <c r="N21" s="351"/>
      <c r="O21" s="351"/>
    </row>
    <row r="22" spans="3:15" x14ac:dyDescent="0.25">
      <c r="C22" s="24" t="s">
        <v>458</v>
      </c>
      <c r="D22" s="321">
        <f ca="1">(D17-D18)/(O68-D18)</f>
        <v>0.5307291637007574</v>
      </c>
      <c r="F22" s="357"/>
      <c r="G22" s="351"/>
      <c r="H22" s="358"/>
      <c r="I22" s="359"/>
      <c r="J22" s="351"/>
      <c r="K22" s="351"/>
      <c r="L22" s="351"/>
      <c r="M22" s="351"/>
      <c r="N22" s="351"/>
      <c r="O22" s="351"/>
    </row>
    <row r="23" spans="3:15" x14ac:dyDescent="0.25">
      <c r="C23" s="24" t="s">
        <v>459</v>
      </c>
      <c r="D23" s="110">
        <f ca="1">+D22*O51</f>
        <v>72432.326691186929</v>
      </c>
      <c r="F23" s="357"/>
      <c r="G23" s="351"/>
      <c r="H23" s="356"/>
      <c r="I23" s="356"/>
      <c r="J23" s="351"/>
      <c r="K23" s="351"/>
      <c r="L23" s="351"/>
      <c r="M23" s="351"/>
      <c r="N23" s="351"/>
      <c r="O23" s="351"/>
    </row>
    <row r="24" spans="3:15" x14ac:dyDescent="0.25">
      <c r="C24" s="13"/>
      <c r="D24" s="110"/>
      <c r="F24" s="352"/>
      <c r="G24" s="351"/>
      <c r="H24" s="351"/>
      <c r="I24" s="356"/>
      <c r="J24" s="351"/>
      <c r="K24" s="351"/>
      <c r="L24" s="351"/>
      <c r="M24" s="351"/>
      <c r="N24" s="351"/>
      <c r="O24" s="351"/>
    </row>
    <row r="25" spans="3:15" x14ac:dyDescent="0.25">
      <c r="C25" s="13" t="s">
        <v>460</v>
      </c>
      <c r="D25" s="110">
        <f ca="1">+D23/((1+O68)^O65)</f>
        <v>16604.368622846647</v>
      </c>
      <c r="F25" s="352"/>
      <c r="G25" s="351"/>
      <c r="H25" s="356"/>
      <c r="I25" s="356"/>
      <c r="J25" s="351"/>
      <c r="K25" s="351"/>
      <c r="L25" s="351"/>
      <c r="M25" s="351"/>
      <c r="N25" s="351"/>
      <c r="O25" s="351"/>
    </row>
    <row r="26" spans="3:15" x14ac:dyDescent="0.25">
      <c r="C26" s="13" t="s">
        <v>461</v>
      </c>
      <c r="D26" s="322"/>
      <c r="F26" s="352"/>
      <c r="G26" s="351"/>
      <c r="H26" s="356"/>
      <c r="I26" s="360"/>
      <c r="J26" s="351"/>
      <c r="K26" s="351"/>
      <c r="L26" s="351"/>
      <c r="M26" s="351"/>
      <c r="N26" s="351"/>
      <c r="O26" s="351"/>
    </row>
    <row r="27" spans="3:15" x14ac:dyDescent="0.25">
      <c r="C27" s="13" t="s">
        <v>462</v>
      </c>
      <c r="D27" s="113">
        <f ca="1">SUM($F$66:$O$66)</f>
        <v>90678.838682366462</v>
      </c>
      <c r="F27" s="352"/>
      <c r="G27" s="351"/>
      <c r="H27" s="356"/>
      <c r="I27" s="356"/>
      <c r="J27" s="351"/>
      <c r="K27" s="351"/>
      <c r="L27" s="351"/>
      <c r="M27" s="351"/>
      <c r="N27" s="351"/>
      <c r="O27" s="351"/>
    </row>
    <row r="28" spans="3:15" x14ac:dyDescent="0.25">
      <c r="C28" s="83" t="s">
        <v>463</v>
      </c>
      <c r="D28" s="318">
        <f ca="1">SUM(D25:D27)</f>
        <v>107283.20730521312</v>
      </c>
      <c r="F28" s="259"/>
      <c r="G28" s="351"/>
      <c r="H28" s="356"/>
      <c r="I28" s="361"/>
      <c r="J28" s="351"/>
      <c r="K28" s="351"/>
      <c r="L28" s="351"/>
      <c r="M28" s="351"/>
      <c r="N28" s="351"/>
      <c r="O28" s="351"/>
    </row>
    <row r="29" spans="3:15" x14ac:dyDescent="0.25">
      <c r="F29" s="351"/>
      <c r="G29" s="351"/>
      <c r="H29" s="351"/>
      <c r="I29" s="351"/>
      <c r="J29" s="351"/>
      <c r="K29" s="351"/>
      <c r="L29" s="351"/>
      <c r="M29" s="351"/>
      <c r="N29" s="351"/>
      <c r="O29" s="351"/>
    </row>
    <row r="30" spans="3:15" x14ac:dyDescent="0.25">
      <c r="C30" s="323" t="s">
        <v>464</v>
      </c>
      <c r="D30" s="324">
        <f ca="1">(D25)/D28</f>
        <v>0.15477136673970229</v>
      </c>
      <c r="F30" s="362"/>
      <c r="G30" s="351"/>
      <c r="H30" s="351"/>
      <c r="I30" s="363"/>
      <c r="J30" s="351"/>
      <c r="K30" s="351"/>
      <c r="L30" s="351"/>
      <c r="M30" s="351"/>
      <c r="N30" s="351"/>
      <c r="O30" s="351"/>
    </row>
    <row r="31" spans="3:15" x14ac:dyDescent="0.25">
      <c r="F31" s="351"/>
      <c r="G31" s="351"/>
      <c r="H31" s="351"/>
      <c r="I31" s="351"/>
      <c r="J31" s="351"/>
      <c r="K31" s="351"/>
      <c r="L31" s="351"/>
      <c r="M31" s="351"/>
      <c r="N31" s="351"/>
      <c r="O31" s="351"/>
    </row>
    <row r="32" spans="3:15" x14ac:dyDescent="0.25">
      <c r="C32" t="s">
        <v>465</v>
      </c>
      <c r="D32" s="110">
        <f ca="1">+D28/D14</f>
        <v>69.156484897163935</v>
      </c>
      <c r="F32" s="351"/>
      <c r="G32" s="351"/>
      <c r="H32" s="356"/>
      <c r="I32" s="364"/>
      <c r="J32" s="351"/>
      <c r="K32" s="351"/>
      <c r="L32" s="351"/>
      <c r="M32" s="351"/>
      <c r="N32" s="351"/>
      <c r="O32" s="351"/>
    </row>
    <row r="33" spans="2:30" x14ac:dyDescent="0.25">
      <c r="C33" t="s">
        <v>466</v>
      </c>
      <c r="D33" s="325">
        <f>Seller_Share_Price</f>
        <v>69.650000000000006</v>
      </c>
      <c r="I33" s="326"/>
    </row>
    <row r="34" spans="2:30" x14ac:dyDescent="0.25">
      <c r="K34" s="51"/>
    </row>
    <row r="35" spans="2:30" x14ac:dyDescent="0.25">
      <c r="C35" s="327" t="s">
        <v>467</v>
      </c>
      <c r="D35" s="328">
        <f ca="1">D32/D33-1</f>
        <v>-7.0856439746743716E-3</v>
      </c>
      <c r="F35" s="1"/>
      <c r="G35" s="1"/>
      <c r="H35" s="1"/>
      <c r="I35" s="329"/>
      <c r="K35" s="51"/>
      <c r="AD35" s="187"/>
    </row>
    <row r="36" spans="2:30" x14ac:dyDescent="0.25">
      <c r="AD36" s="187"/>
    </row>
    <row r="37" spans="2:30" x14ac:dyDescent="0.25">
      <c r="B37" s="330"/>
      <c r="C37" s="330"/>
      <c r="D37" s="3"/>
      <c r="E37" s="4" t="s">
        <v>55</v>
      </c>
      <c r="F37" s="5" t="s">
        <v>0</v>
      </c>
      <c r="G37" s="4"/>
      <c r="H37" s="4"/>
      <c r="I37" s="4"/>
      <c r="J37" s="4"/>
      <c r="K37" s="4"/>
      <c r="L37" s="4"/>
      <c r="M37" s="4"/>
      <c r="N37" s="4"/>
      <c r="O37" s="4"/>
      <c r="AD37" s="187"/>
    </row>
    <row r="38" spans="2:30" x14ac:dyDescent="0.25">
      <c r="B38" s="6" t="s">
        <v>468</v>
      </c>
      <c r="C38" s="6"/>
      <c r="D38" s="7" t="s">
        <v>1</v>
      </c>
      <c r="E38" s="9">
        <v>44196</v>
      </c>
      <c r="F38" s="8">
        <v>44561</v>
      </c>
      <c r="G38" s="8">
        <v>44926</v>
      </c>
      <c r="H38" s="8">
        <v>45291</v>
      </c>
      <c r="I38" s="8">
        <v>45657</v>
      </c>
      <c r="J38" s="8">
        <v>46022</v>
      </c>
      <c r="K38" s="8">
        <f>EOMONTH(J38,12)</f>
        <v>46387</v>
      </c>
      <c r="L38" s="8">
        <f>EOMONTH(K38,12)</f>
        <v>46752</v>
      </c>
      <c r="M38" s="8">
        <f>EOMONTH(L38,12)</f>
        <v>47118</v>
      </c>
      <c r="N38" s="8">
        <f>EOMONTH(M38,12)</f>
        <v>47483</v>
      </c>
      <c r="O38" s="8">
        <f>EOMONTH(N38,12)</f>
        <v>47848</v>
      </c>
      <c r="AD38" s="187"/>
    </row>
    <row r="39" spans="2:30" x14ac:dyDescent="0.25">
      <c r="B39" s="331" t="s">
        <v>469</v>
      </c>
      <c r="C39" s="331"/>
      <c r="D39" s="332"/>
      <c r="E39" s="333"/>
      <c r="F39" s="334" t="s">
        <v>470</v>
      </c>
      <c r="G39" s="334"/>
      <c r="H39" s="334"/>
      <c r="I39" s="334"/>
      <c r="J39" s="335"/>
      <c r="K39" s="334" t="s">
        <v>471</v>
      </c>
      <c r="L39" s="336"/>
      <c r="M39" s="336"/>
      <c r="N39" s="334"/>
      <c r="O39" s="337"/>
      <c r="AD39" s="187"/>
    </row>
    <row r="40" spans="2:30" ht="14.65" customHeight="1" x14ac:dyDescent="0.25">
      <c r="C40" s="1" t="s">
        <v>5</v>
      </c>
      <c r="D40" s="14" t="s">
        <v>3</v>
      </c>
      <c r="E40" s="322">
        <f>Seller!G194</f>
        <v>15529</v>
      </c>
      <c r="F40" s="322">
        <f ca="1">Seller!H194</f>
        <v>9056.1335373198417</v>
      </c>
      <c r="G40" s="322">
        <f ca="1">Seller!I194</f>
        <v>8705.8320316302961</v>
      </c>
      <c r="H40" s="322">
        <f ca="1">Seller!J194</f>
        <v>9370.9468777471811</v>
      </c>
      <c r="I40" s="322">
        <f ca="1">Seller!K194</f>
        <v>9867.2703439221987</v>
      </c>
      <c r="J40" s="322">
        <f ca="1">Seller!L194</f>
        <v>10319.060138500843</v>
      </c>
      <c r="K40" s="110">
        <f ca="1">K63*(K47-J52)</f>
        <v>10984.364974163373</v>
      </c>
      <c r="L40" s="110">
        <f t="shared" ref="L40:O40" ca="1" si="0">L63*(L47-K52)</f>
        <v>9724.4889639468711</v>
      </c>
      <c r="M40" s="110">
        <f t="shared" ca="1" si="0"/>
        <v>10146.929409600205</v>
      </c>
      <c r="N40" s="110">
        <f t="shared" ca="1" si="0"/>
        <v>10584.297009319716</v>
      </c>
      <c r="O40" s="110">
        <f t="shared" ca="1" si="0"/>
        <v>11037.119221901101</v>
      </c>
      <c r="AD40" s="187"/>
    </row>
    <row r="41" spans="2:30" x14ac:dyDescent="0.25">
      <c r="C41" s="138" t="s">
        <v>294</v>
      </c>
      <c r="D41" s="14" t="s">
        <v>11</v>
      </c>
      <c r="E41" s="338" t="str">
        <f t="shared" ref="E41:O41" si="1">IFERROR(+E40/D40-1,"N/A")</f>
        <v>N/A</v>
      </c>
      <c r="F41" s="338">
        <f t="shared" ca="1" si="1"/>
        <v>-0.4168244228656165</v>
      </c>
      <c r="G41" s="338">
        <f t="shared" ca="1" si="1"/>
        <v>-3.8681132985282529E-2</v>
      </c>
      <c r="H41" s="338">
        <f t="shared" ca="1" si="1"/>
        <v>7.6398768515216986E-2</v>
      </c>
      <c r="I41" s="338">
        <f t="shared" ca="1" si="1"/>
        <v>5.2964067841811957E-2</v>
      </c>
      <c r="J41" s="338">
        <f t="shared" ca="1" si="1"/>
        <v>4.5786704816183299E-2</v>
      </c>
      <c r="K41" s="338">
        <f t="shared" ca="1" si="1"/>
        <v>6.4473394546878282E-2</v>
      </c>
      <c r="L41" s="338">
        <f t="shared" ca="1" si="1"/>
        <v>-0.11469720945907125</v>
      </c>
      <c r="M41" s="338">
        <f t="shared" ca="1" si="1"/>
        <v>4.3440888998847571E-2</v>
      </c>
      <c r="N41" s="338">
        <f t="shared" ca="1" si="1"/>
        <v>4.3103443619673776E-2</v>
      </c>
      <c r="O41" s="338">
        <f t="shared" ca="1" si="1"/>
        <v>4.2782455195906177E-2</v>
      </c>
      <c r="AD41" s="187"/>
    </row>
    <row r="42" spans="2:30" x14ac:dyDescent="0.25">
      <c r="C42" s="1" t="s">
        <v>472</v>
      </c>
      <c r="D42" s="14" t="s">
        <v>3</v>
      </c>
      <c r="E42" s="339">
        <f>Seller!G251-Seller!G253</f>
        <v>0</v>
      </c>
      <c r="F42" s="339">
        <f ca="1">Seller!H251-Seller!H253</f>
        <v>84897.673509944943</v>
      </c>
      <c r="G42" s="339">
        <f ca="1">Seller!I251-Seller!I253</f>
        <v>3165.0323877970077</v>
      </c>
      <c r="H42" s="339">
        <f ca="1">Seller!J251-Seller!J253</f>
        <v>3495.0947084651707</v>
      </c>
      <c r="I42" s="339">
        <f ca="1">Seller!K251-Seller!K253</f>
        <v>3635.4078959360486</v>
      </c>
      <c r="J42" s="339">
        <f ca="1">Seller!L251-Seller!L253</f>
        <v>3709.055967080174</v>
      </c>
      <c r="K42" s="340">
        <f ca="1">MAX(K44*K40,-K59*K54+K49+K48+K47)</f>
        <v>23501.613063470286</v>
      </c>
      <c r="L42" s="340">
        <f t="shared" ref="L42:O42" ca="1" si="2">MIN(L44*L40,-L59*L54+L49+L48+L47)</f>
        <v>5527.4157453759108</v>
      </c>
      <c r="M42" s="340">
        <f t="shared" ca="1" si="2"/>
        <v>5801.5504139527766</v>
      </c>
      <c r="N42" s="340">
        <f t="shared" ca="1" si="2"/>
        <v>6085.3717744035675</v>
      </c>
      <c r="O42" s="340">
        <f t="shared" ca="1" si="2"/>
        <v>6379.2221110556711</v>
      </c>
      <c r="AD42" s="187"/>
    </row>
    <row r="43" spans="2:30" x14ac:dyDescent="0.25">
      <c r="C43" s="138" t="s">
        <v>294</v>
      </c>
      <c r="D43" s="14" t="s">
        <v>11</v>
      </c>
      <c r="E43" s="338" t="str">
        <f t="shared" ref="E43:O43" si="3">IFERROR(+E42/D42-1,"N/A")</f>
        <v>N/A</v>
      </c>
      <c r="F43" s="338" t="str">
        <f t="shared" ca="1" si="3"/>
        <v>N/A</v>
      </c>
      <c r="G43" s="338">
        <f t="shared" ca="1" si="3"/>
        <v>-0.962719444986602</v>
      </c>
      <c r="H43" s="338">
        <f t="shared" ca="1" si="3"/>
        <v>0.1042840262680218</v>
      </c>
      <c r="I43" s="338">
        <f t="shared" ca="1" si="3"/>
        <v>4.0145746875195565E-2</v>
      </c>
      <c r="J43" s="338">
        <f t="shared" ca="1" si="3"/>
        <v>2.0258544089772013E-2</v>
      </c>
      <c r="K43" s="338">
        <f t="shared" ca="1" si="3"/>
        <v>5.3362789000919602</v>
      </c>
      <c r="L43" s="338">
        <f t="shared" ca="1" si="3"/>
        <v>-0.76480696323064545</v>
      </c>
      <c r="M43" s="338">
        <f t="shared" ca="1" si="3"/>
        <v>4.9595449520184909E-2</v>
      </c>
      <c r="N43" s="338">
        <f t="shared" ca="1" si="3"/>
        <v>4.8921639940971318E-2</v>
      </c>
      <c r="O43" s="338">
        <f t="shared" ca="1" si="3"/>
        <v>4.8287984291790265E-2</v>
      </c>
      <c r="AD43" s="187"/>
    </row>
    <row r="44" spans="2:30" x14ac:dyDescent="0.25">
      <c r="C44" s="138" t="s">
        <v>473</v>
      </c>
      <c r="D44" s="14" t="s">
        <v>11</v>
      </c>
      <c r="E44" s="338"/>
      <c r="F44" s="338"/>
      <c r="G44" s="338"/>
      <c r="H44" s="338"/>
      <c r="I44" s="338"/>
      <c r="J44" s="338"/>
      <c r="K44" s="159">
        <v>0.8</v>
      </c>
      <c r="L44" s="159">
        <v>0.8</v>
      </c>
      <c r="M44" s="159">
        <v>0.8</v>
      </c>
      <c r="N44" s="159">
        <v>0.8</v>
      </c>
      <c r="O44" s="159">
        <v>0.8</v>
      </c>
      <c r="AD44" s="187"/>
    </row>
    <row r="45" spans="2:30" x14ac:dyDescent="0.25">
      <c r="C45" s="138" t="s">
        <v>474</v>
      </c>
      <c r="D45" s="14" t="s">
        <v>11</v>
      </c>
      <c r="E45" s="338">
        <f t="shared" ref="E45:O45" si="4">IFERROR(+E42/E40,"N/A")</f>
        <v>0</v>
      </c>
      <c r="F45" s="338">
        <f t="shared" ca="1" si="4"/>
        <v>9.3746048642156357</v>
      </c>
      <c r="G45" s="338">
        <f t="shared" ca="1" si="4"/>
        <v>0.36355311890899283</v>
      </c>
      <c r="H45" s="338">
        <f t="shared" ca="1" si="4"/>
        <v>0.37297135007400745</v>
      </c>
      <c r="I45" s="338">
        <f t="shared" ca="1" si="4"/>
        <v>0.36843096106871126</v>
      </c>
      <c r="J45" s="338">
        <f t="shared" ca="1" si="4"/>
        <v>0.35943738260052693</v>
      </c>
      <c r="K45" s="338">
        <f t="shared" ca="1" si="4"/>
        <v>2.1395513640296073</v>
      </c>
      <c r="L45" s="338">
        <f t="shared" ca="1" si="4"/>
        <v>0.56840166777591805</v>
      </c>
      <c r="M45" s="338">
        <f t="shared" ca="1" si="4"/>
        <v>0.57175428937781103</v>
      </c>
      <c r="N45" s="338">
        <f t="shared" ca="1" si="4"/>
        <v>0.5749434061653087</v>
      </c>
      <c r="O45" s="338">
        <f t="shared" ca="1" si="4"/>
        <v>0.57797890761180659</v>
      </c>
      <c r="AD45" s="187"/>
    </row>
    <row r="46" spans="2:30" x14ac:dyDescent="0.25">
      <c r="E46" s="26"/>
      <c r="F46" s="341"/>
      <c r="G46" s="341"/>
      <c r="H46" s="341"/>
      <c r="I46" s="341"/>
      <c r="J46" s="341"/>
      <c r="K46" s="342"/>
      <c r="L46" s="341"/>
      <c r="M46" s="341"/>
      <c r="N46" s="341"/>
      <c r="O46" s="341"/>
      <c r="AD46" s="187"/>
    </row>
    <row r="47" spans="2:30" x14ac:dyDescent="0.25">
      <c r="C47" t="s">
        <v>475</v>
      </c>
      <c r="D47" s="14" t="s">
        <v>3</v>
      </c>
      <c r="E47" s="322"/>
      <c r="F47" s="110">
        <f>E51</f>
        <v>182878</v>
      </c>
      <c r="G47" s="110">
        <f t="shared" ref="G47:O47" ca="1" si="5">F51</f>
        <v>107036.46002737489</v>
      </c>
      <c r="H47" s="110">
        <f t="shared" ca="1" si="5"/>
        <v>112577.25967120819</v>
      </c>
      <c r="I47" s="110">
        <f t="shared" ca="1" si="5"/>
        <v>118453.11184049015</v>
      </c>
      <c r="J47" s="110">
        <f t="shared" ca="1" si="5"/>
        <v>124684.97428847624</v>
      </c>
      <c r="K47" s="110">
        <f t="shared" ca="1" si="5"/>
        <v>131294.97845989669</v>
      </c>
      <c r="L47" s="110">
        <f t="shared" ca="1" si="5"/>
        <v>118777.73037059022</v>
      </c>
      <c r="M47" s="110">
        <f t="shared" ca="1" si="5"/>
        <v>122974.80358916039</v>
      </c>
      <c r="N47" s="110">
        <f t="shared" ca="1" si="5"/>
        <v>127320.18258480915</v>
      </c>
      <c r="O47" s="110">
        <f t="shared" ca="1" si="5"/>
        <v>131819.10781972273</v>
      </c>
      <c r="AD47" s="187"/>
    </row>
    <row r="48" spans="2:30" x14ac:dyDescent="0.25">
      <c r="C48" s="13" t="s">
        <v>476</v>
      </c>
      <c r="D48" s="14" t="s">
        <v>3</v>
      </c>
      <c r="E48" s="322"/>
      <c r="F48" s="110">
        <f ca="1">F40</f>
        <v>9056.1335373198417</v>
      </c>
      <c r="G48" s="110">
        <f t="shared" ref="G48:J48" ca="1" si="6">G40</f>
        <v>8705.8320316302961</v>
      </c>
      <c r="H48" s="110">
        <f t="shared" ca="1" si="6"/>
        <v>9370.9468777471811</v>
      </c>
      <c r="I48" s="110">
        <f t="shared" ca="1" si="6"/>
        <v>9867.2703439221987</v>
      </c>
      <c r="J48" s="110">
        <f t="shared" ca="1" si="6"/>
        <v>10319.060138500843</v>
      </c>
      <c r="K48" s="110">
        <f t="shared" ref="K48:O48" ca="1" si="7">K40</f>
        <v>10984.364974163373</v>
      </c>
      <c r="L48" s="110">
        <f t="shared" ca="1" si="7"/>
        <v>9724.4889639468711</v>
      </c>
      <c r="M48" s="110">
        <f t="shared" ca="1" si="7"/>
        <v>10146.929409600205</v>
      </c>
      <c r="N48" s="110">
        <f t="shared" ca="1" si="7"/>
        <v>10584.297009319716</v>
      </c>
      <c r="O48" s="110">
        <f t="shared" ca="1" si="7"/>
        <v>11037.119221901101</v>
      </c>
      <c r="AD48" s="187"/>
    </row>
    <row r="49" spans="3:30" x14ac:dyDescent="0.25">
      <c r="C49" s="13" t="s">
        <v>477</v>
      </c>
      <c r="D49" s="14" t="s">
        <v>3</v>
      </c>
      <c r="E49" s="322"/>
      <c r="F49" s="322">
        <f ca="1">Seller!H252</f>
        <v>0</v>
      </c>
      <c r="G49" s="322">
        <f ca="1">Seller!I252</f>
        <v>0</v>
      </c>
      <c r="H49" s="322">
        <f ca="1">Seller!J252</f>
        <v>0</v>
      </c>
      <c r="I49" s="322">
        <f ca="1">Seller!K252</f>
        <v>0</v>
      </c>
      <c r="J49" s="322">
        <f ca="1">Seller!L252</f>
        <v>0</v>
      </c>
      <c r="K49" s="343">
        <v>0</v>
      </c>
      <c r="L49" s="344">
        <f>+K49</f>
        <v>0</v>
      </c>
      <c r="M49" s="344">
        <f t="shared" ref="M49:O49" si="8">+L49</f>
        <v>0</v>
      </c>
      <c r="N49" s="344">
        <f t="shared" si="8"/>
        <v>0</v>
      </c>
      <c r="O49" s="344">
        <f t="shared" si="8"/>
        <v>0</v>
      </c>
      <c r="AD49" s="187"/>
    </row>
    <row r="50" spans="3:30" x14ac:dyDescent="0.25">
      <c r="C50" s="60" t="s">
        <v>478</v>
      </c>
      <c r="D50" s="16" t="s">
        <v>3</v>
      </c>
      <c r="E50" s="322"/>
      <c r="F50" s="110">
        <f t="shared" ref="F50:O50" ca="1" si="9">-F42</f>
        <v>-84897.673509944943</v>
      </c>
      <c r="G50" s="110">
        <f t="shared" ref="G50:J50" ca="1" si="10">-G42</f>
        <v>-3165.0323877970077</v>
      </c>
      <c r="H50" s="110">
        <f t="shared" ca="1" si="10"/>
        <v>-3495.0947084651707</v>
      </c>
      <c r="I50" s="110">
        <f t="shared" ca="1" si="10"/>
        <v>-3635.4078959360486</v>
      </c>
      <c r="J50" s="110">
        <f t="shared" ca="1" si="10"/>
        <v>-3709.055967080174</v>
      </c>
      <c r="K50" s="110">
        <f t="shared" ca="1" si="9"/>
        <v>-23501.613063470286</v>
      </c>
      <c r="L50" s="110">
        <f t="shared" ca="1" si="9"/>
        <v>-5527.4157453759108</v>
      </c>
      <c r="M50" s="110">
        <f t="shared" ca="1" si="9"/>
        <v>-5801.5504139527766</v>
      </c>
      <c r="N50" s="110">
        <f t="shared" ca="1" si="9"/>
        <v>-6085.3717744035675</v>
      </c>
      <c r="O50" s="110">
        <f t="shared" ca="1" si="9"/>
        <v>-6379.2221110556711</v>
      </c>
      <c r="AD50" s="187"/>
    </row>
    <row r="51" spans="3:30" x14ac:dyDescent="0.25">
      <c r="C51" s="1" t="s">
        <v>479</v>
      </c>
      <c r="D51" s="14" t="s">
        <v>3</v>
      </c>
      <c r="E51" s="350">
        <f>Seller!G227</f>
        <v>182878</v>
      </c>
      <c r="F51" s="345">
        <f ca="1">SUM(F47:F50)</f>
        <v>107036.46002737489</v>
      </c>
      <c r="G51" s="345">
        <f t="shared" ref="G51:O51" ca="1" si="11">SUM(G47:G50)</f>
        <v>112577.25967120819</v>
      </c>
      <c r="H51" s="345">
        <f t="shared" ca="1" si="11"/>
        <v>118453.11184049019</v>
      </c>
      <c r="I51" s="345">
        <f t="shared" ca="1" si="11"/>
        <v>124684.9742884763</v>
      </c>
      <c r="J51" s="345">
        <f t="shared" ca="1" si="11"/>
        <v>131294.9784598969</v>
      </c>
      <c r="K51" s="345">
        <f t="shared" ca="1" si="11"/>
        <v>118777.73037058979</v>
      </c>
      <c r="L51" s="345">
        <f t="shared" ca="1" si="11"/>
        <v>122974.80358916118</v>
      </c>
      <c r="M51" s="345">
        <f t="shared" ca="1" si="11"/>
        <v>127320.18258480782</v>
      </c>
      <c r="N51" s="345">
        <f t="shared" ca="1" si="11"/>
        <v>131819.10781972529</v>
      </c>
      <c r="O51" s="345">
        <f t="shared" ca="1" si="11"/>
        <v>136477.00493056816</v>
      </c>
      <c r="AD51" s="187"/>
    </row>
    <row r="52" spans="3:30" x14ac:dyDescent="0.25">
      <c r="C52" s="387" t="s">
        <v>580</v>
      </c>
      <c r="D52" s="14"/>
      <c r="E52" s="386">
        <f>Seller!G58</f>
        <v>22162</v>
      </c>
      <c r="F52" s="386">
        <f>Seller!H58</f>
        <v>22162</v>
      </c>
      <c r="G52" s="386">
        <f>Seller!I58</f>
        <v>22162</v>
      </c>
      <c r="H52" s="386">
        <f>Seller!J58</f>
        <v>22162</v>
      </c>
      <c r="I52" s="386">
        <f>Seller!K58</f>
        <v>22162</v>
      </c>
      <c r="J52" s="386">
        <f>Seller!L58</f>
        <v>22162</v>
      </c>
      <c r="K52" s="388">
        <f>J52</f>
        <v>22162</v>
      </c>
      <c r="L52" s="388">
        <f t="shared" ref="L52:O52" si="12">K52</f>
        <v>22162</v>
      </c>
      <c r="M52" s="388">
        <f t="shared" si="12"/>
        <v>22162</v>
      </c>
      <c r="N52" s="388">
        <f t="shared" si="12"/>
        <v>22162</v>
      </c>
      <c r="O52" s="388">
        <f t="shared" si="12"/>
        <v>22162</v>
      </c>
      <c r="AD52" s="187"/>
    </row>
    <row r="53" spans="3:30" x14ac:dyDescent="0.25">
      <c r="C53" s="1"/>
      <c r="E53" s="26"/>
      <c r="F53" s="318"/>
      <c r="G53" s="318"/>
      <c r="H53" s="318"/>
      <c r="I53" s="318"/>
      <c r="J53" s="318"/>
      <c r="K53" s="341"/>
      <c r="L53" s="341"/>
      <c r="M53" s="341"/>
      <c r="N53" s="341"/>
      <c r="O53" s="341"/>
      <c r="AD53" s="187"/>
    </row>
    <row r="54" spans="3:30" x14ac:dyDescent="0.25">
      <c r="C54" t="s">
        <v>480</v>
      </c>
      <c r="D54" s="14" t="s">
        <v>11</v>
      </c>
      <c r="F54" s="26">
        <f>Seller_CET_1</f>
        <v>0.105</v>
      </c>
      <c r="G54" s="26">
        <f>Seller_CET_1</f>
        <v>0.105</v>
      </c>
      <c r="H54" s="26">
        <f>Seller_CET_1</f>
        <v>0.105</v>
      </c>
      <c r="I54" s="26">
        <f>Seller_CET_1</f>
        <v>0.105</v>
      </c>
      <c r="J54" s="26">
        <f>Seller_CET_1</f>
        <v>0.105</v>
      </c>
      <c r="K54" s="161">
        <f>+J54</f>
        <v>0.105</v>
      </c>
      <c r="L54" s="161">
        <f t="shared" ref="L54:O54" si="13">+K54</f>
        <v>0.105</v>
      </c>
      <c r="M54" s="161">
        <f t="shared" si="13"/>
        <v>0.105</v>
      </c>
      <c r="N54" s="161">
        <f t="shared" si="13"/>
        <v>0.105</v>
      </c>
      <c r="O54" s="161">
        <f t="shared" si="13"/>
        <v>0.105</v>
      </c>
      <c r="AD54" s="187"/>
    </row>
    <row r="55" spans="3:30" x14ac:dyDescent="0.25">
      <c r="C55" t="s">
        <v>487</v>
      </c>
      <c r="D55" s="14" t="s">
        <v>11</v>
      </c>
      <c r="E55" s="26">
        <f>Seller!G243</f>
        <v>0.19809142114384748</v>
      </c>
      <c r="F55" s="26">
        <f ca="1">Seller!H243</f>
        <v>0.10500009660125646</v>
      </c>
      <c r="G55" s="26">
        <f ca="1">Seller!I243</f>
        <v>0.10500011420981029</v>
      </c>
      <c r="H55" s="26">
        <f ca="1">Seller!J243</f>
        <v>0.10500009263918419</v>
      </c>
      <c r="I55" s="26">
        <f ca="1">Seller!K243</f>
        <v>0.10500008469777911</v>
      </c>
      <c r="J55" s="26">
        <f ca="1">Seller!L243</f>
        <v>0.10500008173219953</v>
      </c>
      <c r="K55" s="341">
        <f t="shared" ref="K55:O55" ca="1" si="14">+K51/K59</f>
        <v>0.10499999999999982</v>
      </c>
      <c r="L55" s="341">
        <f t="shared" ca="1" si="14"/>
        <v>0.10500000000000032</v>
      </c>
      <c r="M55" s="341">
        <f t="shared" ca="1" si="14"/>
        <v>0.10499999999999939</v>
      </c>
      <c r="N55" s="341">
        <f t="shared" ca="1" si="14"/>
        <v>0.10500000000000093</v>
      </c>
      <c r="O55" s="341">
        <f t="shared" ca="1" si="14"/>
        <v>0.10499999999999821</v>
      </c>
      <c r="AD55" s="187"/>
    </row>
    <row r="56" spans="3:30" x14ac:dyDescent="0.25">
      <c r="AD56" s="187"/>
    </row>
    <row r="57" spans="3:30" x14ac:dyDescent="0.25">
      <c r="C57" t="s">
        <v>7</v>
      </c>
      <c r="D57" s="14" t="s">
        <v>3</v>
      </c>
      <c r="E57" s="322">
        <f>Seller!G41</f>
        <v>1306664</v>
      </c>
      <c r="F57" s="322">
        <f ca="1">Seller!H41</f>
        <v>1330331.9353776928</v>
      </c>
      <c r="G57" s="322">
        <f ca="1">Seller!I41</f>
        <v>1374755.1716201473</v>
      </c>
      <c r="H57" s="322">
        <f ca="1">Seller!J41</f>
        <v>1421571.0061431313</v>
      </c>
      <c r="I57" s="322">
        <f ca="1">Seller!K41</f>
        <v>1470902.039207536</v>
      </c>
      <c r="J57" s="322">
        <f ca="1">Seller!L41</f>
        <v>1522877.1319849251</v>
      </c>
      <c r="K57" s="110">
        <f ca="1">+J57*(1+K58)</f>
        <v>1576688.7918464639</v>
      </c>
      <c r="L57" s="110">
        <f t="shared" ref="L57:O57" ca="1" si="15">+K57*(1+L58)</f>
        <v>1632401.9148505216</v>
      </c>
      <c r="M57" s="110">
        <f t="shared" ca="1" si="15"/>
        <v>1690083.6901916268</v>
      </c>
      <c r="N57" s="110">
        <f t="shared" ca="1" si="15"/>
        <v>1749803.6812296342</v>
      </c>
      <c r="O57" s="110">
        <f t="shared" ca="1" si="15"/>
        <v>1811633.9093820981</v>
      </c>
      <c r="AD57" s="187"/>
    </row>
    <row r="58" spans="3:30" x14ac:dyDescent="0.25">
      <c r="C58" s="138" t="s">
        <v>294</v>
      </c>
      <c r="D58" s="14" t="s">
        <v>11</v>
      </c>
      <c r="E58" s="338" t="str">
        <f t="shared" ref="E58:J58" si="16">IFERROR(+E57/D57-1,"N/A")</f>
        <v>N/A</v>
      </c>
      <c r="F58" s="338">
        <f t="shared" ca="1" si="16"/>
        <v>1.8113252816097214E-2</v>
      </c>
      <c r="G58" s="338">
        <f t="shared" ca="1" si="16"/>
        <v>3.339259553281515E-2</v>
      </c>
      <c r="H58" s="338">
        <f t="shared" ca="1" si="16"/>
        <v>3.4053943196163061E-2</v>
      </c>
      <c r="I58" s="338">
        <f t="shared" ca="1" si="16"/>
        <v>3.4701772089629879E-2</v>
      </c>
      <c r="J58" s="338">
        <f t="shared" ca="1" si="16"/>
        <v>3.5335522959361265E-2</v>
      </c>
      <c r="K58" s="159">
        <f ca="1">J58</f>
        <v>3.5335522959361265E-2</v>
      </c>
      <c r="L58" s="159">
        <f t="shared" ref="L58:O58" ca="1" si="17">K58</f>
        <v>3.5335522959361265E-2</v>
      </c>
      <c r="M58" s="159">
        <f t="shared" ca="1" si="17"/>
        <v>3.5335522959361265E-2</v>
      </c>
      <c r="N58" s="159">
        <f t="shared" ca="1" si="17"/>
        <v>3.5335522959361265E-2</v>
      </c>
      <c r="O58" s="159">
        <f t="shared" ca="1" si="17"/>
        <v>3.5335522959361265E-2</v>
      </c>
      <c r="AD58" s="187"/>
    </row>
    <row r="59" spans="3:30" x14ac:dyDescent="0.25">
      <c r="C59" t="s">
        <v>9</v>
      </c>
      <c r="D59" s="14" t="s">
        <v>3</v>
      </c>
      <c r="E59" s="322">
        <f>Seller!G240</f>
        <v>923200</v>
      </c>
      <c r="F59" s="322">
        <f ca="1">Seller!H240</f>
        <v>950311.687621105</v>
      </c>
      <c r="G59" s="322">
        <f ca="1">Seller!I240</f>
        <v>983289.46329640539</v>
      </c>
      <c r="H59" s="322">
        <f ca="1">Seller!J240</f>
        <v>1017941.8551005259</v>
      </c>
      <c r="I59" s="322">
        <f ca="1">Seller!K240</f>
        <v>1054352.3561348245</v>
      </c>
      <c r="J59" s="322">
        <f ca="1">Seller!L240</f>
        <v>1092608.5840138877</v>
      </c>
      <c r="K59" s="110">
        <f t="shared" ref="K59:O59" ca="1" si="18">+K57*K60</f>
        <v>1131216.4797199047</v>
      </c>
      <c r="L59" s="110">
        <f t="shared" ca="1" si="18"/>
        <v>1171188.6056110549</v>
      </c>
      <c r="M59" s="110">
        <f t="shared" ca="1" si="18"/>
        <v>1212573.167474366</v>
      </c>
      <c r="N59" s="110">
        <f t="shared" ca="1" si="18"/>
        <v>1255420.0744735613</v>
      </c>
      <c r="O59" s="110">
        <f t="shared" ca="1" si="18"/>
        <v>1299780.9993387645</v>
      </c>
      <c r="AD59" s="187"/>
    </row>
    <row r="60" spans="3:30" x14ac:dyDescent="0.25">
      <c r="C60" s="138" t="s">
        <v>481</v>
      </c>
      <c r="D60" s="14" t="s">
        <v>11</v>
      </c>
      <c r="E60" s="139">
        <f t="shared" ref="E60:J60" si="19">+E59/E57</f>
        <v>0.70653205414704923</v>
      </c>
      <c r="F60" s="139">
        <f t="shared" ca="1" si="19"/>
        <v>0.71434178369273171</v>
      </c>
      <c r="G60" s="139">
        <f t="shared" ca="1" si="19"/>
        <v>0.71524696440137769</v>
      </c>
      <c r="H60" s="139">
        <f t="shared" ca="1" si="19"/>
        <v>0.71606824471069308</v>
      </c>
      <c r="I60" s="139">
        <f t="shared" ca="1" si="19"/>
        <v>0.7168066451949906</v>
      </c>
      <c r="J60" s="139">
        <f t="shared" ca="1" si="19"/>
        <v>0.71746338628762296</v>
      </c>
      <c r="K60" s="159">
        <f ca="1">J60</f>
        <v>0.71746338628762296</v>
      </c>
      <c r="L60" s="159">
        <f t="shared" ref="L60:O60" ca="1" si="20">K60</f>
        <v>0.71746338628762296</v>
      </c>
      <c r="M60" s="159">
        <f t="shared" ca="1" si="20"/>
        <v>0.71746338628762296</v>
      </c>
      <c r="N60" s="159">
        <f t="shared" ca="1" si="20"/>
        <v>0.71746338628762296</v>
      </c>
      <c r="O60" s="159">
        <f t="shared" ca="1" si="20"/>
        <v>0.71746338628762296</v>
      </c>
      <c r="AD60" s="187"/>
    </row>
    <row r="61" spans="3:30" x14ac:dyDescent="0.25">
      <c r="C61" s="138" t="s">
        <v>294</v>
      </c>
      <c r="D61" s="14" t="s">
        <v>11</v>
      </c>
      <c r="E61" s="338" t="str">
        <f>IFERROR(+E59/D59-1,"N/A")</f>
        <v>N/A</v>
      </c>
      <c r="F61" s="338">
        <f t="shared" ref="F61:O61" ca="1" si="21">IFERROR(+F59/E59-1,"N/A")</f>
        <v>2.936707931228888E-2</v>
      </c>
      <c r="G61" s="338">
        <f t="shared" ca="1" si="21"/>
        <v>3.4702062602063766E-2</v>
      </c>
      <c r="H61" s="338">
        <f t="shared" ca="1" si="21"/>
        <v>3.5241292719593309E-2</v>
      </c>
      <c r="I61" s="338">
        <f t="shared" ca="1" si="21"/>
        <v>3.5768743422680993E-2</v>
      </c>
      <c r="J61" s="338">
        <f t="shared" ca="1" si="21"/>
        <v>3.6284101473730956E-2</v>
      </c>
      <c r="K61" s="139">
        <f t="shared" ca="1" si="21"/>
        <v>3.5335522959360377E-2</v>
      </c>
      <c r="L61" s="139">
        <f t="shared" ca="1" si="21"/>
        <v>3.5335522959361043E-2</v>
      </c>
      <c r="M61" s="139">
        <f t="shared" ca="1" si="21"/>
        <v>3.5335522959360821E-2</v>
      </c>
      <c r="N61" s="139">
        <f t="shared" ca="1" si="21"/>
        <v>3.5335522959360821E-2</v>
      </c>
      <c r="O61" s="139">
        <f t="shared" ca="1" si="21"/>
        <v>3.5335522959361043E-2</v>
      </c>
      <c r="AD61" s="187"/>
    </row>
    <row r="62" spans="3:30" x14ac:dyDescent="0.25">
      <c r="C62" s="138"/>
      <c r="D62" s="14"/>
      <c r="E62" s="338"/>
      <c r="F62" s="338"/>
      <c r="G62" s="338"/>
      <c r="H62" s="338"/>
      <c r="I62" s="338"/>
      <c r="J62" s="338"/>
      <c r="K62" s="139"/>
      <c r="L62" s="139"/>
      <c r="M62" s="139"/>
      <c r="N62" s="139"/>
      <c r="O62" s="139"/>
      <c r="AD62" s="187"/>
    </row>
    <row r="63" spans="3:30" x14ac:dyDescent="0.25">
      <c r="C63" s="24" t="s">
        <v>482</v>
      </c>
      <c r="D63" s="14" t="s">
        <v>11</v>
      </c>
      <c r="E63" s="338" t="str">
        <f>IFERROR(+E40/E47,"N/A")</f>
        <v>N/A</v>
      </c>
      <c r="F63" s="338">
        <f ca="1">IFERROR(+F40/(F47-E52),"N/A")</f>
        <v>5.6348674290797693E-2</v>
      </c>
      <c r="G63" s="338">
        <f t="shared" ref="G63:J63" ca="1" si="22">IFERROR(+G40/(G47-F52),"N/A")</f>
        <v>0.10257304763791569</v>
      </c>
      <c r="H63" s="338">
        <f t="shared" ca="1" si="22"/>
        <v>0.10364342160631169</v>
      </c>
      <c r="I63" s="338">
        <f t="shared" ca="1" si="22"/>
        <v>0.10247332443588048</v>
      </c>
      <c r="J63" s="338">
        <f t="shared" ca="1" si="22"/>
        <v>0.10065119754978395</v>
      </c>
      <c r="K63" s="159">
        <f ca="1">J63</f>
        <v>0.10065119754978395</v>
      </c>
      <c r="L63" s="159">
        <f t="shared" ref="L63:O63" ca="1" si="23">K63</f>
        <v>0.10065119754978395</v>
      </c>
      <c r="M63" s="159">
        <f t="shared" ca="1" si="23"/>
        <v>0.10065119754978395</v>
      </c>
      <c r="N63" s="159">
        <f t="shared" ca="1" si="23"/>
        <v>0.10065119754978395</v>
      </c>
      <c r="O63" s="159">
        <f t="shared" ca="1" si="23"/>
        <v>0.10065119754978395</v>
      </c>
      <c r="AD63" s="187"/>
    </row>
    <row r="64" spans="3:30" x14ac:dyDescent="0.25">
      <c r="AD64" s="187"/>
    </row>
    <row r="65" spans="3:30" x14ac:dyDescent="0.25">
      <c r="C65" t="s">
        <v>483</v>
      </c>
      <c r="D65" s="14" t="s">
        <v>484</v>
      </c>
      <c r="F65" s="346">
        <f>D16</f>
        <v>1</v>
      </c>
      <c r="G65" s="347">
        <f>+F65+1</f>
        <v>2</v>
      </c>
      <c r="H65" s="347">
        <f t="shared" ref="H65:O65" si="24">+G65+1</f>
        <v>3</v>
      </c>
      <c r="I65" s="347">
        <f t="shared" si="24"/>
        <v>4</v>
      </c>
      <c r="J65" s="347">
        <f t="shared" si="24"/>
        <v>5</v>
      </c>
      <c r="K65" s="347">
        <f t="shared" si="24"/>
        <v>6</v>
      </c>
      <c r="L65" s="347">
        <f t="shared" si="24"/>
        <v>7</v>
      </c>
      <c r="M65" s="347">
        <f t="shared" si="24"/>
        <v>8</v>
      </c>
      <c r="N65" s="347">
        <f t="shared" si="24"/>
        <v>9</v>
      </c>
      <c r="O65" s="347">
        <f t="shared" si="24"/>
        <v>10</v>
      </c>
      <c r="AD65" s="187"/>
    </row>
    <row r="66" spans="3:30" x14ac:dyDescent="0.25">
      <c r="C66" t="s">
        <v>485</v>
      </c>
      <c r="D66" s="14" t="s">
        <v>3</v>
      </c>
      <c r="F66" s="110">
        <f ca="1">-(F50+Seller!$H$248)/F69</f>
        <v>71930.899723780909</v>
      </c>
      <c r="G66" s="110">
        <f ca="1">-(G50+Seller!$H$248)/G69</f>
        <v>1201.9287854892953</v>
      </c>
      <c r="H66" s="110">
        <f ca="1">-(H50+Seller!$H$248)/H69</f>
        <v>1249.4774928948209</v>
      </c>
      <c r="I66" s="110">
        <f ca="1">-(I50+Seller!$H$248)/I69</f>
        <v>1156.18634447355</v>
      </c>
      <c r="J66" s="110">
        <f ca="1">-(J50+Seller!$H$248)/J69</f>
        <v>1033.0925757615762</v>
      </c>
      <c r="K66" s="110">
        <f ca="1">-(K50+Seller!$H$248)/K69</f>
        <v>9070.137805553959</v>
      </c>
      <c r="L66" s="110">
        <f ca="1">-(L50+Seller!$H$248)/L69</f>
        <v>1417.9391719472867</v>
      </c>
      <c r="M66" s="110">
        <f ca="1">-(M50+Seller!$H$248)/M69</f>
        <v>1308.1043062684487</v>
      </c>
      <c r="N66" s="110">
        <f ca="1">-(N50+Seller!$H$248)/N69</f>
        <v>1204.3299773481485</v>
      </c>
      <c r="O66" s="110">
        <f ca="1">-(O50+Seller!$H$248)/O69</f>
        <v>1106.7424988485041</v>
      </c>
      <c r="AD66" s="187"/>
    </row>
    <row r="67" spans="3:30" x14ac:dyDescent="0.25">
      <c r="AD67" s="187"/>
    </row>
    <row r="68" spans="3:30" x14ac:dyDescent="0.25">
      <c r="C68" s="348" t="s">
        <v>450</v>
      </c>
      <c r="D68" s="14" t="s">
        <v>11</v>
      </c>
      <c r="F68" s="349">
        <f>+$D$9</f>
        <v>0.15870000000000001</v>
      </c>
      <c r="G68" s="349">
        <f t="shared" ref="G68:O68" si="25">+$D$9</f>
        <v>0.15870000000000001</v>
      </c>
      <c r="H68" s="349">
        <f t="shared" si="25"/>
        <v>0.15870000000000001</v>
      </c>
      <c r="I68" s="349">
        <f t="shared" si="25"/>
        <v>0.15870000000000001</v>
      </c>
      <c r="J68" s="349">
        <f t="shared" si="25"/>
        <v>0.15870000000000001</v>
      </c>
      <c r="K68" s="349">
        <f t="shared" si="25"/>
        <v>0.15870000000000001</v>
      </c>
      <c r="L68" s="349">
        <f t="shared" si="25"/>
        <v>0.15870000000000001</v>
      </c>
      <c r="M68" s="349">
        <f t="shared" si="25"/>
        <v>0.15870000000000001</v>
      </c>
      <c r="N68" s="349">
        <f t="shared" si="25"/>
        <v>0.15870000000000001</v>
      </c>
      <c r="O68" s="349">
        <f t="shared" si="25"/>
        <v>0.15870000000000001</v>
      </c>
      <c r="AD68" s="187"/>
    </row>
    <row r="69" spans="3:30" x14ac:dyDescent="0.25">
      <c r="C69" t="s">
        <v>486</v>
      </c>
      <c r="D69" s="14" t="s">
        <v>383</v>
      </c>
      <c r="F69" s="347">
        <f>(1+F68)^F65</f>
        <v>1.1587000000000001</v>
      </c>
      <c r="G69" s="347">
        <f t="shared" ref="G69:O69" si="26">(1+G68)^G65</f>
        <v>1.3425856900000002</v>
      </c>
      <c r="H69" s="347">
        <f t="shared" si="26"/>
        <v>1.5556540390030003</v>
      </c>
      <c r="I69" s="347">
        <f t="shared" si="26"/>
        <v>1.8025363349927765</v>
      </c>
      <c r="J69" s="347">
        <f t="shared" si="26"/>
        <v>2.0885988513561302</v>
      </c>
      <c r="K69" s="347">
        <f t="shared" si="26"/>
        <v>2.4200594890663485</v>
      </c>
      <c r="L69" s="347">
        <f t="shared" si="26"/>
        <v>2.8041229299811778</v>
      </c>
      <c r="M69" s="347">
        <f t="shared" si="26"/>
        <v>3.2491372389691913</v>
      </c>
      <c r="N69" s="347">
        <f t="shared" si="26"/>
        <v>3.7647753187936019</v>
      </c>
      <c r="O69" s="347">
        <f t="shared" si="26"/>
        <v>4.3622451618861469</v>
      </c>
      <c r="AD69" s="187"/>
    </row>
    <row r="70" spans="3:30" x14ac:dyDescent="0.25">
      <c r="AD70" s="187"/>
    </row>
    <row r="71" spans="3:30" x14ac:dyDescent="0.25">
      <c r="C71" t="s">
        <v>451</v>
      </c>
      <c r="D71" s="14" t="s">
        <v>3</v>
      </c>
      <c r="F71" s="110">
        <f ca="1">F49/F69</f>
        <v>0</v>
      </c>
      <c r="G71" s="110">
        <f t="shared" ref="G71:O71" ca="1" si="27">G49/G69</f>
        <v>0</v>
      </c>
      <c r="H71" s="110">
        <f t="shared" ca="1" si="27"/>
        <v>0</v>
      </c>
      <c r="I71" s="110">
        <f t="shared" ca="1" si="27"/>
        <v>0</v>
      </c>
      <c r="J71" s="110">
        <f t="shared" ca="1" si="27"/>
        <v>0</v>
      </c>
      <c r="K71" s="110">
        <f t="shared" si="27"/>
        <v>0</v>
      </c>
      <c r="L71" s="110">
        <f t="shared" si="27"/>
        <v>0</v>
      </c>
      <c r="M71" s="110">
        <f t="shared" si="27"/>
        <v>0</v>
      </c>
      <c r="N71" s="110">
        <f t="shared" si="27"/>
        <v>0</v>
      </c>
      <c r="O71" s="110">
        <f t="shared" si="27"/>
        <v>0</v>
      </c>
      <c r="AD71" s="187"/>
    </row>
    <row r="72" spans="3:30" x14ac:dyDescent="0.25">
      <c r="AD72" s="187"/>
    </row>
  </sheetData>
  <dataConsolidate/>
  <pageMargins left="0.7" right="0.7" top="0.75" bottom="0.75" header="0.3" footer="0.3"/>
  <pageSetup scale="49" pageOrder="overThenDown" orientation="landscape" r:id="rId1"/>
  <rowBreaks count="1" manualBreakCount="1">
    <brk id="36" max="2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CA5A-2176-4463-B8D3-4862682C3792}">
  <sheetPr>
    <pageSetUpPr autoPageBreaks="0"/>
  </sheetPr>
  <dimension ref="B1:N276"/>
  <sheetViews>
    <sheetView showGridLines="0" topLeftCell="A253" zoomScaleNormal="100" workbookViewId="0">
      <selection activeCell="E24" sqref="E24"/>
    </sheetView>
  </sheetViews>
  <sheetFormatPr defaultRowHeight="15" outlineLevelRow="1" outlineLevelCol="1" x14ac:dyDescent="0.25"/>
  <cols>
    <col min="1" max="2" width="2.7109375" style="223" customWidth="1"/>
    <col min="3" max="3" width="52.85546875" style="223" customWidth="1"/>
    <col min="4" max="4" width="12.7109375" style="223" customWidth="1"/>
    <col min="5" max="6" width="12.7109375" style="223" customWidth="1" outlineLevel="1"/>
    <col min="7" max="7" width="14" style="223" customWidth="1" outlineLevel="1"/>
    <col min="8" max="8" width="12.7109375" style="223" customWidth="1"/>
    <col min="9" max="9" width="12.5703125" style="223" customWidth="1"/>
    <col min="10" max="10" width="14.85546875" style="223" customWidth="1"/>
    <col min="11" max="12" width="12.7109375" style="223" customWidth="1"/>
    <col min="13" max="13" width="2.7109375" style="223" customWidth="1"/>
    <col min="14" max="22" width="12.7109375" style="223" customWidth="1"/>
    <col min="23" max="16384" width="9.140625" style="223"/>
  </cols>
  <sheetData>
    <row r="1" spans="2:12" s="180" customFormat="1" ht="15.75" x14ac:dyDescent="0.25"/>
    <row r="2" spans="2:12" s="180" customFormat="1" ht="18.75" x14ac:dyDescent="0.3">
      <c r="B2" s="179" t="str">
        <f>"Financial Projections for the Seller - "&amp;Seller_Name</f>
        <v>Financial Projections for the Seller - Rosbank Group</v>
      </c>
    </row>
    <row r="3" spans="2:12" s="180" customFormat="1" ht="15.75" x14ac:dyDescent="0.25">
      <c r="B3" s="180" t="str">
        <f>Buyer!B3</f>
        <v>(RUB in Millions Except Per Share and Per Unit Data)</v>
      </c>
    </row>
    <row r="4" spans="2:12" s="180" customFormat="1" ht="15.75" x14ac:dyDescent="0.25"/>
    <row r="5" spans="2:12" s="180" customFormat="1" ht="15.75" x14ac:dyDescent="0.25">
      <c r="B5" s="181" t="s">
        <v>337</v>
      </c>
      <c r="C5" s="182"/>
      <c r="D5" s="183"/>
      <c r="E5" s="183"/>
      <c r="F5" s="183"/>
      <c r="G5" s="183"/>
      <c r="H5" s="183"/>
      <c r="I5" s="183"/>
      <c r="J5" s="183"/>
      <c r="K5" s="183"/>
      <c r="L5" s="183"/>
    </row>
    <row r="6" spans="2:12" s="180" customFormat="1" ht="15.75" outlineLevel="1" x14ac:dyDescent="0.25"/>
    <row r="7" spans="2:12" s="180" customFormat="1" ht="15.75" outlineLevel="1" x14ac:dyDescent="0.25">
      <c r="C7" s="180" t="s">
        <v>32</v>
      </c>
      <c r="D7" s="184" t="s">
        <v>399</v>
      </c>
      <c r="E7" s="667"/>
    </row>
    <row r="8" spans="2:12" s="180" customFormat="1" ht="15.75" outlineLevel="1" x14ac:dyDescent="0.25">
      <c r="C8" s="180" t="s">
        <v>35</v>
      </c>
      <c r="D8" s="185"/>
    </row>
    <row r="9" spans="2:12" s="180" customFormat="1" ht="15.75" outlineLevel="1" x14ac:dyDescent="0.25">
      <c r="F9" s="207"/>
      <c r="G9" s="208"/>
      <c r="H9" s="208"/>
      <c r="I9" s="208"/>
      <c r="J9" s="208"/>
      <c r="K9" s="210"/>
      <c r="L9" s="211"/>
    </row>
    <row r="10" spans="2:12" s="180" customFormat="1" ht="15.75" outlineLevel="1" x14ac:dyDescent="0.25">
      <c r="C10" s="188" t="s">
        <v>338</v>
      </c>
      <c r="D10" s="315">
        <v>69.650000000000006</v>
      </c>
      <c r="F10" s="207"/>
      <c r="G10" s="208"/>
      <c r="H10" s="208"/>
      <c r="I10" s="208"/>
      <c r="J10" s="208"/>
      <c r="K10" s="210"/>
      <c r="L10" s="211"/>
    </row>
    <row r="11" spans="2:12" s="180" customFormat="1" ht="15.75" outlineLevel="1" x14ac:dyDescent="0.25">
      <c r="F11" s="208"/>
      <c r="G11" s="208"/>
      <c r="H11" s="212"/>
      <c r="I11" s="212"/>
      <c r="J11" s="213"/>
      <c r="K11" s="214"/>
      <c r="L11" s="211"/>
    </row>
    <row r="12" spans="2:12" s="180" customFormat="1" ht="15.75" outlineLevel="1" x14ac:dyDescent="0.25">
      <c r="C12" s="187" t="s">
        <v>39</v>
      </c>
      <c r="D12" s="189">
        <f>Buyer!D10</f>
        <v>44196</v>
      </c>
      <c r="F12" s="212"/>
      <c r="G12" s="208"/>
      <c r="H12" s="212"/>
      <c r="I12" s="212"/>
      <c r="J12" s="212"/>
      <c r="K12" s="212"/>
      <c r="L12" s="211"/>
    </row>
    <row r="13" spans="2:12" s="180" customFormat="1" ht="15.75" outlineLevel="1" x14ac:dyDescent="0.25">
      <c r="C13" s="187" t="s">
        <v>339</v>
      </c>
      <c r="D13" s="190">
        <v>0.105</v>
      </c>
      <c r="F13" s="215"/>
      <c r="G13" s="208"/>
      <c r="H13" s="216"/>
      <c r="I13" s="217"/>
      <c r="J13" s="218"/>
      <c r="K13" s="218"/>
      <c r="L13" s="211"/>
    </row>
    <row r="14" spans="2:12" s="180" customFormat="1" ht="15.75" outlineLevel="1" x14ac:dyDescent="0.25">
      <c r="D14" s="191"/>
      <c r="F14" s="215"/>
      <c r="G14" s="210"/>
      <c r="H14" s="216"/>
      <c r="I14" s="219"/>
      <c r="J14" s="218"/>
      <c r="K14" s="218"/>
      <c r="L14" s="211"/>
    </row>
    <row r="15" spans="2:12" s="180" customFormat="1" ht="15.75" outlineLevel="1" x14ac:dyDescent="0.25">
      <c r="C15" s="188" t="s">
        <v>43</v>
      </c>
      <c r="D15" s="190">
        <v>0.2</v>
      </c>
      <c r="F15" s="215"/>
      <c r="G15" s="210"/>
      <c r="H15" s="216"/>
      <c r="I15" s="219"/>
      <c r="J15" s="218"/>
      <c r="K15" s="218"/>
      <c r="L15" s="211"/>
    </row>
    <row r="16" spans="2:12" s="180" customFormat="1" ht="15.75" outlineLevel="1" x14ac:dyDescent="0.25">
      <c r="C16" s="188"/>
      <c r="F16" s="215"/>
      <c r="G16" s="210"/>
      <c r="H16" s="216"/>
      <c r="I16" s="219"/>
      <c r="J16" s="218"/>
      <c r="K16" s="218"/>
      <c r="L16" s="211"/>
    </row>
    <row r="17" spans="2:13" s="180" customFormat="1" ht="15.75" outlineLevel="1" x14ac:dyDescent="0.25">
      <c r="C17" s="180" t="s">
        <v>340</v>
      </c>
      <c r="D17" s="315">
        <f>G196</f>
        <v>1551.310878</v>
      </c>
      <c r="E17" s="385" t="s">
        <v>578</v>
      </c>
      <c r="F17" s="207"/>
      <c r="G17" s="208"/>
      <c r="H17" s="209"/>
      <c r="I17" s="208"/>
      <c r="J17" s="209"/>
      <c r="K17" s="209"/>
      <c r="L17" s="211"/>
    </row>
    <row r="18" spans="2:13" s="180" customFormat="1" ht="15.75" outlineLevel="1" x14ac:dyDescent="0.25">
      <c r="C18" s="180" t="s">
        <v>576</v>
      </c>
      <c r="D18" s="190" t="s">
        <v>577</v>
      </c>
      <c r="E18" s="385" t="s">
        <v>577</v>
      </c>
      <c r="F18" s="208"/>
      <c r="G18" s="208"/>
      <c r="H18" s="208"/>
      <c r="I18" s="208"/>
      <c r="J18" s="208"/>
      <c r="K18" s="210"/>
      <c r="L18" s="211"/>
    </row>
    <row r="19" spans="2:13" s="180" customFormat="1" ht="15.75" outlineLevel="1" x14ac:dyDescent="0.25">
      <c r="D19" s="384"/>
      <c r="F19" s="207"/>
      <c r="G19" s="208"/>
      <c r="H19" s="208"/>
      <c r="I19" s="208"/>
      <c r="J19" s="208"/>
      <c r="K19" s="210"/>
      <c r="L19" s="211"/>
    </row>
    <row r="20" spans="2:13" s="180" customFormat="1" ht="15.75" outlineLevel="1" x14ac:dyDescent="0.25">
      <c r="F20" s="208"/>
      <c r="G20" s="208"/>
      <c r="H20" s="208"/>
      <c r="I20" s="208"/>
      <c r="J20" s="208"/>
      <c r="K20" s="210"/>
      <c r="L20" s="211"/>
    </row>
    <row r="21" spans="2:13" s="180" customFormat="1" ht="15.75" outlineLevel="1" x14ac:dyDescent="0.25">
      <c r="D21" s="192"/>
      <c r="F21" s="208"/>
      <c r="G21" s="208"/>
      <c r="H21" s="212"/>
      <c r="I21" s="212"/>
      <c r="J21" s="213"/>
      <c r="K21" s="214"/>
      <c r="L21" s="211"/>
    </row>
    <row r="22" spans="2:13" s="180" customFormat="1" ht="15.75" outlineLevel="1" x14ac:dyDescent="0.25">
      <c r="D22" s="193"/>
      <c r="F22" s="212"/>
      <c r="G22" s="208"/>
      <c r="H22" s="212"/>
      <c r="I22" s="212"/>
      <c r="J22" s="212"/>
      <c r="K22" s="212"/>
      <c r="L22" s="211"/>
    </row>
    <row r="23" spans="2:13" s="180" customFormat="1" ht="15.75" outlineLevel="1" x14ac:dyDescent="0.25">
      <c r="F23" s="215"/>
      <c r="G23" s="208"/>
      <c r="H23" s="216"/>
      <c r="I23" s="220"/>
      <c r="J23" s="218"/>
      <c r="K23" s="218"/>
      <c r="L23" s="211"/>
    </row>
    <row r="24" spans="2:13" s="180" customFormat="1" ht="15.75" outlineLevel="1" x14ac:dyDescent="0.25">
      <c r="F24" s="207"/>
      <c r="G24" s="208"/>
      <c r="H24" s="209"/>
      <c r="I24" s="208"/>
      <c r="J24" s="209"/>
      <c r="K24" s="209"/>
    </row>
    <row r="25" spans="2:13" s="180" customFormat="1" ht="15.75" x14ac:dyDescent="0.25"/>
    <row r="26" spans="2:13" s="180" customFormat="1" ht="15.75" x14ac:dyDescent="0.25">
      <c r="B26" s="194"/>
      <c r="C26" s="194"/>
      <c r="D26" s="194"/>
      <c r="E26" s="195" t="s">
        <v>55</v>
      </c>
      <c r="F26" s="195"/>
      <c r="G26" s="196"/>
      <c r="H26" s="195" t="s">
        <v>0</v>
      </c>
      <c r="I26" s="195"/>
      <c r="J26" s="195"/>
      <c r="K26" s="195"/>
      <c r="L26" s="196"/>
    </row>
    <row r="27" spans="2:13" s="180" customFormat="1" ht="15.75" x14ac:dyDescent="0.25">
      <c r="B27" s="197" t="s">
        <v>56</v>
      </c>
      <c r="C27" s="197"/>
      <c r="D27" s="198" t="s">
        <v>1</v>
      </c>
      <c r="E27" s="199">
        <f>EOMONTH(F27,-12)</f>
        <v>43465</v>
      </c>
      <c r="F27" s="200">
        <f>EOMONTH(G27,-12)</f>
        <v>43830</v>
      </c>
      <c r="G27" s="201">
        <f>Seller_Year</f>
        <v>44196</v>
      </c>
      <c r="H27" s="199">
        <f>EOMONTH(G27,12)</f>
        <v>44561</v>
      </c>
      <c r="I27" s="200">
        <f t="shared" ref="I27:L27" si="0">EOMONTH(H27,12)</f>
        <v>44926</v>
      </c>
      <c r="J27" s="200">
        <f t="shared" si="0"/>
        <v>45291</v>
      </c>
      <c r="K27" s="200">
        <f t="shared" si="0"/>
        <v>45657</v>
      </c>
      <c r="L27" s="201">
        <f t="shared" si="0"/>
        <v>46022</v>
      </c>
    </row>
    <row r="28" spans="2:13" s="180" customFormat="1" ht="15.75" outlineLevel="1" x14ac:dyDescent="0.25">
      <c r="B28" s="202" t="s">
        <v>57</v>
      </c>
      <c r="C28" s="203"/>
      <c r="D28" s="203"/>
      <c r="E28" s="203"/>
      <c r="F28" s="203"/>
      <c r="G28" s="203"/>
      <c r="H28" s="203"/>
      <c r="I28" s="203"/>
      <c r="J28" s="203"/>
      <c r="K28" s="203"/>
      <c r="L28" s="203"/>
    </row>
    <row r="29" spans="2:13" s="206" customFormat="1" ht="15.75" outlineLevel="1" x14ac:dyDescent="0.25">
      <c r="B29" s="207"/>
      <c r="C29" s="13" t="s">
        <v>127</v>
      </c>
      <c r="D29" s="14" t="s">
        <v>3</v>
      </c>
      <c r="E29" s="265">
        <f>191279-7655-49334+6</f>
        <v>134296</v>
      </c>
      <c r="F29" s="265">
        <f>190970-5238-96727+5</f>
        <v>89010</v>
      </c>
      <c r="G29" s="68">
        <f>301646-10618-131350+9</f>
        <v>159687</v>
      </c>
      <c r="H29" s="263">
        <f>H89*H45</f>
        <v>148965.19347721714</v>
      </c>
      <c r="I29" s="263">
        <f t="shared" ref="I29:L29" si="1">I89*I45</f>
        <v>154852.74563885271</v>
      </c>
      <c r="J29" s="263">
        <f t="shared" si="1"/>
        <v>161051.85360773106</v>
      </c>
      <c r="K29" s="263">
        <f t="shared" si="1"/>
        <v>167577.90609937222</v>
      </c>
      <c r="L29" s="263">
        <f t="shared" si="1"/>
        <v>174447.06334615743</v>
      </c>
      <c r="M29" s="222"/>
    </row>
    <row r="30" spans="2:13" s="206" customFormat="1" ht="15.75" outlineLevel="1" x14ac:dyDescent="0.25">
      <c r="B30" s="207"/>
      <c r="C30" s="13" t="s">
        <v>61</v>
      </c>
      <c r="D30" s="14" t="s">
        <v>3</v>
      </c>
      <c r="E30" s="265">
        <v>7722</v>
      </c>
      <c r="F30" s="265">
        <v>9042</v>
      </c>
      <c r="G30" s="68">
        <v>10910</v>
      </c>
      <c r="H30" s="263">
        <f>H90*H45</f>
        <v>10716.932602103838</v>
      </c>
      <c r="I30" s="263">
        <f t="shared" ref="I30:L30" si="2">I90*I45</f>
        <v>11140.497988317828</v>
      </c>
      <c r="J30" s="263">
        <f t="shared" si="2"/>
        <v>11586.47748691657</v>
      </c>
      <c r="K30" s="263">
        <f t="shared" si="2"/>
        <v>12055.978200997184</v>
      </c>
      <c r="L30" s="263">
        <f t="shared" si="2"/>
        <v>12550.162738530171</v>
      </c>
      <c r="M30" s="222"/>
    </row>
    <row r="31" spans="2:13" s="206" customFormat="1" ht="15.75" outlineLevel="1" x14ac:dyDescent="0.25">
      <c r="B31" s="207"/>
      <c r="C31" s="13" t="s">
        <v>128</v>
      </c>
      <c r="D31" s="14" t="s">
        <v>3</v>
      </c>
      <c r="E31" s="265">
        <f>9391+7655+49334-6</f>
        <v>66374</v>
      </c>
      <c r="F31" s="265">
        <f>13634+5238+96727-5</f>
        <v>115594</v>
      </c>
      <c r="G31" s="68">
        <f>13633+10618+131350-9</f>
        <v>155592</v>
      </c>
      <c r="H31" s="260">
        <f ca="1">G31+H103</f>
        <v>155592</v>
      </c>
      <c r="I31" s="260">
        <f t="shared" ref="I31:L31" ca="1" si="3">H31+I103</f>
        <v>161565.56166249863</v>
      </c>
      <c r="J31" s="260">
        <f t="shared" ca="1" si="3"/>
        <v>167769.15285673924</v>
      </c>
      <c r="K31" s="260">
        <f t="shared" ca="1" si="3"/>
        <v>174215.08617145079</v>
      </c>
      <c r="L31" s="260">
        <f t="shared" ca="1" si="3"/>
        <v>180916.21647456498</v>
      </c>
      <c r="M31" s="222"/>
    </row>
    <row r="32" spans="2:13" s="206" customFormat="1" ht="15.75" outlineLevel="1" x14ac:dyDescent="0.25">
      <c r="B32" s="207"/>
      <c r="C32" s="38" t="s">
        <v>79</v>
      </c>
      <c r="D32" s="14" t="s">
        <v>3</v>
      </c>
      <c r="E32" s="258">
        <f>E34-E33</f>
        <v>768035</v>
      </c>
      <c r="F32" s="258">
        <f t="shared" ref="F32:G32" si="4">F34-F33</f>
        <v>808782</v>
      </c>
      <c r="G32" s="258">
        <f t="shared" si="4"/>
        <v>834625</v>
      </c>
      <c r="H32" s="261">
        <f>H75</f>
        <v>867730.86091369495</v>
      </c>
      <c r="I32" s="261">
        <f t="shared" ref="I32:L32" si="5">I75</f>
        <v>902026.19250517618</v>
      </c>
      <c r="J32" s="261">
        <f t="shared" si="5"/>
        <v>938136.35467909661</v>
      </c>
      <c r="K32" s="261">
        <f t="shared" si="5"/>
        <v>976150.98759269633</v>
      </c>
      <c r="L32" s="261">
        <f t="shared" si="5"/>
        <v>1016164.2255335184</v>
      </c>
      <c r="M32" s="222"/>
    </row>
    <row r="33" spans="2:13" s="206" customFormat="1" ht="15.75" outlineLevel="1" x14ac:dyDescent="0.25">
      <c r="B33" s="207"/>
      <c r="C33" s="96" t="s">
        <v>129</v>
      </c>
      <c r="D33" s="14" t="s">
        <v>3</v>
      </c>
      <c r="E33" s="266">
        <v>-44063</v>
      </c>
      <c r="F33" s="266">
        <v>-37335</v>
      </c>
      <c r="G33" s="271">
        <v>-42287</v>
      </c>
      <c r="H33" s="260">
        <f>-H83</f>
        <v>-48787.942109240641</v>
      </c>
      <c r="I33" s="260">
        <f t="shared" ref="I33:L33" si="6">-I83</f>
        <v>-54985.411130066903</v>
      </c>
      <c r="J33" s="260">
        <f t="shared" si="6"/>
        <v>-61431.91054079085</v>
      </c>
      <c r="K33" s="260">
        <f t="shared" si="6"/>
        <v>-68140.561540660754</v>
      </c>
      <c r="L33" s="260">
        <f t="shared" si="6"/>
        <v>-75125.134017940392</v>
      </c>
      <c r="M33" s="222"/>
    </row>
    <row r="34" spans="2:13" s="206" customFormat="1" ht="15.75" outlineLevel="1" x14ac:dyDescent="0.25">
      <c r="B34" s="207"/>
      <c r="C34" s="38" t="s">
        <v>130</v>
      </c>
      <c r="D34" s="14" t="s">
        <v>3</v>
      </c>
      <c r="E34" s="258">
        <v>723972</v>
      </c>
      <c r="F34" s="258">
        <v>771447</v>
      </c>
      <c r="G34" s="258">
        <v>792338</v>
      </c>
      <c r="H34" s="258">
        <f>SUM(H32:H33)</f>
        <v>818942.91880445427</v>
      </c>
      <c r="I34" s="258">
        <f t="shared" ref="I34:L34" si="7">SUM(I32:I33)</f>
        <v>847040.78137510922</v>
      </c>
      <c r="J34" s="258">
        <f t="shared" si="7"/>
        <v>876704.44413830573</v>
      </c>
      <c r="K34" s="258">
        <f t="shared" si="7"/>
        <v>908010.42605203553</v>
      </c>
      <c r="L34" s="258">
        <f t="shared" si="7"/>
        <v>941039.09151557798</v>
      </c>
      <c r="M34" s="222"/>
    </row>
    <row r="35" spans="2:13" s="206" customFormat="1" ht="15.75" outlineLevel="1" x14ac:dyDescent="0.25">
      <c r="B35" s="207"/>
      <c r="C35" s="13" t="s">
        <v>82</v>
      </c>
      <c r="D35" s="14" t="s">
        <v>3</v>
      </c>
      <c r="E35" s="265">
        <f>43025+46180+94118-41959-25</f>
        <v>141339</v>
      </c>
      <c r="F35" s="265">
        <f>36472+63100+82740-34971-18</f>
        <v>147323</v>
      </c>
      <c r="G35" s="68">
        <f>57058+30982+103731-54676</f>
        <v>137095</v>
      </c>
      <c r="H35" s="263">
        <f>G35*(1+H91)</f>
        <v>137095</v>
      </c>
      <c r="I35" s="263">
        <f t="shared" ref="I35:L35" si="8">H35*(1+I91)</f>
        <v>137095</v>
      </c>
      <c r="J35" s="263">
        <f t="shared" si="8"/>
        <v>137095</v>
      </c>
      <c r="K35" s="263">
        <f t="shared" si="8"/>
        <v>137095</v>
      </c>
      <c r="L35" s="263">
        <f t="shared" si="8"/>
        <v>137095</v>
      </c>
      <c r="M35" s="222"/>
    </row>
    <row r="36" spans="2:13" s="206" customFormat="1" ht="15.75" outlineLevel="1" x14ac:dyDescent="0.25">
      <c r="B36" s="207"/>
      <c r="C36" s="13" t="s">
        <v>131</v>
      </c>
      <c r="D36" s="14" t="s">
        <v>3</v>
      </c>
      <c r="E36" s="265"/>
      <c r="F36" s="265"/>
      <c r="G36" s="68"/>
      <c r="H36" s="263"/>
      <c r="I36" s="263"/>
      <c r="J36" s="263"/>
      <c r="K36" s="263"/>
      <c r="L36" s="263"/>
      <c r="M36" s="222"/>
    </row>
    <row r="37" spans="2:13" s="206" customFormat="1" ht="15.75" outlineLevel="1" x14ac:dyDescent="0.25">
      <c r="B37" s="207"/>
      <c r="C37" s="13" t="s">
        <v>132</v>
      </c>
      <c r="D37" s="14" t="s">
        <v>3</v>
      </c>
      <c r="E37" s="265">
        <v>18922</v>
      </c>
      <c r="F37" s="265">
        <v>24636</v>
      </c>
      <c r="G37" s="68">
        <v>26591</v>
      </c>
      <c r="H37" s="262">
        <f>H$32*H92</f>
        <v>28635.118410151936</v>
      </c>
      <c r="I37" s="262">
        <f t="shared" ref="I37:L37" si="9">I$32*I92</f>
        <v>29766.864352670815</v>
      </c>
      <c r="J37" s="262">
        <f t="shared" si="9"/>
        <v>30958.499704410191</v>
      </c>
      <c r="K37" s="262">
        <f t="shared" si="9"/>
        <v>32212.982590558979</v>
      </c>
      <c r="L37" s="262">
        <f t="shared" si="9"/>
        <v>33533.419442606108</v>
      </c>
      <c r="M37" s="222"/>
    </row>
    <row r="38" spans="2:13" s="206" customFormat="1" ht="15.75" outlineLevel="1" x14ac:dyDescent="0.25">
      <c r="B38" s="207"/>
      <c r="C38" s="13" t="s">
        <v>133</v>
      </c>
      <c r="D38" s="14" t="s">
        <v>3</v>
      </c>
      <c r="E38" s="265">
        <v>3686</v>
      </c>
      <c r="F38" s="265">
        <v>5813</v>
      </c>
      <c r="G38" s="68">
        <v>8277</v>
      </c>
      <c r="H38" s="262">
        <f>H$32*H93</f>
        <v>10340.773491523545</v>
      </c>
      <c r="I38" s="262">
        <f t="shared" ref="I38:L38" si="10">I$32*I93</f>
        <v>12553.524324150216</v>
      </c>
      <c r="J38" s="262">
        <f t="shared" si="10"/>
        <v>14932.343193437926</v>
      </c>
      <c r="K38" s="262">
        <f t="shared" si="10"/>
        <v>17489.725168142795</v>
      </c>
      <c r="L38" s="262">
        <f t="shared" si="10"/>
        <v>20238.971948000672</v>
      </c>
      <c r="M38" s="222"/>
    </row>
    <row r="39" spans="2:13" s="206" customFormat="1" ht="15.75" outlineLevel="1" x14ac:dyDescent="0.25">
      <c r="B39" s="207"/>
      <c r="C39" s="13" t="s">
        <v>134</v>
      </c>
      <c r="D39" s="14" t="s">
        <v>3</v>
      </c>
      <c r="E39" s="265">
        <f>1272+295-333-1081</f>
        <v>153</v>
      </c>
      <c r="F39" s="265">
        <f>2248+85-1540-557</f>
        <v>236</v>
      </c>
      <c r="G39" s="68">
        <f>3893+632-2076-20</f>
        <v>2429</v>
      </c>
      <c r="H39" s="263">
        <f>G39</f>
        <v>2429</v>
      </c>
      <c r="I39" s="263">
        <f t="shared" ref="I39:L39" si="11">H39</f>
        <v>2429</v>
      </c>
      <c r="J39" s="263">
        <f t="shared" si="11"/>
        <v>2429</v>
      </c>
      <c r="K39" s="263">
        <f t="shared" si="11"/>
        <v>2429</v>
      </c>
      <c r="L39" s="263">
        <f t="shared" si="11"/>
        <v>2429</v>
      </c>
      <c r="M39" s="222"/>
    </row>
    <row r="40" spans="2:13" s="206" customFormat="1" ht="15.75" outlineLevel="1" x14ac:dyDescent="0.25">
      <c r="B40" s="207"/>
      <c r="C40" s="60" t="s">
        <v>135</v>
      </c>
      <c r="D40" s="16" t="s">
        <v>3</v>
      </c>
      <c r="E40" s="267">
        <v>12660</v>
      </c>
      <c r="F40" s="267">
        <f>18449+131</f>
        <v>18580</v>
      </c>
      <c r="G40" s="71">
        <f>13611+134</f>
        <v>13745</v>
      </c>
      <c r="H40" s="264">
        <f>H45*H94</f>
        <v>17614.998592241984</v>
      </c>
      <c r="I40" s="264">
        <f t="shared" ref="I40:L40" si="12">I45*I94</f>
        <v>18311.196278547966</v>
      </c>
      <c r="J40" s="264">
        <f t="shared" si="12"/>
        <v>19044.235155590399</v>
      </c>
      <c r="K40" s="264">
        <f t="shared" si="12"/>
        <v>19815.934924978057</v>
      </c>
      <c r="L40" s="264">
        <f t="shared" si="12"/>
        <v>20628.206519486586</v>
      </c>
      <c r="M40" s="222"/>
    </row>
    <row r="41" spans="2:13" s="206" customFormat="1" ht="15.75" outlineLevel="1" x14ac:dyDescent="0.25">
      <c r="B41" s="207"/>
      <c r="C41" s="1" t="s">
        <v>7</v>
      </c>
      <c r="D41" s="14" t="s">
        <v>3</v>
      </c>
      <c r="E41" s="268">
        <f>SUM(E34:E40,E29:E31)</f>
        <v>1109124</v>
      </c>
      <c r="F41" s="268">
        <f>SUM(F34:F40,F29:F31)</f>
        <v>1181681</v>
      </c>
      <c r="G41" s="268">
        <f>SUM(G34:G40,G29:G31)</f>
        <v>1306664</v>
      </c>
      <c r="H41" s="268">
        <f t="shared" ref="H41:L41" ca="1" si="13">SUM(H34:H40,H29:H31)</f>
        <v>1330331.9353776928</v>
      </c>
      <c r="I41" s="268">
        <f t="shared" ca="1" si="13"/>
        <v>1374755.1716201473</v>
      </c>
      <c r="J41" s="268">
        <f t="shared" ca="1" si="13"/>
        <v>1421571.0061431311</v>
      </c>
      <c r="K41" s="268">
        <f t="shared" ca="1" si="13"/>
        <v>1470902.0392075356</v>
      </c>
      <c r="L41" s="268">
        <f t="shared" ca="1" si="13"/>
        <v>1522877.131984924</v>
      </c>
    </row>
    <row r="42" spans="2:13" s="206" customFormat="1" ht="15.75" outlineLevel="1" x14ac:dyDescent="0.25">
      <c r="B42" s="207"/>
      <c r="C42" s="221"/>
      <c r="D42" s="221"/>
      <c r="E42" s="221"/>
      <c r="F42" s="221"/>
      <c r="G42" s="221"/>
      <c r="H42" s="221"/>
      <c r="I42" s="221"/>
      <c r="J42" s="221"/>
      <c r="K42" s="221"/>
      <c r="L42" s="221"/>
    </row>
    <row r="43" spans="2:13" s="206" customFormat="1" ht="15.75" outlineLevel="1" x14ac:dyDescent="0.25">
      <c r="B43" s="46" t="s">
        <v>136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2:13" s="180" customFormat="1" ht="15.75" outlineLevel="1" x14ac:dyDescent="0.25">
      <c r="B44"/>
      <c r="C44" s="1" t="s">
        <v>137</v>
      </c>
      <c r="D44" s="27"/>
      <c r="E44"/>
      <c r="F44"/>
      <c r="G44"/>
      <c r="H44"/>
      <c r="I44"/>
      <c r="J44"/>
      <c r="K44"/>
      <c r="L44"/>
    </row>
    <row r="45" spans="2:13" s="180" customFormat="1" ht="15.75" outlineLevel="1" x14ac:dyDescent="0.25">
      <c r="B45"/>
      <c r="C45" s="13" t="s">
        <v>8</v>
      </c>
      <c r="D45" s="14" t="s">
        <v>3</v>
      </c>
      <c r="E45" s="67">
        <v>740531</v>
      </c>
      <c r="F45" s="67">
        <v>813162</v>
      </c>
      <c r="G45" s="68">
        <v>924638</v>
      </c>
      <c r="H45" s="19">
        <f>H32/H97</f>
        <v>964145.4010152166</v>
      </c>
      <c r="I45" s="19">
        <f t="shared" ref="I45:L45" si="14">I32/I97</f>
        <v>1002251.3250057513</v>
      </c>
      <c r="J45" s="19">
        <f t="shared" si="14"/>
        <v>1042373.7274212184</v>
      </c>
      <c r="K45" s="19">
        <f t="shared" si="14"/>
        <v>1084612.2084363292</v>
      </c>
      <c r="L45" s="19">
        <f t="shared" si="14"/>
        <v>1129071.3617039092</v>
      </c>
    </row>
    <row r="46" spans="2:13" s="180" customFormat="1" ht="15.75" outlineLevel="1" x14ac:dyDescent="0.25">
      <c r="B46"/>
      <c r="C46" s="13" t="s">
        <v>138</v>
      </c>
      <c r="D46" s="14" t="s">
        <v>3</v>
      </c>
      <c r="E46" s="67">
        <v>72445</v>
      </c>
      <c r="F46" s="67">
        <v>49344</v>
      </c>
      <c r="G46" s="68">
        <v>44710</v>
      </c>
      <c r="H46" s="19">
        <f ca="1">G46+H104</f>
        <v>106525.71973313182</v>
      </c>
      <c r="I46" s="19">
        <f t="shared" ref="I46:L46" ca="1" si="15">H46+I104</f>
        <v>106525.71973313182</v>
      </c>
      <c r="J46" s="19">
        <f t="shared" ca="1" si="15"/>
        <v>106525.71973313182</v>
      </c>
      <c r="K46" s="19">
        <f t="shared" ca="1" si="15"/>
        <v>106525.71973313182</v>
      </c>
      <c r="L46" s="19">
        <f t="shared" ca="1" si="15"/>
        <v>106525.71973313182</v>
      </c>
    </row>
    <row r="47" spans="2:13" s="180" customFormat="1" ht="15.75" outlineLevel="1" x14ac:dyDescent="0.25">
      <c r="B47"/>
      <c r="C47" s="13" t="s">
        <v>139</v>
      </c>
      <c r="D47" s="14" t="s">
        <v>3</v>
      </c>
      <c r="E47" s="67">
        <v>31077</v>
      </c>
      <c r="F47" s="67">
        <v>17987</v>
      </c>
      <c r="G47" s="68">
        <v>21450</v>
      </c>
      <c r="H47" s="19">
        <f>G47</f>
        <v>21450</v>
      </c>
      <c r="I47" s="19">
        <f t="shared" ref="I47:L47" si="16">H47</f>
        <v>21450</v>
      </c>
      <c r="J47" s="19">
        <f t="shared" si="16"/>
        <v>21450</v>
      </c>
      <c r="K47" s="19">
        <f t="shared" si="16"/>
        <v>21450</v>
      </c>
      <c r="L47" s="19">
        <f t="shared" si="16"/>
        <v>21450</v>
      </c>
    </row>
    <row r="48" spans="2:13" s="180" customFormat="1" ht="15.75" outlineLevel="1" x14ac:dyDescent="0.25">
      <c r="B48"/>
      <c r="C48" s="13" t="s">
        <v>140</v>
      </c>
      <c r="D48" s="14" t="s">
        <v>3</v>
      </c>
      <c r="E48" s="67">
        <v>99908</v>
      </c>
      <c r="F48" s="67">
        <v>108067</v>
      </c>
      <c r="G48" s="68">
        <v>108033</v>
      </c>
      <c r="H48" s="19">
        <f>G48</f>
        <v>108033</v>
      </c>
      <c r="I48" s="19">
        <f t="shared" ref="I48:L48" si="17">H48</f>
        <v>108033</v>
      </c>
      <c r="J48" s="19">
        <f t="shared" si="17"/>
        <v>108033</v>
      </c>
      <c r="K48" s="19">
        <f t="shared" si="17"/>
        <v>108033</v>
      </c>
      <c r="L48" s="19">
        <f t="shared" si="17"/>
        <v>108033</v>
      </c>
    </row>
    <row r="49" spans="2:14" s="180" customFormat="1" ht="15.75" outlineLevel="1" x14ac:dyDescent="0.25">
      <c r="B49"/>
      <c r="C49" s="13" t="s">
        <v>141</v>
      </c>
      <c r="D49" s="14" t="s">
        <v>3</v>
      </c>
      <c r="E49" s="67"/>
      <c r="F49" s="67"/>
      <c r="G49" s="67"/>
      <c r="H49" s="67"/>
      <c r="I49" s="67"/>
      <c r="J49" s="67"/>
      <c r="K49" s="67"/>
      <c r="L49" s="67"/>
    </row>
    <row r="50" spans="2:14" s="180" customFormat="1" ht="15.75" outlineLevel="1" x14ac:dyDescent="0.25">
      <c r="B50"/>
      <c r="C50" s="13" t="s">
        <v>142</v>
      </c>
      <c r="D50" s="16" t="s">
        <v>3</v>
      </c>
      <c r="E50" s="67">
        <f>11675+683</f>
        <v>12358</v>
      </c>
      <c r="F50" s="67">
        <f>20645+477</f>
        <v>21122</v>
      </c>
      <c r="G50" s="68">
        <f>20599+859</f>
        <v>21458</v>
      </c>
      <c r="H50" s="19">
        <f>H98*H32</f>
        <v>19644.262800666376</v>
      </c>
      <c r="I50" s="19">
        <f t="shared" ref="I50:L50" si="18">I98*I32</f>
        <v>20420.663107450047</v>
      </c>
      <c r="J50" s="19">
        <f t="shared" si="18"/>
        <v>21238.148744381579</v>
      </c>
      <c r="K50" s="19">
        <f t="shared" si="18"/>
        <v>22098.749044386223</v>
      </c>
      <c r="L50" s="19">
        <f t="shared" si="18"/>
        <v>23004.595081471311</v>
      </c>
    </row>
    <row r="51" spans="2:14" s="180" customFormat="1" ht="15.75" outlineLevel="1" x14ac:dyDescent="0.25">
      <c r="B51"/>
      <c r="C51" s="83" t="s">
        <v>143</v>
      </c>
      <c r="D51" s="14" t="s">
        <v>3</v>
      </c>
      <c r="E51" s="74">
        <f t="shared" ref="E51:H51" si="19">SUM(E45:E50)</f>
        <v>956319</v>
      </c>
      <c r="F51" s="74">
        <f t="shared" si="19"/>
        <v>1009682</v>
      </c>
      <c r="G51" s="74">
        <f t="shared" si="19"/>
        <v>1120289</v>
      </c>
      <c r="H51" s="74">
        <f t="shared" ca="1" si="19"/>
        <v>1219798.3835490148</v>
      </c>
      <c r="I51" s="74">
        <f t="shared" ref="I51:L51" ca="1" si="20">SUM(I45:I50)</f>
        <v>1258680.7078463333</v>
      </c>
      <c r="J51" s="74">
        <f t="shared" ca="1" si="20"/>
        <v>1299620.5958987316</v>
      </c>
      <c r="K51" s="74">
        <f t="shared" ca="1" si="20"/>
        <v>1342719.6772138472</v>
      </c>
      <c r="L51" s="74">
        <f t="shared" ca="1" si="20"/>
        <v>1388084.6765185124</v>
      </c>
    </row>
    <row r="52" spans="2:14" s="180" customFormat="1" ht="15.75" outlineLevel="1" x14ac:dyDescent="0.25">
      <c r="B52"/>
      <c r="C52" s="1"/>
      <c r="D52" s="27"/>
      <c r="E52"/>
      <c r="F52"/>
      <c r="G52" s="51"/>
      <c r="H52" s="100"/>
      <c r="I52" s="100"/>
      <c r="J52" s="100"/>
      <c r="K52" s="100"/>
      <c r="L52" s="100"/>
    </row>
    <row r="53" spans="2:14" s="180" customFormat="1" ht="15.75" outlineLevel="1" x14ac:dyDescent="0.25">
      <c r="B53"/>
      <c r="C53" s="1" t="s">
        <v>144</v>
      </c>
      <c r="D53" s="27"/>
      <c r="E53"/>
      <c r="F53"/>
      <c r="G53"/>
      <c r="H53" s="100"/>
      <c r="I53" s="100"/>
      <c r="J53" s="100"/>
      <c r="K53" s="100"/>
      <c r="L53" s="100"/>
    </row>
    <row r="54" spans="2:14" s="180" customFormat="1" ht="15.75" outlineLevel="1" x14ac:dyDescent="0.25">
      <c r="B54"/>
      <c r="C54" s="13" t="s">
        <v>145</v>
      </c>
      <c r="D54" s="14" t="s">
        <v>3</v>
      </c>
      <c r="E54" s="68">
        <f>17587+59707</f>
        <v>77294</v>
      </c>
      <c r="F54" s="68">
        <f>17587+59707</f>
        <v>77294</v>
      </c>
      <c r="G54" s="68">
        <f>17587+59709</f>
        <v>77296</v>
      </c>
      <c r="H54" s="19">
        <f ca="1">+G54+H137+H252</f>
        <v>77296.09180130306</v>
      </c>
      <c r="I54" s="19">
        <f t="shared" ref="I54:L54" ca="1" si="21">+H54+I137+I252</f>
        <v>77296.20410260612</v>
      </c>
      <c r="J54" s="19">
        <f t="shared" ca="1" si="21"/>
        <v>77296.298403909168</v>
      </c>
      <c r="K54" s="19">
        <f t="shared" ca="1" si="21"/>
        <v>77296.387705212226</v>
      </c>
      <c r="L54" s="19">
        <f t="shared" ca="1" si="21"/>
        <v>77296.477006515284</v>
      </c>
    </row>
    <row r="55" spans="2:14" s="180" customFormat="1" ht="15.75" outlineLevel="1" x14ac:dyDescent="0.25">
      <c r="B55"/>
      <c r="C55" s="13" t="s">
        <v>146</v>
      </c>
      <c r="D55" s="14" t="s">
        <v>3</v>
      </c>
      <c r="E55" s="67"/>
      <c r="F55" s="67">
        <v>-17</v>
      </c>
      <c r="G55" s="68">
        <v>0</v>
      </c>
      <c r="H55" s="19">
        <f>G55</f>
        <v>0</v>
      </c>
      <c r="I55" s="19">
        <f t="shared" ref="I55:L56" si="22">H55</f>
        <v>0</v>
      </c>
      <c r="J55" s="19">
        <f t="shared" si="22"/>
        <v>0</v>
      </c>
      <c r="K55" s="19">
        <f t="shared" si="22"/>
        <v>0</v>
      </c>
      <c r="L55" s="19">
        <f t="shared" si="22"/>
        <v>0</v>
      </c>
    </row>
    <row r="56" spans="2:14" s="180" customFormat="1" ht="15.75" outlineLevel="1" x14ac:dyDescent="0.25">
      <c r="B56"/>
      <c r="C56" s="13" t="s">
        <v>147</v>
      </c>
      <c r="D56" s="14" t="s">
        <v>3</v>
      </c>
      <c r="E56" s="67">
        <f>172+4218+4+62</f>
        <v>4456</v>
      </c>
      <c r="F56" s="67">
        <f>3993+50-37</f>
        <v>4006</v>
      </c>
      <c r="G56" s="68">
        <f>3497+204-137</f>
        <v>3564</v>
      </c>
      <c r="H56" s="19">
        <f>G56</f>
        <v>3564</v>
      </c>
      <c r="I56" s="19">
        <f t="shared" si="22"/>
        <v>3564</v>
      </c>
      <c r="J56" s="19">
        <f t="shared" si="22"/>
        <v>3564</v>
      </c>
      <c r="K56" s="19">
        <f t="shared" si="22"/>
        <v>3564</v>
      </c>
      <c r="L56" s="19">
        <f t="shared" si="22"/>
        <v>3564</v>
      </c>
    </row>
    <row r="57" spans="2:14" s="180" customFormat="1" ht="15.75" outlineLevel="1" x14ac:dyDescent="0.25">
      <c r="B57"/>
      <c r="C57" s="13" t="s">
        <v>148</v>
      </c>
      <c r="D57" s="14" t="s">
        <v>3</v>
      </c>
      <c r="E57" s="67">
        <v>60634</v>
      </c>
      <c r="F57" s="67">
        <v>72144</v>
      </c>
      <c r="G57" s="68">
        <v>83353</v>
      </c>
      <c r="H57" s="19">
        <f ca="1">G57+H194-H251</f>
        <v>7511.4600273748947</v>
      </c>
      <c r="I57" s="19">
        <f t="shared" ref="I57:L57" ca="1" si="23">H57+I194-I251</f>
        <v>13052.259671208183</v>
      </c>
      <c r="J57" s="19">
        <f t="shared" ca="1" si="23"/>
        <v>18928.111840490194</v>
      </c>
      <c r="K57" s="19">
        <f t="shared" ca="1" si="23"/>
        <v>25159.974288476344</v>
      </c>
      <c r="L57" s="19">
        <f t="shared" ca="1" si="23"/>
        <v>31769.978459897015</v>
      </c>
    </row>
    <row r="58" spans="2:14" s="180" customFormat="1" ht="15.75" outlineLevel="1" x14ac:dyDescent="0.25">
      <c r="B58"/>
      <c r="C58" s="13" t="s">
        <v>400</v>
      </c>
      <c r="D58" s="14" t="s">
        <v>3</v>
      </c>
      <c r="E58" s="67">
        <v>10421</v>
      </c>
      <c r="F58" s="67">
        <v>18572</v>
      </c>
      <c r="G58" s="68">
        <v>22162</v>
      </c>
      <c r="H58" s="19">
        <f>G58</f>
        <v>22162</v>
      </c>
      <c r="I58" s="19">
        <f t="shared" ref="I58:L58" si="24">H58</f>
        <v>22162</v>
      </c>
      <c r="J58" s="19">
        <f t="shared" si="24"/>
        <v>22162</v>
      </c>
      <c r="K58" s="19">
        <f t="shared" si="24"/>
        <v>22162</v>
      </c>
      <c r="L58" s="19">
        <f t="shared" si="24"/>
        <v>22162</v>
      </c>
      <c r="N58" s="205"/>
    </row>
    <row r="59" spans="2:14" s="180" customFormat="1" ht="15.75" outlineLevel="1" x14ac:dyDescent="0.25">
      <c r="B59"/>
      <c r="C59" s="13" t="s">
        <v>149</v>
      </c>
      <c r="D59" s="14" t="s">
        <v>3</v>
      </c>
      <c r="E59" s="67"/>
      <c r="F59" s="67"/>
      <c r="G59" s="68"/>
      <c r="H59" s="19">
        <f>G59</f>
        <v>0</v>
      </c>
      <c r="I59" s="19">
        <f t="shared" ref="I59:L59" si="25">H59</f>
        <v>0</v>
      </c>
      <c r="J59" s="19">
        <f t="shared" si="25"/>
        <v>0</v>
      </c>
      <c r="K59" s="19">
        <f t="shared" si="25"/>
        <v>0</v>
      </c>
      <c r="L59" s="19">
        <f t="shared" si="25"/>
        <v>0</v>
      </c>
    </row>
    <row r="60" spans="2:14" s="180" customFormat="1" ht="15.75" outlineLevel="1" x14ac:dyDescent="0.25">
      <c r="B60"/>
      <c r="C60" s="83" t="s">
        <v>150</v>
      </c>
      <c r="D60" s="83"/>
      <c r="E60" s="102">
        <f>SUM(E54:E59)</f>
        <v>152805</v>
      </c>
      <c r="F60" s="102">
        <f t="shared" ref="F60:L60" si="26">SUM(F54:F59)</f>
        <v>171999</v>
      </c>
      <c r="G60" s="102">
        <f t="shared" si="26"/>
        <v>186375</v>
      </c>
      <c r="H60" s="102">
        <f t="shared" ca="1" si="26"/>
        <v>110533.55182867796</v>
      </c>
      <c r="I60" s="102">
        <f t="shared" ca="1" si="26"/>
        <v>116074.46377381431</v>
      </c>
      <c r="J60" s="102">
        <f t="shared" ca="1" si="26"/>
        <v>121950.41024439936</v>
      </c>
      <c r="K60" s="102">
        <f t="shared" ca="1" si="26"/>
        <v>128182.36199368857</v>
      </c>
      <c r="L60" s="102">
        <f t="shared" ca="1" si="26"/>
        <v>134792.4554664123</v>
      </c>
    </row>
    <row r="61" spans="2:14" s="180" customFormat="1" ht="15.75" outlineLevel="1" x14ac:dyDescent="0.25">
      <c r="B61"/>
      <c r="C61" s="13" t="s">
        <v>151</v>
      </c>
      <c r="D61" s="16" t="s">
        <v>3</v>
      </c>
      <c r="E61" s="67"/>
      <c r="F61" s="67"/>
      <c r="G61" s="68">
        <v>0</v>
      </c>
      <c r="H61" s="19">
        <f>G61</f>
        <v>0</v>
      </c>
      <c r="I61" s="19">
        <f t="shared" ref="I61:L61" si="27">H61</f>
        <v>0</v>
      </c>
      <c r="J61" s="19">
        <f t="shared" si="27"/>
        <v>0</v>
      </c>
      <c r="K61" s="19">
        <f t="shared" si="27"/>
        <v>0</v>
      </c>
      <c r="L61" s="19">
        <f t="shared" si="27"/>
        <v>0</v>
      </c>
    </row>
    <row r="62" spans="2:14" s="180" customFormat="1" ht="15.75" outlineLevel="1" x14ac:dyDescent="0.25">
      <c r="B62"/>
      <c r="C62" s="83" t="s">
        <v>152</v>
      </c>
      <c r="D62" s="14" t="s">
        <v>3</v>
      </c>
      <c r="E62" s="74">
        <f>SUM(E60:E61)</f>
        <v>152805</v>
      </c>
      <c r="F62" s="74">
        <f t="shared" ref="F62:L62" si="28">SUM(F60:F61)</f>
        <v>171999</v>
      </c>
      <c r="G62" s="74">
        <f t="shared" si="28"/>
        <v>186375</v>
      </c>
      <c r="H62" s="74">
        <f t="shared" ca="1" si="28"/>
        <v>110533.55182867796</v>
      </c>
      <c r="I62" s="74">
        <f t="shared" ca="1" si="28"/>
        <v>116074.46377381431</v>
      </c>
      <c r="J62" s="74">
        <f t="shared" ca="1" si="28"/>
        <v>121950.41024439936</v>
      </c>
      <c r="K62" s="74">
        <f t="shared" ca="1" si="28"/>
        <v>128182.36199368857</v>
      </c>
      <c r="L62" s="74">
        <f t="shared" ca="1" si="28"/>
        <v>134792.4554664123</v>
      </c>
    </row>
    <row r="63" spans="2:14" s="180" customFormat="1" ht="15.75" outlineLevel="1" x14ac:dyDescent="0.25">
      <c r="B63"/>
      <c r="C63" s="56"/>
      <c r="D63" s="103"/>
      <c r="E63" s="56"/>
      <c r="F63" s="56"/>
      <c r="G63" s="56"/>
      <c r="H63" s="104"/>
      <c r="I63" s="100"/>
      <c r="J63" s="100"/>
      <c r="K63" s="100"/>
      <c r="L63" s="100"/>
    </row>
    <row r="64" spans="2:14" s="180" customFormat="1" ht="15.75" outlineLevel="1" x14ac:dyDescent="0.25">
      <c r="B64"/>
      <c r="C64" s="1" t="s">
        <v>153</v>
      </c>
      <c r="D64" s="14" t="s">
        <v>3</v>
      </c>
      <c r="E64" s="20">
        <f t="shared" ref="E64:L64" si="29">E62+E51</f>
        <v>1109124</v>
      </c>
      <c r="F64" s="20">
        <f t="shared" si="29"/>
        <v>1181681</v>
      </c>
      <c r="G64" s="20">
        <f t="shared" si="29"/>
        <v>1306664</v>
      </c>
      <c r="H64" s="20">
        <f t="shared" ca="1" si="29"/>
        <v>1330331.9353776928</v>
      </c>
      <c r="I64" s="74">
        <f t="shared" ca="1" si="29"/>
        <v>1374755.1716201475</v>
      </c>
      <c r="J64" s="74">
        <f t="shared" ca="1" si="29"/>
        <v>1421571.0061431311</v>
      </c>
      <c r="K64" s="74">
        <f t="shared" ca="1" si="29"/>
        <v>1470902.0392075358</v>
      </c>
      <c r="L64" s="74">
        <f t="shared" ca="1" si="29"/>
        <v>1522877.1319849247</v>
      </c>
    </row>
    <row r="65" spans="2:12" s="180" customFormat="1" ht="15.75" outlineLevel="1" x14ac:dyDescent="0.25">
      <c r="B65"/>
      <c r="C65"/>
      <c r="D65" s="27"/>
      <c r="E65"/>
      <c r="F65"/>
      <c r="G65"/>
      <c r="H65"/>
      <c r="I65"/>
      <c r="J65"/>
      <c r="K65"/>
      <c r="L65"/>
    </row>
    <row r="66" spans="2:12" s="180" customFormat="1" ht="15.75" outlineLevel="1" x14ac:dyDescent="0.25">
      <c r="B66"/>
      <c r="C66" t="s">
        <v>154</v>
      </c>
      <c r="D66" s="14"/>
      <c r="E66" s="105">
        <f t="shared" ref="E66:L66" si="30">+E41-E64</f>
        <v>0</v>
      </c>
      <c r="F66" s="105">
        <f t="shared" si="30"/>
        <v>0</v>
      </c>
      <c r="G66" s="106">
        <f t="shared" si="30"/>
        <v>0</v>
      </c>
      <c r="H66" s="105">
        <f t="shared" ca="1" si="30"/>
        <v>0</v>
      </c>
      <c r="I66" s="105">
        <f t="shared" ca="1" si="30"/>
        <v>0</v>
      </c>
      <c r="J66" s="105">
        <f t="shared" ca="1" si="30"/>
        <v>0</v>
      </c>
      <c r="K66" s="105">
        <f t="shared" ca="1" si="30"/>
        <v>0</v>
      </c>
      <c r="L66" s="105">
        <f t="shared" ca="1" si="30"/>
        <v>0</v>
      </c>
    </row>
    <row r="67" spans="2:12" s="180" customFormat="1" ht="15.75" x14ac:dyDescent="0.25"/>
    <row r="68" spans="2:12" x14ac:dyDescent="0.25">
      <c r="B68" s="224"/>
      <c r="C68" s="224"/>
      <c r="D68" s="224"/>
      <c r="E68" s="225" t="str">
        <f>+$E$26</f>
        <v>Historical</v>
      </c>
      <c r="F68" s="225"/>
      <c r="G68" s="226"/>
      <c r="H68" s="225" t="str">
        <f>+$H$26</f>
        <v>Projected</v>
      </c>
      <c r="I68" s="225"/>
      <c r="J68" s="225"/>
      <c r="K68" s="225"/>
      <c r="L68" s="226"/>
    </row>
    <row r="69" spans="2:12" x14ac:dyDescent="0.25">
      <c r="B69" s="227" t="s">
        <v>342</v>
      </c>
      <c r="C69" s="227"/>
      <c r="D69" s="7" t="str">
        <f>+$D$27</f>
        <v>Units:</v>
      </c>
      <c r="E69" s="8">
        <f>+$E$27</f>
        <v>43465</v>
      </c>
      <c r="F69" s="228">
        <f>+$F$27</f>
        <v>43830</v>
      </c>
      <c r="G69" s="229">
        <f>+$G$27</f>
        <v>44196</v>
      </c>
      <c r="H69" s="8">
        <f>+$H$27</f>
        <v>44561</v>
      </c>
      <c r="I69" s="228">
        <f>+$I$27</f>
        <v>44926</v>
      </c>
      <c r="J69" s="228">
        <f>+$J$27</f>
        <v>45291</v>
      </c>
      <c r="K69" s="228">
        <f>+$K$27</f>
        <v>45657</v>
      </c>
      <c r="L69" s="229">
        <f>+$L$27</f>
        <v>46022</v>
      </c>
    </row>
    <row r="70" spans="2:12" outlineLevel="1" x14ac:dyDescent="0.25">
      <c r="C70" s="230"/>
      <c r="E70" s="231"/>
      <c r="F70" s="231"/>
      <c r="G70" s="231"/>
      <c r="H70" s="231"/>
      <c r="I70" s="231"/>
      <c r="J70" s="231"/>
    </row>
    <row r="71" spans="2:12" outlineLevel="1" x14ac:dyDescent="0.25">
      <c r="C71" s="232" t="s">
        <v>401</v>
      </c>
      <c r="D71" s="14" t="s">
        <v>3</v>
      </c>
      <c r="E71" s="67">
        <f>768035-E72</f>
        <v>307694</v>
      </c>
      <c r="F71" s="67">
        <f>808782-F72</f>
        <v>288227</v>
      </c>
      <c r="G71" s="68">
        <f>835165-G72</f>
        <v>297507</v>
      </c>
      <c r="H71" s="19">
        <f t="shared" ref="H71:L72" si="31">G71*(1+H77)</f>
        <v>312382.35000000003</v>
      </c>
      <c r="I71" s="19">
        <f t="shared" si="31"/>
        <v>328001.46750000003</v>
      </c>
      <c r="J71" s="19">
        <f t="shared" si="31"/>
        <v>344401.54087500006</v>
      </c>
      <c r="K71" s="19">
        <f t="shared" si="31"/>
        <v>361621.6179187501</v>
      </c>
      <c r="L71" s="19">
        <f t="shared" si="31"/>
        <v>379702.69881468761</v>
      </c>
    </row>
    <row r="72" spans="2:12" outlineLevel="1" x14ac:dyDescent="0.25">
      <c r="C72" s="232" t="s">
        <v>343</v>
      </c>
      <c r="D72" s="16" t="s">
        <v>3</v>
      </c>
      <c r="E72" s="117">
        <f>457318+3023</f>
        <v>460341</v>
      </c>
      <c r="F72" s="117">
        <f>519091+1464</f>
        <v>520555</v>
      </c>
      <c r="G72" s="118">
        <f>530304+7354</f>
        <v>537658</v>
      </c>
      <c r="H72" s="119">
        <f t="shared" si="31"/>
        <v>564540.9</v>
      </c>
      <c r="I72" s="119">
        <f t="shared" si="31"/>
        <v>592767.94500000007</v>
      </c>
      <c r="J72" s="119">
        <f t="shared" si="31"/>
        <v>622406.3422500001</v>
      </c>
      <c r="K72" s="119">
        <f t="shared" si="31"/>
        <v>653526.65936250018</v>
      </c>
      <c r="L72" s="119">
        <f t="shared" si="31"/>
        <v>686202.99233062519</v>
      </c>
    </row>
    <row r="73" spans="2:12" outlineLevel="1" x14ac:dyDescent="0.25">
      <c r="C73" s="233" t="s">
        <v>80</v>
      </c>
      <c r="D73" s="14" t="s">
        <v>3</v>
      </c>
      <c r="E73" s="234">
        <f>SUM(E71:E72)</f>
        <v>768035</v>
      </c>
      <c r="F73" s="234">
        <f>SUM(F71:F72)</f>
        <v>808782</v>
      </c>
      <c r="G73" s="256">
        <f>SUM(G71:G72)</f>
        <v>835165</v>
      </c>
      <c r="H73" s="234">
        <f>SUM(H71:H72)</f>
        <v>876923.25</v>
      </c>
      <c r="I73" s="234">
        <f t="shared" ref="I73:L73" si="32">SUM(I71:I72)</f>
        <v>920769.41250000009</v>
      </c>
      <c r="J73" s="234">
        <f t="shared" si="32"/>
        <v>966807.88312500017</v>
      </c>
      <c r="K73" s="234">
        <f t="shared" si="32"/>
        <v>1015148.2772812503</v>
      </c>
      <c r="L73" s="234">
        <f t="shared" si="32"/>
        <v>1065905.6911453127</v>
      </c>
    </row>
    <row r="74" spans="2:12" outlineLevel="1" x14ac:dyDescent="0.25">
      <c r="C74" s="230"/>
      <c r="D74" s="14"/>
      <c r="E74" s="119"/>
      <c r="F74" s="119"/>
      <c r="G74" s="119"/>
      <c r="H74" s="231"/>
      <c r="I74" s="231"/>
      <c r="J74" s="231"/>
    </row>
    <row r="75" spans="2:12" outlineLevel="1" x14ac:dyDescent="0.25">
      <c r="C75" s="38" t="s">
        <v>344</v>
      </c>
      <c r="D75" s="14" t="s">
        <v>3</v>
      </c>
      <c r="E75" s="235">
        <f>+E73</f>
        <v>768035</v>
      </c>
      <c r="F75" s="235">
        <f t="shared" ref="F75:G75" si="33">+F73</f>
        <v>808782</v>
      </c>
      <c r="G75" s="235">
        <f t="shared" si="33"/>
        <v>835165</v>
      </c>
      <c r="H75" s="235">
        <f>+H73+SUM($H82:H82)</f>
        <v>867730.86091369495</v>
      </c>
      <c r="I75" s="235">
        <f>+I73+SUM($H82:I82)</f>
        <v>902026.19250517618</v>
      </c>
      <c r="J75" s="235">
        <f>+J73+SUM($H82:J82)</f>
        <v>938136.35467909661</v>
      </c>
      <c r="K75" s="235">
        <f>+K73+SUM($H82:K82)</f>
        <v>976150.98759269633</v>
      </c>
      <c r="L75" s="235">
        <f>+L73+SUM($H82:L82)</f>
        <v>1016164.2255335184</v>
      </c>
    </row>
    <row r="76" spans="2:12" outlineLevel="1" x14ac:dyDescent="0.25">
      <c r="C76" s="230"/>
      <c r="F76" s="231"/>
      <c r="G76" s="231"/>
      <c r="H76" s="231"/>
      <c r="I76" s="231"/>
      <c r="J76" s="231"/>
    </row>
    <row r="77" spans="2:12" outlineLevel="1" x14ac:dyDescent="0.25">
      <c r="C77" s="230" t="s">
        <v>345</v>
      </c>
      <c r="D77" s="14" t="s">
        <v>11</v>
      </c>
      <c r="E77" s="236" t="str">
        <f>IFERROR(E71/D71-1,"N/A")</f>
        <v>N/A</v>
      </c>
      <c r="F77" s="236">
        <f t="shared" ref="F77:G78" si="34">IFERROR(F71/E71-1,"N/A")</f>
        <v>-6.3267402029288822E-2</v>
      </c>
      <c r="G77" s="272">
        <f t="shared" si="34"/>
        <v>3.2196844847984352E-2</v>
      </c>
      <c r="H77" s="159">
        <v>0.05</v>
      </c>
      <c r="I77" s="159">
        <v>0.05</v>
      </c>
      <c r="J77" s="159">
        <v>0.05</v>
      </c>
      <c r="K77" s="159">
        <v>0.05</v>
      </c>
      <c r="L77" s="159">
        <v>0.05</v>
      </c>
    </row>
    <row r="78" spans="2:12" outlineLevel="1" x14ac:dyDescent="0.25">
      <c r="C78" s="230" t="s">
        <v>346</v>
      </c>
      <c r="D78" s="14" t="s">
        <v>11</v>
      </c>
      <c r="E78" s="236" t="str">
        <f>IFERROR(E72/D72-1,"N/A")</f>
        <v>N/A</v>
      </c>
      <c r="F78" s="236">
        <f t="shared" si="34"/>
        <v>0.13080303514134095</v>
      </c>
      <c r="G78" s="272">
        <f t="shared" si="34"/>
        <v>3.2855317881876012E-2</v>
      </c>
      <c r="H78" s="159">
        <v>0.05</v>
      </c>
      <c r="I78" s="159">
        <v>0.05</v>
      </c>
      <c r="J78" s="159">
        <v>0.05</v>
      </c>
      <c r="K78" s="159">
        <v>0.05</v>
      </c>
      <c r="L78" s="159">
        <v>0.05</v>
      </c>
    </row>
    <row r="79" spans="2:12" outlineLevel="1" x14ac:dyDescent="0.25">
      <c r="C79" s="230"/>
      <c r="E79" s="231"/>
      <c r="F79" s="231"/>
      <c r="G79" s="246"/>
      <c r="H79" s="231"/>
      <c r="I79" s="231"/>
      <c r="J79" s="231"/>
    </row>
    <row r="80" spans="2:12" outlineLevel="1" x14ac:dyDescent="0.25">
      <c r="C80" s="230" t="s">
        <v>254</v>
      </c>
      <c r="D80" s="14" t="s">
        <v>3</v>
      </c>
      <c r="E80" s="117">
        <f>6018+1128+43401</f>
        <v>50547</v>
      </c>
      <c r="F80" s="119">
        <f>+E83</f>
        <v>44063</v>
      </c>
      <c r="G80" s="235">
        <f>+F83</f>
        <v>37335</v>
      </c>
      <c r="H80" s="119">
        <f>+G83</f>
        <v>42827</v>
      </c>
      <c r="I80" s="119">
        <f t="shared" ref="I80:L80" si="35">+H83</f>
        <v>48787.942109240641</v>
      </c>
      <c r="J80" s="119">
        <f t="shared" si="35"/>
        <v>54985.411130066903</v>
      </c>
      <c r="K80" s="119">
        <f t="shared" si="35"/>
        <v>61431.91054079085</v>
      </c>
      <c r="L80" s="119">
        <f t="shared" si="35"/>
        <v>68140.561540660754</v>
      </c>
    </row>
    <row r="81" spans="3:12" outlineLevel="1" x14ac:dyDescent="0.25">
      <c r="C81" s="232" t="s">
        <v>347</v>
      </c>
      <c r="D81" s="14" t="s">
        <v>3</v>
      </c>
      <c r="E81" s="117">
        <v>5187</v>
      </c>
      <c r="F81" s="117">
        <v>7639</v>
      </c>
      <c r="G81" s="118">
        <v>14394</v>
      </c>
      <c r="H81" s="119">
        <f>+H85*AVERAGE(G$75,H$75)</f>
        <v>15153.331195545725</v>
      </c>
      <c r="I81" s="119">
        <f>+I85*AVERAGE(H$75,I$75)</f>
        <v>15748.299929345134</v>
      </c>
      <c r="J81" s="119">
        <f>+J85*AVERAGE(I$75,J$75)</f>
        <v>16374.807861803565</v>
      </c>
      <c r="K81" s="119">
        <f>+K85*AVERAGE(J$75,K$75)</f>
        <v>17034.41224252035</v>
      </c>
      <c r="L81" s="119">
        <f>+L85*AVERAGE(K$75,L$75)</f>
        <v>17728.748400520002</v>
      </c>
    </row>
    <row r="82" spans="3:12" outlineLevel="1" x14ac:dyDescent="0.25">
      <c r="C82" s="232" t="s">
        <v>348</v>
      </c>
      <c r="D82" s="16" t="s">
        <v>3</v>
      </c>
      <c r="E82" s="244">
        <f>E83-SUM(E80:E81)</f>
        <v>-11671</v>
      </c>
      <c r="F82" s="244">
        <f>F83-SUM(F80:F81)</f>
        <v>-14367</v>
      </c>
      <c r="G82" s="273">
        <f>G83-SUM(G80:G81)</f>
        <v>-8902</v>
      </c>
      <c r="H82" s="244">
        <f>H86*G75</f>
        <v>-9192.3890863050856</v>
      </c>
      <c r="I82" s="244">
        <f t="shared" ref="I82:L82" si="36">I86*H75</f>
        <v>-9550.8309085188739</v>
      </c>
      <c r="J82" s="244">
        <f t="shared" si="36"/>
        <v>-9928.3084510796216</v>
      </c>
      <c r="K82" s="244">
        <f t="shared" si="36"/>
        <v>-10325.761242650451</v>
      </c>
      <c r="L82" s="244">
        <f t="shared" si="36"/>
        <v>-10744.175923240356</v>
      </c>
    </row>
    <row r="83" spans="3:12" outlineLevel="1" x14ac:dyDescent="0.25">
      <c r="C83" s="73" t="s">
        <v>256</v>
      </c>
      <c r="D83" s="14" t="s">
        <v>3</v>
      </c>
      <c r="E83" s="235">
        <v>44063</v>
      </c>
      <c r="F83" s="118">
        <v>37335</v>
      </c>
      <c r="G83" s="118">
        <v>42827</v>
      </c>
      <c r="H83" s="235">
        <f>SUM(H80:H82)</f>
        <v>48787.942109240641</v>
      </c>
      <c r="I83" s="235">
        <f>SUM(I80:I82)</f>
        <v>54985.411130066903</v>
      </c>
      <c r="J83" s="235">
        <f>SUM(J80:J82)</f>
        <v>61431.91054079085</v>
      </c>
      <c r="K83" s="235">
        <f>SUM(K80:K82)</f>
        <v>68140.561540660754</v>
      </c>
      <c r="L83" s="235">
        <f>SUM(L80:L82)</f>
        <v>75125.134017940392</v>
      </c>
    </row>
    <row r="84" spans="3:12" outlineLevel="1" x14ac:dyDescent="0.25">
      <c r="C84" s="38"/>
      <c r="E84" s="117"/>
      <c r="F84" s="117"/>
      <c r="G84" s="118"/>
      <c r="H84" s="117"/>
      <c r="I84" s="117"/>
      <c r="J84" s="117"/>
      <c r="K84" s="117"/>
      <c r="L84" s="117"/>
    </row>
    <row r="85" spans="3:12" outlineLevel="1" x14ac:dyDescent="0.25">
      <c r="C85" s="230" t="s">
        <v>350</v>
      </c>
      <c r="D85" s="14" t="s">
        <v>11</v>
      </c>
      <c r="E85" s="238" t="str">
        <f>IFERROR(+E81/D$75,"N/A")</f>
        <v>N/A</v>
      </c>
      <c r="F85" s="238">
        <f t="shared" ref="F85:G85" si="37">IFERROR(+F81/E$75,"N/A")</f>
        <v>9.9461613077529015E-3</v>
      </c>
      <c r="G85" s="274">
        <f t="shared" si="37"/>
        <v>1.7797131983649489E-2</v>
      </c>
      <c r="H85" s="239">
        <f>G85</f>
        <v>1.7797131983649489E-2</v>
      </c>
      <c r="I85" s="239">
        <f t="shared" ref="I85:L85" si="38">H85</f>
        <v>1.7797131983649489E-2</v>
      </c>
      <c r="J85" s="239">
        <f t="shared" si="38"/>
        <v>1.7797131983649489E-2</v>
      </c>
      <c r="K85" s="239">
        <f t="shared" si="38"/>
        <v>1.7797131983649489E-2</v>
      </c>
      <c r="L85" s="239">
        <f t="shared" si="38"/>
        <v>1.7797131983649489E-2</v>
      </c>
    </row>
    <row r="86" spans="3:12" outlineLevel="1" x14ac:dyDescent="0.25">
      <c r="C86" s="230" t="s">
        <v>351</v>
      </c>
      <c r="D86" s="14" t="s">
        <v>11</v>
      </c>
      <c r="E86" s="238" t="str">
        <f>IFERROR(+E82/D$75,"N/A")</f>
        <v>N/A</v>
      </c>
      <c r="F86" s="238">
        <f t="shared" ref="F86:G86" si="39">IFERROR(+F82/E$75,"N/A")</f>
        <v>-1.8706178754874452E-2</v>
      </c>
      <c r="G86" s="274">
        <f t="shared" si="39"/>
        <v>-1.1006674233600649E-2</v>
      </c>
      <c r="H86" s="240">
        <f>G86</f>
        <v>-1.1006674233600649E-2</v>
      </c>
      <c r="I86" s="240">
        <f t="shared" ref="I86:L86" si="40">H86</f>
        <v>-1.1006674233600649E-2</v>
      </c>
      <c r="J86" s="240">
        <f t="shared" si="40"/>
        <v>-1.1006674233600649E-2</v>
      </c>
      <c r="K86" s="240">
        <f t="shared" si="40"/>
        <v>-1.1006674233600649E-2</v>
      </c>
      <c r="L86" s="240">
        <f t="shared" si="40"/>
        <v>-1.1006674233600649E-2</v>
      </c>
    </row>
    <row r="87" spans="3:12" outlineLevel="1" x14ac:dyDescent="0.25">
      <c r="C87" s="38"/>
      <c r="E87" s="241"/>
      <c r="F87" s="241"/>
      <c r="G87" s="254"/>
      <c r="H87" s="241"/>
      <c r="I87" s="241"/>
      <c r="J87" s="241"/>
      <c r="K87" s="241"/>
      <c r="L87" s="241"/>
    </row>
    <row r="88" spans="3:12" outlineLevel="1" x14ac:dyDescent="0.25">
      <c r="C88" s="1" t="s">
        <v>352</v>
      </c>
      <c r="E88" s="231"/>
      <c r="F88" s="231"/>
      <c r="G88" s="246"/>
      <c r="H88" s="231"/>
      <c r="I88" s="231"/>
      <c r="J88" s="231"/>
    </row>
    <row r="89" spans="3:12" outlineLevel="1" x14ac:dyDescent="0.25">
      <c r="C89" s="232" t="s">
        <v>353</v>
      </c>
      <c r="D89" s="14" t="s">
        <v>11</v>
      </c>
      <c r="E89" s="238">
        <f>E29/E45</f>
        <v>0.18135094952135697</v>
      </c>
      <c r="F89" s="238">
        <f t="shared" ref="F89:G89" si="41">F29/F45</f>
        <v>0.1094615833007445</v>
      </c>
      <c r="G89" s="274">
        <f t="shared" si="41"/>
        <v>0.17270218182683386</v>
      </c>
      <c r="H89" s="159">
        <f>AVERAGE(E89:G89)</f>
        <v>0.15450490488297844</v>
      </c>
      <c r="I89" s="159">
        <f>+H89</f>
        <v>0.15450490488297844</v>
      </c>
      <c r="J89" s="159">
        <f t="shared" ref="J89:L89" si="42">+I89</f>
        <v>0.15450490488297844</v>
      </c>
      <c r="K89" s="159">
        <f t="shared" si="42"/>
        <v>0.15450490488297844</v>
      </c>
      <c r="L89" s="159">
        <f t="shared" si="42"/>
        <v>0.15450490488297844</v>
      </c>
    </row>
    <row r="90" spans="3:12" outlineLevel="1" x14ac:dyDescent="0.25">
      <c r="C90" s="232" t="s">
        <v>404</v>
      </c>
      <c r="D90" s="14" t="s">
        <v>11</v>
      </c>
      <c r="E90" s="238">
        <f>E30/E45</f>
        <v>1.042765258983081E-2</v>
      </c>
      <c r="F90" s="238">
        <f t="shared" ref="F90:G90" si="43">F30/F45</f>
        <v>1.1119555512923623E-2</v>
      </c>
      <c r="G90" s="274">
        <f t="shared" si="43"/>
        <v>1.1799212232246566E-2</v>
      </c>
      <c r="H90" s="159">
        <f>AVERAGE(E90:G90)</f>
        <v>1.1115473445000334E-2</v>
      </c>
      <c r="I90" s="159">
        <f>H90</f>
        <v>1.1115473445000334E-2</v>
      </c>
      <c r="J90" s="159">
        <f t="shared" ref="J90:L90" si="44">I90</f>
        <v>1.1115473445000334E-2</v>
      </c>
      <c r="K90" s="159">
        <f t="shared" si="44"/>
        <v>1.1115473445000334E-2</v>
      </c>
      <c r="L90" s="159">
        <f t="shared" si="44"/>
        <v>1.1115473445000334E-2</v>
      </c>
    </row>
    <row r="91" spans="3:12" outlineLevel="1" x14ac:dyDescent="0.25">
      <c r="C91" s="232" t="s">
        <v>402</v>
      </c>
      <c r="D91" s="14" t="s">
        <v>11</v>
      </c>
      <c r="E91" s="236" t="str">
        <f>IFERROR(E35/D35-1,"N/A")</f>
        <v>N/A</v>
      </c>
      <c r="F91" s="236">
        <f t="shared" ref="F91:G91" si="45">IFERROR(F35/E35-1,"N/A")</f>
        <v>4.2337925130360388E-2</v>
      </c>
      <c r="G91" s="272">
        <f t="shared" si="45"/>
        <v>-6.9425683701798135E-2</v>
      </c>
      <c r="H91" s="159">
        <v>0</v>
      </c>
      <c r="I91" s="159">
        <v>0</v>
      </c>
      <c r="J91" s="159">
        <v>0</v>
      </c>
      <c r="K91" s="159">
        <v>0</v>
      </c>
      <c r="L91" s="159">
        <v>0</v>
      </c>
    </row>
    <row r="92" spans="3:12" outlineLevel="1" x14ac:dyDescent="0.25">
      <c r="C92" s="232" t="s">
        <v>405</v>
      </c>
      <c r="D92" s="14" t="s">
        <v>11</v>
      </c>
      <c r="E92" s="236">
        <f>E37/E32</f>
        <v>2.4636898058031209E-2</v>
      </c>
      <c r="F92" s="236">
        <f t="shared" ref="F92:G92" si="46">F37/F32</f>
        <v>3.0460618559760233E-2</v>
      </c>
      <c r="G92" s="272">
        <f t="shared" si="46"/>
        <v>3.1859817283211023E-2</v>
      </c>
      <c r="H92" s="159">
        <v>3.3000000000000002E-2</v>
      </c>
      <c r="I92" s="159">
        <f>H92</f>
        <v>3.3000000000000002E-2</v>
      </c>
      <c r="J92" s="159">
        <f t="shared" ref="J92:L92" si="47">I92</f>
        <v>3.3000000000000002E-2</v>
      </c>
      <c r="K92" s="159">
        <f t="shared" si="47"/>
        <v>3.3000000000000002E-2</v>
      </c>
      <c r="L92" s="159">
        <f t="shared" si="47"/>
        <v>3.3000000000000002E-2</v>
      </c>
    </row>
    <row r="93" spans="3:12" outlineLevel="1" x14ac:dyDescent="0.25">
      <c r="C93" s="232" t="s">
        <v>406</v>
      </c>
      <c r="D93" s="14" t="s">
        <v>11</v>
      </c>
      <c r="E93" s="236">
        <f>E38/E32</f>
        <v>4.7992604503701002E-3</v>
      </c>
      <c r="F93" s="236">
        <f t="shared" ref="F93:G93" si="48">F38/F32</f>
        <v>7.1873508559784959E-3</v>
      </c>
      <c r="G93" s="272">
        <f t="shared" si="48"/>
        <v>9.9170286056612256E-3</v>
      </c>
      <c r="H93" s="159">
        <f>G93+0.2%</f>
        <v>1.1917028605661226E-2</v>
      </c>
      <c r="I93" s="159">
        <f t="shared" ref="I93:L93" si="49">H93+0.2%</f>
        <v>1.3917028605661226E-2</v>
      </c>
      <c r="J93" s="159">
        <f t="shared" si="49"/>
        <v>1.5917028605661226E-2</v>
      </c>
      <c r="K93" s="159">
        <f t="shared" si="49"/>
        <v>1.7917028605661224E-2</v>
      </c>
      <c r="L93" s="159">
        <f t="shared" si="49"/>
        <v>1.9917028605661226E-2</v>
      </c>
    </row>
    <row r="94" spans="3:12" outlineLevel="1" x14ac:dyDescent="0.25">
      <c r="C94" s="232" t="s">
        <v>354</v>
      </c>
      <c r="D94" s="14" t="s">
        <v>11</v>
      </c>
      <c r="E94" s="236">
        <f>+E40/SUM(E45)</f>
        <v>1.7095840687290607E-2</v>
      </c>
      <c r="F94" s="236">
        <f t="shared" ref="F94:G94" si="50">+F40/SUM(F45)</f>
        <v>2.2849075583954982E-2</v>
      </c>
      <c r="G94" s="272">
        <f t="shared" si="50"/>
        <v>1.4865277005703854E-2</v>
      </c>
      <c r="H94" s="159">
        <f>AVERAGE(E94:G94)</f>
        <v>1.8270064425649813E-2</v>
      </c>
      <c r="I94" s="159">
        <f>H94</f>
        <v>1.8270064425649813E-2</v>
      </c>
      <c r="J94" s="159">
        <f t="shared" ref="J94:L94" si="51">I94</f>
        <v>1.8270064425649813E-2</v>
      </c>
      <c r="K94" s="159">
        <f t="shared" si="51"/>
        <v>1.8270064425649813E-2</v>
      </c>
      <c r="L94" s="159">
        <f t="shared" si="51"/>
        <v>1.8270064425649813E-2</v>
      </c>
    </row>
    <row r="95" spans="3:12" outlineLevel="1" x14ac:dyDescent="0.25">
      <c r="E95" s="231"/>
      <c r="F95" s="231"/>
      <c r="G95" s="246"/>
      <c r="H95" s="231"/>
      <c r="I95" s="231"/>
      <c r="J95" s="231"/>
    </row>
    <row r="96" spans="3:12" outlineLevel="1" x14ac:dyDescent="0.25">
      <c r="C96" s="1" t="s">
        <v>137</v>
      </c>
      <c r="E96" s="231"/>
      <c r="F96" s="231"/>
      <c r="G96" s="246"/>
      <c r="H96" s="231"/>
      <c r="I96" s="231"/>
      <c r="J96" s="231"/>
    </row>
    <row r="97" spans="2:12" outlineLevel="1" x14ac:dyDescent="0.25">
      <c r="C97" s="232" t="s">
        <v>403</v>
      </c>
      <c r="D97" s="14" t="s">
        <v>11</v>
      </c>
      <c r="E97" s="236">
        <f>+E32/E45</f>
        <v>1.037140916450493</v>
      </c>
      <c r="F97" s="236">
        <f t="shared" ref="F97:G97" si="52">+F32/F45</f>
        <v>0.99461361942638737</v>
      </c>
      <c r="G97" s="272">
        <f t="shared" si="52"/>
        <v>0.90265055081015488</v>
      </c>
      <c r="H97" s="159">
        <v>0.9</v>
      </c>
      <c r="I97" s="159">
        <v>0.9</v>
      </c>
      <c r="J97" s="159">
        <v>0.9</v>
      </c>
      <c r="K97" s="159">
        <v>0.9</v>
      </c>
      <c r="L97" s="159">
        <v>0.9</v>
      </c>
    </row>
    <row r="98" spans="2:12" outlineLevel="1" x14ac:dyDescent="0.25">
      <c r="C98" s="232" t="s">
        <v>355</v>
      </c>
      <c r="D98" s="14" t="s">
        <v>11</v>
      </c>
      <c r="E98" s="236">
        <f>E50/E32</f>
        <v>1.6090412546303227E-2</v>
      </c>
      <c r="F98" s="236">
        <f t="shared" ref="F98:G98" si="53">F50/F32</f>
        <v>2.6115813655595697E-2</v>
      </c>
      <c r="G98" s="272">
        <f t="shared" si="53"/>
        <v>2.5709749887674105E-2</v>
      </c>
      <c r="H98" s="159">
        <f>AVERAGE(E98:G98)</f>
        <v>2.2638658696524344E-2</v>
      </c>
      <c r="I98" s="159">
        <f>H98</f>
        <v>2.2638658696524344E-2</v>
      </c>
      <c r="J98" s="159">
        <f t="shared" ref="J98:L98" si="54">I98</f>
        <v>2.2638658696524344E-2</v>
      </c>
      <c r="K98" s="159">
        <f t="shared" si="54"/>
        <v>2.2638658696524344E-2</v>
      </c>
      <c r="L98" s="159">
        <f t="shared" si="54"/>
        <v>2.2638658696524344E-2</v>
      </c>
    </row>
    <row r="99" spans="2:12" outlineLevel="1" x14ac:dyDescent="0.25">
      <c r="C99" s="232"/>
      <c r="E99" s="231"/>
      <c r="F99" s="231"/>
      <c r="G99" s="231"/>
      <c r="H99" s="231"/>
      <c r="I99" s="231"/>
      <c r="J99" s="231"/>
    </row>
    <row r="100" spans="2:12" outlineLevel="1" x14ac:dyDescent="0.25">
      <c r="C100" s="38" t="s">
        <v>356</v>
      </c>
    </row>
    <row r="101" spans="2:12" outlineLevel="1" x14ac:dyDescent="0.25">
      <c r="C101" s="232" t="s">
        <v>357</v>
      </c>
      <c r="D101" s="14" t="s">
        <v>3</v>
      </c>
      <c r="E101" s="19"/>
      <c r="F101" s="19"/>
      <c r="G101" s="19"/>
      <c r="H101" s="19">
        <f>SUM(H29:H30)+G31+SUM(H34:H40)</f>
        <v>1330331.9353776928</v>
      </c>
      <c r="I101" s="19">
        <f t="shared" ref="I101:L101" ca="1" si="55">SUM(I29:I30)+H31+SUM(I34:I40)</f>
        <v>1368781.6099576489</v>
      </c>
      <c r="J101" s="19">
        <f t="shared" ca="1" si="55"/>
        <v>1415367.4149488905</v>
      </c>
      <c r="K101" s="19">
        <f t="shared" ca="1" si="55"/>
        <v>1464456.105892824</v>
      </c>
      <c r="L101" s="19">
        <f t="shared" ca="1" si="55"/>
        <v>1516176.0016818098</v>
      </c>
    </row>
    <row r="102" spans="2:12" outlineLevel="1" x14ac:dyDescent="0.25">
      <c r="C102" s="232" t="s">
        <v>358</v>
      </c>
      <c r="D102" s="14" t="s">
        <v>3</v>
      </c>
      <c r="F102" s="123"/>
      <c r="G102" s="123"/>
      <c r="H102" s="119">
        <f ca="1">SUM(H47:H50)+G46+H45+SUM(H54:H59)</f>
        <v>1268516.215644561</v>
      </c>
      <c r="I102" s="119">
        <f t="shared" ref="I102:L102" ca="1" si="56">SUM(I47:I50)+H46+I45+SUM(I54:I59)</f>
        <v>1374755.1716201475</v>
      </c>
      <c r="J102" s="119">
        <f t="shared" ca="1" si="56"/>
        <v>1421571.0061431313</v>
      </c>
      <c r="K102" s="119">
        <f t="shared" ca="1" si="56"/>
        <v>1470902.0392075358</v>
      </c>
      <c r="L102" s="119">
        <f t="shared" ca="1" si="56"/>
        <v>1522877.1319849247</v>
      </c>
    </row>
    <row r="103" spans="2:12" outlineLevel="1" x14ac:dyDescent="0.25">
      <c r="C103" s="232" t="s">
        <v>407</v>
      </c>
      <c r="D103" s="14" t="s">
        <v>3</v>
      </c>
      <c r="H103" s="119">
        <f ca="1">MAX(H102-H101,0)</f>
        <v>0</v>
      </c>
      <c r="I103" s="119">
        <f t="shared" ref="I103:L103" ca="1" si="57">MAX(I102-I101,0)</f>
        <v>5973.5616624986287</v>
      </c>
      <c r="J103" s="119">
        <f t="shared" ca="1" si="57"/>
        <v>6203.591194240842</v>
      </c>
      <c r="K103" s="119">
        <f t="shared" ca="1" si="57"/>
        <v>6445.9333147117868</v>
      </c>
      <c r="L103" s="119">
        <f t="shared" ca="1" si="57"/>
        <v>6701.1303031148855</v>
      </c>
    </row>
    <row r="104" spans="2:12" outlineLevel="1" x14ac:dyDescent="0.25">
      <c r="C104" s="232" t="s">
        <v>408</v>
      </c>
      <c r="D104" s="14" t="s">
        <v>3</v>
      </c>
      <c r="F104" s="243"/>
      <c r="G104" s="243"/>
      <c r="H104" s="119">
        <f ca="1">MAX(H101-H102,0)</f>
        <v>61815.719733131817</v>
      </c>
      <c r="I104" s="119">
        <f t="shared" ref="I104:L104" ca="1" si="58">MAX(I101-I102,0)</f>
        <v>0</v>
      </c>
      <c r="J104" s="119">
        <f t="shared" ca="1" si="58"/>
        <v>0</v>
      </c>
      <c r="K104" s="119">
        <f t="shared" ca="1" si="58"/>
        <v>0</v>
      </c>
      <c r="L104" s="119">
        <f t="shared" ca="1" si="58"/>
        <v>0</v>
      </c>
    </row>
    <row r="105" spans="2:12" x14ac:dyDescent="0.25">
      <c r="C105" s="232"/>
      <c r="F105" s="243"/>
      <c r="G105" s="243"/>
      <c r="H105" s="243"/>
      <c r="I105" s="243"/>
      <c r="J105" s="243"/>
    </row>
    <row r="106" spans="2:12" x14ac:dyDescent="0.25">
      <c r="B106" s="224"/>
      <c r="C106" s="224"/>
      <c r="D106" s="224"/>
      <c r="E106" s="225" t="str">
        <f>+$E$26</f>
        <v>Historical</v>
      </c>
      <c r="F106" s="225"/>
      <c r="G106" s="226"/>
      <c r="H106" s="225" t="str">
        <f>+$H$26</f>
        <v>Projected</v>
      </c>
      <c r="I106" s="225"/>
      <c r="J106" s="225"/>
      <c r="K106" s="225"/>
      <c r="L106" s="226"/>
    </row>
    <row r="107" spans="2:12" x14ac:dyDescent="0.25">
      <c r="B107" s="227" t="s">
        <v>359</v>
      </c>
      <c r="C107" s="227"/>
      <c r="D107" s="7" t="str">
        <f>+$D$27</f>
        <v>Units:</v>
      </c>
      <c r="E107" s="8">
        <f>+$E$27</f>
        <v>43465</v>
      </c>
      <c r="F107" s="228">
        <f>+$F$27</f>
        <v>43830</v>
      </c>
      <c r="G107" s="229">
        <f>+$G$27</f>
        <v>44196</v>
      </c>
      <c r="H107" s="8">
        <f>+$H$27</f>
        <v>44561</v>
      </c>
      <c r="I107" s="228">
        <f>+$I$27</f>
        <v>44926</v>
      </c>
      <c r="J107" s="228">
        <f>+$J$27</f>
        <v>45291</v>
      </c>
      <c r="K107" s="228">
        <f>+$K$27</f>
        <v>45657</v>
      </c>
      <c r="L107" s="229">
        <f>+$L$27</f>
        <v>46022</v>
      </c>
    </row>
    <row r="108" spans="2:12" outlineLevel="1" x14ac:dyDescent="0.25">
      <c r="C108" s="1"/>
    </row>
    <row r="109" spans="2:12" outlineLevel="1" x14ac:dyDescent="0.25">
      <c r="C109" s="230" t="s">
        <v>447</v>
      </c>
      <c r="D109" s="14" t="s">
        <v>11</v>
      </c>
      <c r="E109" s="25">
        <f>Buyer!E24</f>
        <v>7.3999999999999996E-2</v>
      </c>
      <c r="F109" s="25">
        <f>Buyer!F24</f>
        <v>7.2999999999999995E-2</v>
      </c>
      <c r="G109" s="129">
        <f>Buyer!G24</f>
        <v>5.0999999999999997E-2</v>
      </c>
      <c r="H109" s="25">
        <f>Buyer!H24</f>
        <v>5.7500000000000002E-2</v>
      </c>
      <c r="I109" s="25">
        <f>Buyer!I24</f>
        <v>7.8E-2</v>
      </c>
      <c r="J109" s="25">
        <f>Buyer!J24</f>
        <v>0.06</v>
      </c>
      <c r="K109" s="25">
        <f>Buyer!K24</f>
        <v>5.5E-2</v>
      </c>
      <c r="L109" s="25">
        <f>Buyer!L24</f>
        <v>5.5E-2</v>
      </c>
    </row>
    <row r="110" spans="2:12" outlineLevel="1" x14ac:dyDescent="0.25">
      <c r="C110" s="1"/>
      <c r="G110" s="1"/>
    </row>
    <row r="111" spans="2:12" outlineLevel="1" x14ac:dyDescent="0.25">
      <c r="C111" s="1" t="s">
        <v>360</v>
      </c>
      <c r="G111" s="1"/>
    </row>
    <row r="112" spans="2:12" outlineLevel="1" x14ac:dyDescent="0.25">
      <c r="C112" s="232" t="str">
        <f>C32</f>
        <v>Gross Loans:</v>
      </c>
      <c r="D112" s="14" t="s">
        <v>3</v>
      </c>
      <c r="E112" s="119">
        <f>E32</f>
        <v>768035</v>
      </c>
      <c r="F112" s="119">
        <f t="shared" ref="F112:L112" si="59">F32</f>
        <v>808782</v>
      </c>
      <c r="G112" s="235">
        <f t="shared" si="59"/>
        <v>834625</v>
      </c>
      <c r="H112" s="119">
        <f t="shared" si="59"/>
        <v>867730.86091369495</v>
      </c>
      <c r="I112" s="119">
        <f t="shared" si="59"/>
        <v>902026.19250517618</v>
      </c>
      <c r="J112" s="119">
        <f t="shared" si="59"/>
        <v>938136.35467909661</v>
      </c>
      <c r="K112" s="119">
        <f t="shared" si="59"/>
        <v>976150.98759269633</v>
      </c>
      <c r="L112" s="119">
        <f t="shared" si="59"/>
        <v>1016164.2255335184</v>
      </c>
    </row>
    <row r="113" spans="3:12" outlineLevel="1" x14ac:dyDescent="0.25">
      <c r="C113" s="232" t="str">
        <f>C31</f>
        <v>Due from Banks</v>
      </c>
      <c r="D113" s="14" t="s">
        <v>3</v>
      </c>
      <c r="E113" s="119">
        <f>E31</f>
        <v>66374</v>
      </c>
      <c r="F113" s="119">
        <f t="shared" ref="F113:L113" si="60">F31</f>
        <v>115594</v>
      </c>
      <c r="G113" s="235">
        <f t="shared" si="60"/>
        <v>155592</v>
      </c>
      <c r="H113" s="119">
        <f t="shared" ca="1" si="60"/>
        <v>155592</v>
      </c>
      <c r="I113" s="119">
        <f t="shared" ca="1" si="60"/>
        <v>161565.56166249863</v>
      </c>
      <c r="J113" s="119">
        <f t="shared" ca="1" si="60"/>
        <v>167769.15285673924</v>
      </c>
      <c r="K113" s="119">
        <f t="shared" ca="1" si="60"/>
        <v>174215.08617145079</v>
      </c>
      <c r="L113" s="119">
        <f t="shared" ca="1" si="60"/>
        <v>180916.21647456498</v>
      </c>
    </row>
    <row r="114" spans="3:12" outlineLevel="1" x14ac:dyDescent="0.25">
      <c r="C114" s="232" t="str">
        <f>C35</f>
        <v>Securities</v>
      </c>
      <c r="D114" s="16" t="s">
        <v>3</v>
      </c>
      <c r="E114" s="244">
        <f>+E35</f>
        <v>141339</v>
      </c>
      <c r="F114" s="244">
        <f t="shared" ref="F114:L114" si="61">+F35</f>
        <v>147323</v>
      </c>
      <c r="G114" s="273">
        <f t="shared" si="61"/>
        <v>137095</v>
      </c>
      <c r="H114" s="244">
        <f t="shared" si="61"/>
        <v>137095</v>
      </c>
      <c r="I114" s="244">
        <f t="shared" si="61"/>
        <v>137095</v>
      </c>
      <c r="J114" s="244">
        <f t="shared" si="61"/>
        <v>137095</v>
      </c>
      <c r="K114" s="244">
        <f t="shared" si="61"/>
        <v>137095</v>
      </c>
      <c r="L114" s="244">
        <f t="shared" si="61"/>
        <v>137095</v>
      </c>
    </row>
    <row r="115" spans="3:12" outlineLevel="1" x14ac:dyDescent="0.25">
      <c r="C115" s="83" t="s">
        <v>361</v>
      </c>
      <c r="D115" s="14" t="s">
        <v>3</v>
      </c>
      <c r="E115" s="163">
        <f>SUM(E112:E114)</f>
        <v>975748</v>
      </c>
      <c r="F115" s="163">
        <f t="shared" ref="F115:L115" si="62">SUM(F112:F114)</f>
        <v>1071699</v>
      </c>
      <c r="G115" s="163">
        <f t="shared" si="62"/>
        <v>1127312</v>
      </c>
      <c r="H115" s="163">
        <f t="shared" ca="1" si="62"/>
        <v>1160417.8609136948</v>
      </c>
      <c r="I115" s="163">
        <f t="shared" ca="1" si="62"/>
        <v>1200686.7541676748</v>
      </c>
      <c r="J115" s="163">
        <f t="shared" ca="1" si="62"/>
        <v>1243000.5075358357</v>
      </c>
      <c r="K115" s="163">
        <f t="shared" ca="1" si="62"/>
        <v>1287461.0737641472</v>
      </c>
      <c r="L115" s="163">
        <f t="shared" ca="1" si="62"/>
        <v>1334175.4420080832</v>
      </c>
    </row>
    <row r="116" spans="3:12" outlineLevel="1" x14ac:dyDescent="0.25">
      <c r="G116" s="1"/>
    </row>
    <row r="117" spans="3:12" outlineLevel="1" x14ac:dyDescent="0.25">
      <c r="C117" s="1" t="s">
        <v>362</v>
      </c>
      <c r="G117" s="1"/>
    </row>
    <row r="118" spans="3:12" outlineLevel="1" x14ac:dyDescent="0.25">
      <c r="C118" s="232" t="str">
        <f t="shared" ref="C118:C121" si="63">C45</f>
        <v>Deposits:</v>
      </c>
      <c r="D118" s="14" t="s">
        <v>3</v>
      </c>
      <c r="E118" s="119">
        <f t="shared" ref="E118:E121" si="64">E45</f>
        <v>740531</v>
      </c>
      <c r="F118" s="119">
        <f t="shared" ref="F118:L118" si="65">F45</f>
        <v>813162</v>
      </c>
      <c r="G118" s="235">
        <f t="shared" si="65"/>
        <v>924638</v>
      </c>
      <c r="H118" s="119">
        <f t="shared" si="65"/>
        <v>964145.4010152166</v>
      </c>
      <c r="I118" s="119">
        <f t="shared" si="65"/>
        <v>1002251.3250057513</v>
      </c>
      <c r="J118" s="119">
        <f t="shared" si="65"/>
        <v>1042373.7274212184</v>
      </c>
      <c r="K118" s="119">
        <f t="shared" si="65"/>
        <v>1084612.2084363292</v>
      </c>
      <c r="L118" s="119">
        <f t="shared" si="65"/>
        <v>1129071.3617039092</v>
      </c>
    </row>
    <row r="119" spans="3:12" outlineLevel="1" x14ac:dyDescent="0.25">
      <c r="C119" s="232" t="str">
        <f t="shared" si="63"/>
        <v>Due to Banks:</v>
      </c>
      <c r="D119" s="14" t="s">
        <v>3</v>
      </c>
      <c r="E119" s="119">
        <f t="shared" si="64"/>
        <v>72445</v>
      </c>
      <c r="F119" s="119">
        <f t="shared" ref="F119:L119" si="66">F46</f>
        <v>49344</v>
      </c>
      <c r="G119" s="235">
        <f t="shared" si="66"/>
        <v>44710</v>
      </c>
      <c r="H119" s="119">
        <f t="shared" ca="1" si="66"/>
        <v>106525.71973313182</v>
      </c>
      <c r="I119" s="119">
        <f t="shared" ca="1" si="66"/>
        <v>106525.71973313182</v>
      </c>
      <c r="J119" s="119">
        <f t="shared" ca="1" si="66"/>
        <v>106525.71973313182</v>
      </c>
      <c r="K119" s="119">
        <f t="shared" ca="1" si="66"/>
        <v>106525.71973313182</v>
      </c>
      <c r="L119" s="119">
        <f t="shared" ca="1" si="66"/>
        <v>106525.71973313182</v>
      </c>
    </row>
    <row r="120" spans="3:12" outlineLevel="1" x14ac:dyDescent="0.25">
      <c r="C120" s="232" t="str">
        <f t="shared" si="63"/>
        <v>Subordinated Notes:</v>
      </c>
      <c r="D120" s="14" t="s">
        <v>3</v>
      </c>
      <c r="E120" s="119">
        <f t="shared" si="64"/>
        <v>31077</v>
      </c>
      <c r="F120" s="119">
        <f t="shared" ref="F120:L120" si="67">F47</f>
        <v>17987</v>
      </c>
      <c r="G120" s="235">
        <f t="shared" si="67"/>
        <v>21450</v>
      </c>
      <c r="H120" s="119">
        <f t="shared" si="67"/>
        <v>21450</v>
      </c>
      <c r="I120" s="119">
        <f t="shared" si="67"/>
        <v>21450</v>
      </c>
      <c r="J120" s="119">
        <f t="shared" si="67"/>
        <v>21450</v>
      </c>
      <c r="K120" s="119">
        <f t="shared" si="67"/>
        <v>21450</v>
      </c>
      <c r="L120" s="119">
        <f t="shared" si="67"/>
        <v>21450</v>
      </c>
    </row>
    <row r="121" spans="3:12" outlineLevel="1" x14ac:dyDescent="0.25">
      <c r="C121" s="232" t="str">
        <f t="shared" si="63"/>
        <v>Debt securities</v>
      </c>
      <c r="D121" s="16" t="s">
        <v>3</v>
      </c>
      <c r="E121" s="244">
        <f t="shared" si="64"/>
        <v>99908</v>
      </c>
      <c r="F121" s="244">
        <f t="shared" ref="F121:L121" si="68">F48</f>
        <v>108067</v>
      </c>
      <c r="G121" s="273">
        <f t="shared" si="68"/>
        <v>108033</v>
      </c>
      <c r="H121" s="244">
        <f t="shared" si="68"/>
        <v>108033</v>
      </c>
      <c r="I121" s="244">
        <f t="shared" si="68"/>
        <v>108033</v>
      </c>
      <c r="J121" s="244">
        <f t="shared" si="68"/>
        <v>108033</v>
      </c>
      <c r="K121" s="244">
        <f t="shared" si="68"/>
        <v>108033</v>
      </c>
      <c r="L121" s="244">
        <f t="shared" si="68"/>
        <v>108033</v>
      </c>
    </row>
    <row r="122" spans="3:12" outlineLevel="1" x14ac:dyDescent="0.25">
      <c r="C122" s="83" t="s">
        <v>363</v>
      </c>
      <c r="D122" s="14" t="s">
        <v>3</v>
      </c>
      <c r="E122" s="163">
        <f>SUM(E118:E121)</f>
        <v>943961</v>
      </c>
      <c r="F122" s="163">
        <f t="shared" ref="F122:L122" si="69">SUM(F118:F121)</f>
        <v>988560</v>
      </c>
      <c r="G122" s="163">
        <f t="shared" si="69"/>
        <v>1098831</v>
      </c>
      <c r="H122" s="163">
        <f t="shared" ca="1" si="69"/>
        <v>1200154.1207483485</v>
      </c>
      <c r="I122" s="163">
        <f t="shared" ca="1" si="69"/>
        <v>1238260.0447388832</v>
      </c>
      <c r="J122" s="163">
        <f t="shared" ca="1" si="69"/>
        <v>1278382.4471543501</v>
      </c>
      <c r="K122" s="163">
        <f t="shared" ca="1" si="69"/>
        <v>1320620.928169461</v>
      </c>
      <c r="L122" s="163">
        <f t="shared" ca="1" si="69"/>
        <v>1365080.0814370411</v>
      </c>
    </row>
    <row r="123" spans="3:12" outlineLevel="1" x14ac:dyDescent="0.25">
      <c r="G123" s="1"/>
    </row>
    <row r="124" spans="3:12" outlineLevel="1" x14ac:dyDescent="0.25">
      <c r="C124" s="1" t="s">
        <v>364</v>
      </c>
      <c r="G124" s="1"/>
    </row>
    <row r="125" spans="3:12" outlineLevel="1" x14ac:dyDescent="0.25">
      <c r="C125" s="232" t="s">
        <v>365</v>
      </c>
      <c r="D125" s="14" t="s">
        <v>3</v>
      </c>
      <c r="E125" s="117">
        <f>51787+19414</f>
        <v>71201</v>
      </c>
      <c r="F125" s="117">
        <f>56546+21227+290</f>
        <v>78063</v>
      </c>
      <c r="G125" s="118">
        <f>54742+18827</f>
        <v>73569</v>
      </c>
      <c r="H125" s="119">
        <f>+H137*G112</f>
        <v>76619.662561657897</v>
      </c>
      <c r="I125" s="119">
        <f t="shared" ref="I125:L125" si="70">+I137*H112</f>
        <v>97447.30638099878</v>
      </c>
      <c r="J125" s="119">
        <f t="shared" si="70"/>
        <v>85062.24534230672</v>
      </c>
      <c r="K125" s="119">
        <f t="shared" si="70"/>
        <v>83776.798915412408</v>
      </c>
      <c r="L125" s="119">
        <f t="shared" si="70"/>
        <v>87171.555169726053</v>
      </c>
    </row>
    <row r="126" spans="3:12" outlineLevel="1" x14ac:dyDescent="0.25">
      <c r="C126" s="232" t="s">
        <v>409</v>
      </c>
      <c r="D126" s="14" t="s">
        <v>3</v>
      </c>
      <c r="E126" s="117">
        <v>5830</v>
      </c>
      <c r="F126" s="117">
        <v>4662</v>
      </c>
      <c r="G126" s="118">
        <v>4153</v>
      </c>
      <c r="H126" s="119">
        <f>+H140*G113</f>
        <v>7559.1118701086552</v>
      </c>
      <c r="I126" s="119">
        <f t="shared" ref="I126:L126" ca="1" si="71">+I140*H113</f>
        <v>10748.747870108655</v>
      </c>
      <c r="J126" s="119">
        <f t="shared" ca="1" si="71"/>
        <v>8253.2387728112226</v>
      </c>
      <c r="K126" s="119">
        <f t="shared" ca="1" si="71"/>
        <v>7731.2904887091654</v>
      </c>
      <c r="L126" s="119">
        <f t="shared" ca="1" si="71"/>
        <v>8028.337842637442</v>
      </c>
    </row>
    <row r="127" spans="3:12" outlineLevel="1" x14ac:dyDescent="0.25">
      <c r="C127" s="232" t="s">
        <v>366</v>
      </c>
      <c r="D127" s="16" t="s">
        <v>3</v>
      </c>
      <c r="E127" s="119">
        <f>E128-SUM(E125:E126)</f>
        <v>6851</v>
      </c>
      <c r="F127" s="119">
        <f>F128-SUM(F125:F126)</f>
        <v>8976</v>
      </c>
      <c r="G127" s="235">
        <f>G128-SUM(G125:G126)</f>
        <v>8832</v>
      </c>
      <c r="H127" s="119">
        <f>+H143*SUM(G114)</f>
        <v>7845.7270650829241</v>
      </c>
      <c r="I127" s="119">
        <f t="shared" ref="I127:L127" si="72">+I143*SUM(H114)</f>
        <v>10656.174565082923</v>
      </c>
      <c r="J127" s="119">
        <f t="shared" si="72"/>
        <v>8188.4645650829225</v>
      </c>
      <c r="K127" s="119">
        <f t="shared" si="72"/>
        <v>7502.9895650829239</v>
      </c>
      <c r="L127" s="119">
        <f t="shared" si="72"/>
        <v>7502.9895650829239</v>
      </c>
    </row>
    <row r="128" spans="3:12" outlineLevel="1" x14ac:dyDescent="0.25">
      <c r="C128" s="83" t="s">
        <v>367</v>
      </c>
      <c r="D128" s="14" t="s">
        <v>3</v>
      </c>
      <c r="E128" s="269">
        <v>83882</v>
      </c>
      <c r="F128" s="269">
        <v>91701</v>
      </c>
      <c r="G128" s="269">
        <v>86554</v>
      </c>
      <c r="H128" s="245">
        <f>SUM(H125:H127)</f>
        <v>92024.50149684948</v>
      </c>
      <c r="I128" s="245">
        <f t="shared" ref="I128:L128" ca="1" si="73">SUM(I125:I127)</f>
        <v>118852.22881619036</v>
      </c>
      <c r="J128" s="245">
        <f t="shared" ca="1" si="73"/>
        <v>101503.94868020086</v>
      </c>
      <c r="K128" s="245">
        <f t="shared" ca="1" si="73"/>
        <v>99011.078969204507</v>
      </c>
      <c r="L128" s="245">
        <f t="shared" ca="1" si="73"/>
        <v>102702.88257744642</v>
      </c>
    </row>
    <row r="129" spans="3:12" outlineLevel="1" x14ac:dyDescent="0.25">
      <c r="G129" s="1"/>
    </row>
    <row r="130" spans="3:12" outlineLevel="1" x14ac:dyDescent="0.25">
      <c r="C130" s="1" t="s">
        <v>368</v>
      </c>
      <c r="G130" s="1"/>
    </row>
    <row r="131" spans="3:12" outlineLevel="1" x14ac:dyDescent="0.25">
      <c r="C131" s="232" t="s">
        <v>369</v>
      </c>
      <c r="D131" s="14" t="s">
        <v>3</v>
      </c>
      <c r="E131" s="117">
        <f>15512+10855</f>
        <v>26367</v>
      </c>
      <c r="F131" s="117">
        <f>20514+12109</f>
        <v>32623</v>
      </c>
      <c r="G131" s="118">
        <f>18394+9748</f>
        <v>28142</v>
      </c>
      <c r="H131" s="119">
        <f>+H146*G118</f>
        <v>32205.896888034869</v>
      </c>
      <c r="I131" s="119">
        <f t="shared" ref="I131:L131" si="74">+I146*H118</f>
        <v>53346.952660283496</v>
      </c>
      <c r="J131" s="119">
        <f t="shared" si="74"/>
        <v>37414.860713769311</v>
      </c>
      <c r="K131" s="119">
        <f t="shared" si="74"/>
        <v>33700.794135311415</v>
      </c>
      <c r="L131" s="119">
        <f t="shared" si="74"/>
        <v>35066.398731659116</v>
      </c>
    </row>
    <row r="132" spans="3:12" outlineLevel="1" x14ac:dyDescent="0.25">
      <c r="C132" s="232" t="s">
        <v>411</v>
      </c>
      <c r="D132" s="14"/>
      <c r="E132" s="117">
        <f>1975+6</f>
        <v>1981</v>
      </c>
      <c r="F132" s="117">
        <f>1537+1</f>
        <v>1538</v>
      </c>
      <c r="G132" s="118">
        <f>948+1</f>
        <v>949</v>
      </c>
      <c r="H132" s="119">
        <f>+H149*G119</f>
        <v>703.3380776323429</v>
      </c>
      <c r="I132" s="119">
        <f t="shared" ref="I132:L132" ca="1" si="75">+I149*H119</f>
        <v>3859.5454257549382</v>
      </c>
      <c r="J132" s="119">
        <f t="shared" ca="1" si="75"/>
        <v>1942.0824705585653</v>
      </c>
      <c r="K132" s="119">
        <f t="shared" ca="1" si="75"/>
        <v>1409.4538718929066</v>
      </c>
      <c r="L132" s="119">
        <f t="shared" ca="1" si="75"/>
        <v>1409.4538718929066</v>
      </c>
    </row>
    <row r="133" spans="3:12" outlineLevel="1" x14ac:dyDescent="0.25">
      <c r="C133" s="232" t="s">
        <v>412</v>
      </c>
      <c r="D133" s="14"/>
      <c r="E133" s="117">
        <v>2311</v>
      </c>
      <c r="F133" s="117">
        <v>1468</v>
      </c>
      <c r="G133" s="118">
        <v>896</v>
      </c>
      <c r="H133" s="119">
        <f>+H152*G120</f>
        <v>944.34977654177567</v>
      </c>
      <c r="I133" s="119">
        <f t="shared" ref="I133:L133" si="76">+I152*H120</f>
        <v>1384.0747765417757</v>
      </c>
      <c r="J133" s="119">
        <f t="shared" si="76"/>
        <v>997.97477654177555</v>
      </c>
      <c r="K133" s="119">
        <f t="shared" si="76"/>
        <v>890.72477654177555</v>
      </c>
      <c r="L133" s="119">
        <f t="shared" si="76"/>
        <v>890.72477654177555</v>
      </c>
    </row>
    <row r="134" spans="3:12" outlineLevel="1" x14ac:dyDescent="0.25">
      <c r="C134" s="232" t="s">
        <v>413</v>
      </c>
      <c r="D134" s="16" t="s">
        <v>3</v>
      </c>
      <c r="E134" s="117">
        <v>11414</v>
      </c>
      <c r="F134" s="117">
        <f>9220+457</f>
        <v>9677</v>
      </c>
      <c r="G134" s="118">
        <f>7444+390</f>
        <v>7834</v>
      </c>
      <c r="H134" s="119">
        <f>+H155*SUM(G121)</f>
        <v>8661.6092708182205</v>
      </c>
      <c r="I134" s="119">
        <f t="shared" ref="I134:L134" si="77">+I155*SUM(H121)</f>
        <v>10876.28577081822</v>
      </c>
      <c r="J134" s="119">
        <f t="shared" si="77"/>
        <v>8931.6917708182191</v>
      </c>
      <c r="K134" s="119">
        <f t="shared" si="77"/>
        <v>8391.52677081822</v>
      </c>
      <c r="L134" s="119">
        <f t="shared" si="77"/>
        <v>8391.52677081822</v>
      </c>
    </row>
    <row r="135" spans="3:12" outlineLevel="1" x14ac:dyDescent="0.25">
      <c r="C135" s="83" t="s">
        <v>370</v>
      </c>
      <c r="D135" s="14" t="s">
        <v>3</v>
      </c>
      <c r="E135" s="245">
        <f>SUM(E131:E134)</f>
        <v>42073</v>
      </c>
      <c r="F135" s="245">
        <f t="shared" ref="F135:G135" si="78">SUM(F131:F134)</f>
        <v>45306</v>
      </c>
      <c r="G135" s="245">
        <f t="shared" si="78"/>
        <v>37821</v>
      </c>
      <c r="H135" s="245">
        <f>SUM(H131:H134)</f>
        <v>42515.194013027212</v>
      </c>
      <c r="I135" s="245">
        <f t="shared" ref="I135:L135" ca="1" si="79">SUM(I131:I134)</f>
        <v>69466.858633398428</v>
      </c>
      <c r="J135" s="245">
        <f t="shared" ca="1" si="79"/>
        <v>49286.609731687873</v>
      </c>
      <c r="K135" s="245">
        <f t="shared" ca="1" si="79"/>
        <v>44392.499554564318</v>
      </c>
      <c r="L135" s="245">
        <f t="shared" ca="1" si="79"/>
        <v>45758.104150912019</v>
      </c>
    </row>
    <row r="136" spans="3:12" outlineLevel="1" x14ac:dyDescent="0.25">
      <c r="G136" s="1"/>
    </row>
    <row r="137" spans="3:12" outlineLevel="1" x14ac:dyDescent="0.25">
      <c r="C137" s="223" t="s">
        <v>371</v>
      </c>
      <c r="D137" s="14" t="s">
        <v>3</v>
      </c>
      <c r="E137" s="155" t="str">
        <f>IFERROR(E125/D112,"N/A")</f>
        <v>N/A</v>
      </c>
      <c r="F137" s="155">
        <f t="shared" ref="F137:G137" si="80">IFERROR(F125/E112,"N/A")</f>
        <v>0.10163989922334268</v>
      </c>
      <c r="G137" s="156">
        <f t="shared" si="80"/>
        <v>9.0962706885168068E-2</v>
      </c>
      <c r="H137" s="155">
        <f>+H138+H$109</f>
        <v>9.1801303054255379E-2</v>
      </c>
      <c r="I137" s="155">
        <f t="shared" ref="I137:L137" si="81">+I138+I$109</f>
        <v>0.11230130305425538</v>
      </c>
      <c r="J137" s="155">
        <f t="shared" si="81"/>
        <v>9.4301303054255381E-2</v>
      </c>
      <c r="K137" s="155">
        <f t="shared" si="81"/>
        <v>8.9301303054255377E-2</v>
      </c>
      <c r="L137" s="155">
        <f t="shared" si="81"/>
        <v>8.9301303054255377E-2</v>
      </c>
    </row>
    <row r="138" spans="3:12" outlineLevel="1" x14ac:dyDescent="0.25">
      <c r="C138" s="223" t="s">
        <v>372</v>
      </c>
      <c r="D138" s="14" t="s">
        <v>3</v>
      </c>
      <c r="E138" s="155" t="str">
        <f>IFERROR(+E137-E$109,"N/A")</f>
        <v>N/A</v>
      </c>
      <c r="F138" s="155">
        <f>IFERROR(+F137-F$109,"N/A")</f>
        <v>2.8639899223342688E-2</v>
      </c>
      <c r="G138" s="156">
        <f>IFERROR(+G137-G$109,"N/A")</f>
        <v>3.9962706885168071E-2</v>
      </c>
      <c r="H138" s="45">
        <f>AVERAGE(F138:G138)</f>
        <v>3.4301303054255383E-2</v>
      </c>
      <c r="I138" s="45">
        <f>H138</f>
        <v>3.4301303054255383E-2</v>
      </c>
      <c r="J138" s="45">
        <f t="shared" ref="J138:L138" si="82">I138</f>
        <v>3.4301303054255383E-2</v>
      </c>
      <c r="K138" s="45">
        <f t="shared" si="82"/>
        <v>3.4301303054255383E-2</v>
      </c>
      <c r="L138" s="45">
        <f t="shared" si="82"/>
        <v>3.4301303054255383E-2</v>
      </c>
    </row>
    <row r="139" spans="3:12" outlineLevel="1" x14ac:dyDescent="0.25">
      <c r="D139" s="14"/>
      <c r="E139" s="75"/>
      <c r="F139" s="75"/>
      <c r="G139" s="77"/>
      <c r="H139" s="75"/>
      <c r="I139" s="75"/>
      <c r="J139" s="75"/>
      <c r="K139" s="75"/>
      <c r="L139" s="75"/>
    </row>
    <row r="140" spans="3:12" outlineLevel="1" x14ac:dyDescent="0.25">
      <c r="C140" s="223" t="s">
        <v>410</v>
      </c>
      <c r="D140" s="14" t="s">
        <v>3</v>
      </c>
      <c r="E140" s="155" t="str">
        <f>IFERROR(E126/D113,"N/A")</f>
        <v>N/A</v>
      </c>
      <c r="F140" s="155">
        <f t="shared" ref="F140:G140" si="83">IFERROR(F126/E113,"N/A")</f>
        <v>7.0238346340434507E-2</v>
      </c>
      <c r="G140" s="156">
        <f t="shared" si="83"/>
        <v>3.5927470283924769E-2</v>
      </c>
      <c r="H140" s="155">
        <f>+H141+H$109</f>
        <v>4.8582908312179644E-2</v>
      </c>
      <c r="I140" s="155">
        <f t="shared" ref="I140:L140" si="84">+I141+I$109</f>
        <v>6.9082908312179642E-2</v>
      </c>
      <c r="J140" s="155">
        <f t="shared" si="84"/>
        <v>5.108290831217964E-2</v>
      </c>
      <c r="K140" s="155">
        <f t="shared" si="84"/>
        <v>4.6082908312179642E-2</v>
      </c>
      <c r="L140" s="155">
        <f t="shared" si="84"/>
        <v>4.6082908312179642E-2</v>
      </c>
    </row>
    <row r="141" spans="3:12" outlineLevel="1" x14ac:dyDescent="0.25">
      <c r="C141" s="223" t="s">
        <v>372</v>
      </c>
      <c r="D141" s="14" t="s">
        <v>3</v>
      </c>
      <c r="E141" s="155" t="str">
        <f>IFERROR(+E140-E$109,"N/A")</f>
        <v>N/A</v>
      </c>
      <c r="F141" s="155">
        <f t="shared" ref="F141:G141" si="85">IFERROR(+F140-F$109,"N/A")</f>
        <v>-2.7616536595654884E-3</v>
      </c>
      <c r="G141" s="156">
        <f t="shared" si="85"/>
        <v>-1.5072529716075228E-2</v>
      </c>
      <c r="H141" s="45">
        <f>AVERAGE(F141:G141)</f>
        <v>-8.9170916878203582E-3</v>
      </c>
      <c r="I141" s="45">
        <f>H141</f>
        <v>-8.9170916878203582E-3</v>
      </c>
      <c r="J141" s="45">
        <f t="shared" ref="J141:L141" si="86">I141</f>
        <v>-8.9170916878203582E-3</v>
      </c>
      <c r="K141" s="45">
        <f t="shared" si="86"/>
        <v>-8.9170916878203582E-3</v>
      </c>
      <c r="L141" s="45">
        <f t="shared" si="86"/>
        <v>-8.9170916878203582E-3</v>
      </c>
    </row>
    <row r="142" spans="3:12" outlineLevel="1" x14ac:dyDescent="0.25">
      <c r="D142" s="14"/>
      <c r="E142" s="75"/>
      <c r="F142" s="75"/>
      <c r="G142" s="77"/>
      <c r="H142" s="75"/>
      <c r="I142" s="75"/>
      <c r="J142" s="75"/>
      <c r="K142" s="75"/>
      <c r="L142" s="75"/>
    </row>
    <row r="143" spans="3:12" outlineLevel="1" x14ac:dyDescent="0.25">
      <c r="C143" s="223" t="s">
        <v>373</v>
      </c>
      <c r="D143" s="14" t="s">
        <v>3</v>
      </c>
      <c r="E143" s="155" t="str">
        <f>IFERROR(E127/D114,"N/A")</f>
        <v>N/A</v>
      </c>
      <c r="F143" s="155">
        <f t="shared" ref="F143:G143" si="87">IFERROR(F127/E114,"N/A")</f>
        <v>6.3506887695540512E-2</v>
      </c>
      <c r="G143" s="156">
        <f t="shared" si="87"/>
        <v>5.9949905988881572E-2</v>
      </c>
      <c r="H143" s="155">
        <f>+H144+H$109</f>
        <v>5.7228396842211052E-2</v>
      </c>
      <c r="I143" s="155">
        <f t="shared" ref="I143:L143" si="88">+I144+I$109</f>
        <v>7.7728396842211042E-2</v>
      </c>
      <c r="J143" s="155">
        <f t="shared" si="88"/>
        <v>5.972839684221104E-2</v>
      </c>
      <c r="K143" s="155">
        <f t="shared" si="88"/>
        <v>5.472839684221105E-2</v>
      </c>
      <c r="L143" s="155">
        <f t="shared" si="88"/>
        <v>5.472839684221105E-2</v>
      </c>
    </row>
    <row r="144" spans="3:12" outlineLevel="1" x14ac:dyDescent="0.25">
      <c r="C144" s="223" t="s">
        <v>374</v>
      </c>
      <c r="D144" s="14" t="s">
        <v>3</v>
      </c>
      <c r="E144" s="155" t="str">
        <f>IFERROR(+E143-E$109,"N/A")</f>
        <v>N/A</v>
      </c>
      <c r="F144" s="155">
        <f t="shared" ref="F144:G144" si="89">IFERROR(+F143-F$109,"N/A")</f>
        <v>-9.4931123044594834E-3</v>
      </c>
      <c r="G144" s="156">
        <f t="shared" si="89"/>
        <v>8.9499059888815749E-3</v>
      </c>
      <c r="H144" s="45">
        <f>AVERAGE(F144:G144)</f>
        <v>-2.7160315778895425E-4</v>
      </c>
      <c r="I144" s="45">
        <f>H144</f>
        <v>-2.7160315778895425E-4</v>
      </c>
      <c r="J144" s="45">
        <f t="shared" ref="J144:L144" si="90">I144</f>
        <v>-2.7160315778895425E-4</v>
      </c>
      <c r="K144" s="45">
        <f t="shared" si="90"/>
        <v>-2.7160315778895425E-4</v>
      </c>
      <c r="L144" s="45">
        <f t="shared" si="90"/>
        <v>-2.7160315778895425E-4</v>
      </c>
    </row>
    <row r="145" spans="2:12" outlineLevel="1" x14ac:dyDescent="0.25">
      <c r="G145" s="1"/>
    </row>
    <row r="146" spans="2:12" outlineLevel="1" x14ac:dyDescent="0.25">
      <c r="C146" s="223" t="s">
        <v>375</v>
      </c>
      <c r="D146" s="14" t="s">
        <v>3</v>
      </c>
      <c r="E146" s="155" t="str">
        <f>IFERROR(E131/D118,"N/A")</f>
        <v>N/A</v>
      </c>
      <c r="F146" s="155">
        <f>+F131/E118</f>
        <v>4.4053523755251296E-2</v>
      </c>
      <c r="G146" s="156">
        <f>+G131/F118</f>
        <v>3.4608110069088323E-2</v>
      </c>
      <c r="H146" s="155">
        <f>+H147+H$109</f>
        <v>3.4830816912169812E-2</v>
      </c>
      <c r="I146" s="155">
        <f t="shared" ref="I146:L146" si="91">+I147+I$109</f>
        <v>5.5330816912169817E-2</v>
      </c>
      <c r="J146" s="155">
        <f t="shared" si="91"/>
        <v>3.7330816912169815E-2</v>
      </c>
      <c r="K146" s="155">
        <f t="shared" si="91"/>
        <v>3.233081691216981E-2</v>
      </c>
      <c r="L146" s="155">
        <f t="shared" si="91"/>
        <v>3.233081691216981E-2</v>
      </c>
    </row>
    <row r="147" spans="2:12" outlineLevel="1" x14ac:dyDescent="0.25">
      <c r="C147" s="223" t="s">
        <v>376</v>
      </c>
      <c r="D147" s="14" t="s">
        <v>3</v>
      </c>
      <c r="E147" s="155" t="str">
        <f>IFERROR(+E146-E$109,"N/A")</f>
        <v>N/A</v>
      </c>
      <c r="F147" s="155">
        <f t="shared" ref="F147:G147" si="92">+F146-F$109</f>
        <v>-2.8946476244748699E-2</v>
      </c>
      <c r="G147" s="156">
        <f t="shared" si="92"/>
        <v>-1.6391889930911674E-2</v>
      </c>
      <c r="H147" s="45">
        <f>AVERAGE(F147:G147)</f>
        <v>-2.2669183087830187E-2</v>
      </c>
      <c r="I147" s="45">
        <f>H147</f>
        <v>-2.2669183087830187E-2</v>
      </c>
      <c r="J147" s="45">
        <f t="shared" ref="J147:L147" si="93">I147</f>
        <v>-2.2669183087830187E-2</v>
      </c>
      <c r="K147" s="45">
        <f t="shared" si="93"/>
        <v>-2.2669183087830187E-2</v>
      </c>
      <c r="L147" s="45">
        <f t="shared" si="93"/>
        <v>-2.2669183087830187E-2</v>
      </c>
    </row>
    <row r="148" spans="2:12" outlineLevel="1" x14ac:dyDescent="0.25">
      <c r="D148" s="14"/>
      <c r="E148" s="155"/>
      <c r="F148" s="155"/>
      <c r="G148" s="156"/>
      <c r="H148" s="288"/>
      <c r="I148" s="288"/>
      <c r="J148" s="288"/>
      <c r="K148" s="288"/>
      <c r="L148" s="288"/>
    </row>
    <row r="149" spans="2:12" outlineLevel="1" x14ac:dyDescent="0.25">
      <c r="C149" s="223" t="s">
        <v>414</v>
      </c>
      <c r="D149" s="14" t="s">
        <v>3</v>
      </c>
      <c r="E149" s="155" t="str">
        <f>IFERROR(E132/D119,"N/A")</f>
        <v>N/A</v>
      </c>
      <c r="F149" s="155">
        <f t="shared" ref="F149:G149" si="94">IFERROR(F132/E119,"N/A")</f>
        <v>2.1229898543722824E-2</v>
      </c>
      <c r="G149" s="156">
        <f t="shared" si="94"/>
        <v>1.923232814526589E-2</v>
      </c>
      <c r="H149" s="155">
        <f>+H150+H$109</f>
        <v>1.5731113344494362E-2</v>
      </c>
      <c r="I149" s="155">
        <f t="shared" ref="I149:L149" si="95">+I150+I$109</f>
        <v>3.6231113344494359E-2</v>
      </c>
      <c r="J149" s="155">
        <f t="shared" si="95"/>
        <v>1.8231113344494357E-2</v>
      </c>
      <c r="K149" s="155">
        <f t="shared" si="95"/>
        <v>1.3231113344494359E-2</v>
      </c>
      <c r="L149" s="155">
        <f t="shared" si="95"/>
        <v>1.3231113344494359E-2</v>
      </c>
    </row>
    <row r="150" spans="2:12" outlineLevel="1" x14ac:dyDescent="0.25">
      <c r="C150" s="223" t="s">
        <v>415</v>
      </c>
      <c r="D150" s="14" t="s">
        <v>3</v>
      </c>
      <c r="E150" s="155" t="str">
        <f>IFERROR(+E149-E$109,"N/A")</f>
        <v>N/A</v>
      </c>
      <c r="F150" s="155">
        <f t="shared" ref="F150:G150" si="96">IFERROR(+F149-F$109,"N/A")</f>
        <v>-5.1770101456277168E-2</v>
      </c>
      <c r="G150" s="156">
        <f t="shared" si="96"/>
        <v>-3.1767671854734107E-2</v>
      </c>
      <c r="H150" s="45">
        <f>AVERAGE(F150:G150)</f>
        <v>-4.1768886655505641E-2</v>
      </c>
      <c r="I150" s="45">
        <f>H150</f>
        <v>-4.1768886655505641E-2</v>
      </c>
      <c r="J150" s="45">
        <f t="shared" ref="J150:L150" si="97">I150</f>
        <v>-4.1768886655505641E-2</v>
      </c>
      <c r="K150" s="45">
        <f t="shared" si="97"/>
        <v>-4.1768886655505641E-2</v>
      </c>
      <c r="L150" s="45">
        <f t="shared" si="97"/>
        <v>-4.1768886655505641E-2</v>
      </c>
    </row>
    <row r="151" spans="2:12" outlineLevel="1" x14ac:dyDescent="0.25">
      <c r="D151" s="14"/>
      <c r="E151" s="155"/>
      <c r="F151" s="155"/>
      <c r="G151" s="156"/>
      <c r="H151" s="288"/>
      <c r="I151" s="288"/>
      <c r="J151" s="288"/>
      <c r="K151" s="288"/>
      <c r="L151" s="288"/>
    </row>
    <row r="152" spans="2:12" outlineLevel="1" x14ac:dyDescent="0.25">
      <c r="C152" s="223" t="s">
        <v>416</v>
      </c>
      <c r="D152" s="14" t="s">
        <v>3</v>
      </c>
      <c r="E152" s="155" t="str">
        <f>IFERROR(E133/D120,"N/A")</f>
        <v>N/A</v>
      </c>
      <c r="F152" s="155">
        <f t="shared" ref="F152:G152" si="98">IFERROR(F133/E120,"N/A")</f>
        <v>4.7237506837854361E-2</v>
      </c>
      <c r="G152" s="156">
        <f t="shared" si="98"/>
        <v>4.9813754378162003E-2</v>
      </c>
      <c r="H152" s="155">
        <f>+H153+H$109</f>
        <v>4.4025630608008189E-2</v>
      </c>
      <c r="I152" s="155">
        <f t="shared" ref="I152:L152" si="99">+I153+I$109</f>
        <v>6.4525630608008186E-2</v>
      </c>
      <c r="J152" s="155">
        <f t="shared" si="99"/>
        <v>4.6525630608008184E-2</v>
      </c>
      <c r="K152" s="155">
        <f t="shared" si="99"/>
        <v>4.1525630608008186E-2</v>
      </c>
      <c r="L152" s="155">
        <f t="shared" si="99"/>
        <v>4.1525630608008186E-2</v>
      </c>
    </row>
    <row r="153" spans="2:12" outlineLevel="1" x14ac:dyDescent="0.25">
      <c r="C153" s="223" t="s">
        <v>417</v>
      </c>
      <c r="D153" s="14" t="s">
        <v>3</v>
      </c>
      <c r="E153" s="155" t="str">
        <f>IFERROR(+E152-E$109,"N/A")</f>
        <v>N/A</v>
      </c>
      <c r="F153" s="155">
        <f t="shared" ref="F153:G153" si="100">IFERROR(+F152-F$109,"N/A")</f>
        <v>-2.5762493162145635E-2</v>
      </c>
      <c r="G153" s="156">
        <f t="shared" si="100"/>
        <v>-1.1862456218379933E-3</v>
      </c>
      <c r="H153" s="45">
        <f>AVERAGE(F153:G153)</f>
        <v>-1.3474369391991814E-2</v>
      </c>
      <c r="I153" s="45">
        <f>H153</f>
        <v>-1.3474369391991814E-2</v>
      </c>
      <c r="J153" s="45">
        <f t="shared" ref="J153:L153" si="101">I153</f>
        <v>-1.3474369391991814E-2</v>
      </c>
      <c r="K153" s="45">
        <f t="shared" si="101"/>
        <v>-1.3474369391991814E-2</v>
      </c>
      <c r="L153" s="45">
        <f t="shared" si="101"/>
        <v>-1.3474369391991814E-2</v>
      </c>
    </row>
    <row r="154" spans="2:12" outlineLevel="1" x14ac:dyDescent="0.25">
      <c r="D154" s="14"/>
      <c r="E154" s="75"/>
      <c r="F154" s="75"/>
      <c r="G154" s="77"/>
      <c r="H154" s="75"/>
      <c r="I154" s="75"/>
      <c r="J154" s="75"/>
      <c r="K154" s="75"/>
      <c r="L154" s="75"/>
    </row>
    <row r="155" spans="2:12" outlineLevel="1" x14ac:dyDescent="0.25">
      <c r="C155" s="223" t="s">
        <v>418</v>
      </c>
      <c r="D155" s="14" t="s">
        <v>3</v>
      </c>
      <c r="E155" s="155" t="str">
        <f>IFERROR(E134/D121,"N/A")</f>
        <v>N/A</v>
      </c>
      <c r="F155" s="155">
        <f t="shared" ref="F155:G155" si="102">IFERROR(F134/E121,"N/A")</f>
        <v>9.6859110381551025E-2</v>
      </c>
      <c r="G155" s="156">
        <f t="shared" si="102"/>
        <v>7.2492065107757228E-2</v>
      </c>
      <c r="H155" s="155">
        <f>+H156+H$109</f>
        <v>8.0175587744654137E-2</v>
      </c>
      <c r="I155" s="155">
        <f t="shared" ref="I155:L155" si="103">+I156+I$109</f>
        <v>0.10067558774465413</v>
      </c>
      <c r="J155" s="155">
        <f t="shared" si="103"/>
        <v>8.2675587744654125E-2</v>
      </c>
      <c r="K155" s="155">
        <f t="shared" si="103"/>
        <v>7.7675587744654134E-2</v>
      </c>
      <c r="L155" s="155">
        <f t="shared" si="103"/>
        <v>7.7675587744654134E-2</v>
      </c>
    </row>
    <row r="156" spans="2:12" outlineLevel="1" x14ac:dyDescent="0.25">
      <c r="C156" s="223" t="s">
        <v>419</v>
      </c>
      <c r="D156" s="14" t="s">
        <v>3</v>
      </c>
      <c r="E156" s="155" t="str">
        <f>IFERROR(+E155-E$109,"N/A")</f>
        <v>N/A</v>
      </c>
      <c r="F156" s="155">
        <f t="shared" ref="F156:G156" si="104">IFERROR(+F155-F$109,"N/A")</f>
        <v>2.385911038155103E-2</v>
      </c>
      <c r="G156" s="156">
        <f t="shared" si="104"/>
        <v>2.1492065107757231E-2</v>
      </c>
      <c r="H156" s="45">
        <f>AVERAGE(F156:G156)</f>
        <v>2.2675587744654131E-2</v>
      </c>
      <c r="I156" s="45">
        <f>H156</f>
        <v>2.2675587744654131E-2</v>
      </c>
      <c r="J156" s="45">
        <f t="shared" ref="J156:L156" si="105">I156</f>
        <v>2.2675587744654131E-2</v>
      </c>
      <c r="K156" s="45">
        <f t="shared" si="105"/>
        <v>2.2675587744654131E-2</v>
      </c>
      <c r="L156" s="45">
        <f t="shared" si="105"/>
        <v>2.2675587744654131E-2</v>
      </c>
    </row>
    <row r="158" spans="2:12" x14ac:dyDescent="0.25">
      <c r="B158" s="224"/>
      <c r="C158" s="224"/>
      <c r="D158" s="224"/>
      <c r="E158" s="225" t="str">
        <f>+$E$26</f>
        <v>Historical</v>
      </c>
      <c r="F158" s="225"/>
      <c r="G158" s="226"/>
      <c r="H158" s="225" t="str">
        <f>+$H$26</f>
        <v>Projected</v>
      </c>
      <c r="I158" s="225"/>
      <c r="J158" s="225"/>
      <c r="K158" s="225"/>
      <c r="L158" s="226"/>
    </row>
    <row r="159" spans="2:12" x14ac:dyDescent="0.25">
      <c r="B159" s="227" t="s">
        <v>155</v>
      </c>
      <c r="C159" s="227"/>
      <c r="D159" s="7" t="str">
        <f>+$D$27</f>
        <v>Units:</v>
      </c>
      <c r="E159" s="8">
        <f>+$E$27</f>
        <v>43465</v>
      </c>
      <c r="F159" s="228">
        <f>+$F$27</f>
        <v>43830</v>
      </c>
      <c r="G159" s="229">
        <f>+$G$27</f>
        <v>44196</v>
      </c>
      <c r="H159" s="8">
        <f>+$H$27</f>
        <v>44561</v>
      </c>
      <c r="I159" s="228">
        <f>+$I$27</f>
        <v>44926</v>
      </c>
      <c r="J159" s="228">
        <f>+$J$27</f>
        <v>45291</v>
      </c>
      <c r="K159" s="228">
        <f>+$K$27</f>
        <v>45657</v>
      </c>
      <c r="L159" s="229">
        <f>+$L$27</f>
        <v>46022</v>
      </c>
    </row>
    <row r="160" spans="2:12" outlineLevel="1" x14ac:dyDescent="0.25">
      <c r="C160" s="1" t="s">
        <v>2</v>
      </c>
      <c r="E160" s="246"/>
      <c r="F160" s="246"/>
      <c r="G160" s="246"/>
      <c r="H160" s="246"/>
      <c r="I160" s="246"/>
      <c r="J160" s="246"/>
    </row>
    <row r="161" spans="3:12" outlineLevel="1" x14ac:dyDescent="0.25">
      <c r="C161" s="109" t="s">
        <v>156</v>
      </c>
      <c r="D161" s="14" t="s">
        <v>3</v>
      </c>
      <c r="E161" s="270">
        <f>E128</f>
        <v>83882</v>
      </c>
      <c r="F161" s="270">
        <f t="shared" ref="F161:L161" si="106">F128</f>
        <v>91701</v>
      </c>
      <c r="G161" s="275">
        <f t="shared" si="106"/>
        <v>86554</v>
      </c>
      <c r="H161" s="270">
        <f t="shared" si="106"/>
        <v>92024.50149684948</v>
      </c>
      <c r="I161" s="270">
        <f t="shared" ca="1" si="106"/>
        <v>118852.22881619036</v>
      </c>
      <c r="J161" s="270">
        <f t="shared" ca="1" si="106"/>
        <v>101503.94868020086</v>
      </c>
      <c r="K161" s="270">
        <f t="shared" ca="1" si="106"/>
        <v>99011.078969204507</v>
      </c>
      <c r="L161" s="270">
        <f t="shared" ca="1" si="106"/>
        <v>102702.88257744642</v>
      </c>
    </row>
    <row r="162" spans="3:12" outlineLevel="1" x14ac:dyDescent="0.25">
      <c r="C162" s="111" t="s">
        <v>157</v>
      </c>
      <c r="D162" s="16" t="s">
        <v>3</v>
      </c>
      <c r="E162" s="244">
        <f>-E135</f>
        <v>-42073</v>
      </c>
      <c r="F162" s="244">
        <f t="shared" ref="F162:L162" si="107">-F135</f>
        <v>-45306</v>
      </c>
      <c r="G162" s="273">
        <f t="shared" si="107"/>
        <v>-37821</v>
      </c>
      <c r="H162" s="244">
        <f t="shared" si="107"/>
        <v>-42515.194013027212</v>
      </c>
      <c r="I162" s="244">
        <f t="shared" ca="1" si="107"/>
        <v>-69466.858633398428</v>
      </c>
      <c r="J162" s="244">
        <f t="shared" ca="1" si="107"/>
        <v>-49286.609731687873</v>
      </c>
      <c r="K162" s="244">
        <f t="shared" ca="1" si="107"/>
        <v>-44392.499554564318</v>
      </c>
      <c r="L162" s="244">
        <f t="shared" ca="1" si="107"/>
        <v>-45758.104150912019</v>
      </c>
    </row>
    <row r="163" spans="3:12" outlineLevel="1" x14ac:dyDescent="0.25">
      <c r="C163" s="107" t="s">
        <v>158</v>
      </c>
      <c r="D163" s="14" t="s">
        <v>3</v>
      </c>
      <c r="E163" s="235">
        <f>SUM(E161:E162)</f>
        <v>41809</v>
      </c>
      <c r="F163" s="235">
        <f t="shared" ref="F163:L163" si="108">SUM(F161:F162)</f>
        <v>46395</v>
      </c>
      <c r="G163" s="235">
        <f t="shared" si="108"/>
        <v>48733</v>
      </c>
      <c r="H163" s="235">
        <f t="shared" si="108"/>
        <v>49509.307483822267</v>
      </c>
      <c r="I163" s="235">
        <f t="shared" ca="1" si="108"/>
        <v>49385.370182791929</v>
      </c>
      <c r="J163" s="235">
        <f t="shared" ca="1" si="108"/>
        <v>52217.338948512988</v>
      </c>
      <c r="K163" s="235">
        <f t="shared" ca="1" si="108"/>
        <v>54618.579414640189</v>
      </c>
      <c r="L163" s="235">
        <f t="shared" ca="1" si="108"/>
        <v>56944.778426534402</v>
      </c>
    </row>
    <row r="164" spans="3:12" outlineLevel="1" x14ac:dyDescent="0.25">
      <c r="E164" s="246"/>
      <c r="F164" s="246"/>
      <c r="G164" s="246"/>
      <c r="H164" s="246"/>
      <c r="I164" s="246"/>
      <c r="J164" s="246"/>
    </row>
    <row r="165" spans="3:12" outlineLevel="1" x14ac:dyDescent="0.25">
      <c r="C165" s="38" t="s">
        <v>159</v>
      </c>
      <c r="D165" s="27"/>
      <c r="E165" s="112"/>
      <c r="F165" s="112"/>
      <c r="G165" s="112"/>
      <c r="H165" s="246"/>
      <c r="I165" s="246"/>
      <c r="J165" s="246"/>
    </row>
    <row r="166" spans="3:12" outlineLevel="1" x14ac:dyDescent="0.25">
      <c r="C166" s="13" t="s">
        <v>160</v>
      </c>
      <c r="D166" s="14" t="s">
        <v>3</v>
      </c>
      <c r="E166" s="67">
        <v>15603</v>
      </c>
      <c r="F166" s="67">
        <v>16887</v>
      </c>
      <c r="G166" s="68">
        <v>17008</v>
      </c>
      <c r="H166" s="280">
        <f>AVERAGE(G45:H45)*H202</f>
        <v>17943.442309644557</v>
      </c>
      <c r="I166" s="280">
        <f t="shared" ref="I166:L166" si="109">AVERAGE(H45:I45)*I202</f>
        <v>18680.768897199196</v>
      </c>
      <c r="J166" s="280">
        <f t="shared" si="109"/>
        <v>19423.937998056212</v>
      </c>
      <c r="K166" s="280">
        <f t="shared" si="109"/>
        <v>20206.366390646701</v>
      </c>
      <c r="L166" s="280">
        <f t="shared" si="109"/>
        <v>21029.993916332263</v>
      </c>
    </row>
    <row r="167" spans="3:12" outlineLevel="1" x14ac:dyDescent="0.25">
      <c r="C167" s="13" t="s">
        <v>161</v>
      </c>
      <c r="D167" s="16" t="s">
        <v>3</v>
      </c>
      <c r="E167" s="70">
        <v>-3889</v>
      </c>
      <c r="F167" s="70">
        <v>-4855</v>
      </c>
      <c r="G167" s="71">
        <v>-4457</v>
      </c>
      <c r="H167" s="61">
        <f>AVERAGE(G45:H45)*H206</f>
        <v>-5235.3099798227395</v>
      </c>
      <c r="I167" s="61">
        <f t="shared" ref="I167:L167" si="110">AVERAGE(H45:I45)*I206</f>
        <v>-5450.4377783577311</v>
      </c>
      <c r="J167" s="61">
        <f t="shared" si="110"/>
        <v>-5667.2702313102709</v>
      </c>
      <c r="K167" s="61">
        <f t="shared" si="110"/>
        <v>-5895.5572623903627</v>
      </c>
      <c r="L167" s="61">
        <f t="shared" si="110"/>
        <v>-6135.8648539030946</v>
      </c>
    </row>
    <row r="168" spans="3:12" outlineLevel="1" x14ac:dyDescent="0.25">
      <c r="C168" s="83" t="s">
        <v>159</v>
      </c>
      <c r="D168" s="14" t="s">
        <v>3</v>
      </c>
      <c r="E168" s="20">
        <f t="shared" ref="E168:G168" si="111">SUM(E166:E167)</f>
        <v>11714</v>
      </c>
      <c r="F168" s="20">
        <f t="shared" si="111"/>
        <v>12032</v>
      </c>
      <c r="G168" s="20">
        <f t="shared" si="111"/>
        <v>12551</v>
      </c>
      <c r="H168" s="20">
        <f>SUM(H166:H167)</f>
        <v>12708.132329821818</v>
      </c>
      <c r="I168" s="20">
        <f t="shared" ref="I168:L168" si="112">SUM(I166:I167)</f>
        <v>13230.331118841465</v>
      </c>
      <c r="J168" s="20">
        <f t="shared" si="112"/>
        <v>13756.667766745941</v>
      </c>
      <c r="K168" s="20">
        <f t="shared" si="112"/>
        <v>14310.809128256338</v>
      </c>
      <c r="L168" s="20">
        <f t="shared" si="112"/>
        <v>14894.129062429169</v>
      </c>
    </row>
    <row r="169" spans="3:12" outlineLevel="1" x14ac:dyDescent="0.25">
      <c r="E169" s="246"/>
      <c r="F169" s="246"/>
      <c r="G169" s="246"/>
      <c r="H169" s="246"/>
      <c r="I169" s="246"/>
      <c r="J169" s="246"/>
    </row>
    <row r="170" spans="3:12" outlineLevel="1" x14ac:dyDescent="0.25">
      <c r="C170" s="1" t="s">
        <v>162</v>
      </c>
      <c r="D170" s="27"/>
      <c r="E170" s="112"/>
      <c r="F170" s="112"/>
      <c r="G170" s="112"/>
      <c r="H170" s="246"/>
      <c r="I170" s="246"/>
      <c r="J170" s="246"/>
    </row>
    <row r="171" spans="3:12" outlineLevel="1" x14ac:dyDescent="0.25">
      <c r="C171" s="13" t="s">
        <v>163</v>
      </c>
      <c r="D171" s="14" t="s">
        <v>3</v>
      </c>
      <c r="E171" s="68">
        <f>-806+3261-34+175</f>
        <v>2596</v>
      </c>
      <c r="F171" s="68">
        <f>-1572+1507+35-23+521</f>
        <v>468</v>
      </c>
      <c r="G171" s="68">
        <f>1229+6287+1-15+203</f>
        <v>7705</v>
      </c>
      <c r="H171" s="280">
        <v>0</v>
      </c>
      <c r="I171" s="280">
        <v>0</v>
      </c>
      <c r="J171" s="280">
        <v>0</v>
      </c>
      <c r="K171" s="280">
        <v>0</v>
      </c>
      <c r="L171" s="280">
        <v>0</v>
      </c>
    </row>
    <row r="172" spans="3:12" outlineLevel="1" x14ac:dyDescent="0.25">
      <c r="C172" s="13" t="s">
        <v>164</v>
      </c>
      <c r="D172" s="14" t="s">
        <v>3</v>
      </c>
      <c r="E172" s="68"/>
      <c r="F172" s="68"/>
      <c r="G172" s="68"/>
      <c r="H172" s="246"/>
      <c r="I172" s="246"/>
      <c r="J172" s="246"/>
    </row>
    <row r="173" spans="3:12" outlineLevel="1" x14ac:dyDescent="0.25">
      <c r="C173" s="60" t="s">
        <v>165</v>
      </c>
      <c r="D173" s="16" t="s">
        <v>3</v>
      </c>
      <c r="E173" s="71">
        <f>489+1042</f>
        <v>1531</v>
      </c>
      <c r="F173" s="71">
        <f>559+1227</f>
        <v>1786</v>
      </c>
      <c r="G173" s="71">
        <f>821+958</f>
        <v>1779</v>
      </c>
      <c r="H173" s="281">
        <f>(H163+H168)*H203</f>
        <v>1806.0966227477454</v>
      </c>
      <c r="I173" s="281">
        <f t="shared" ref="I173:L173" ca="1" si="113">(I163+I168)*I203</f>
        <v>1817.6576694668399</v>
      </c>
      <c r="J173" s="281">
        <f t="shared" ca="1" si="113"/>
        <v>1915.1451919986562</v>
      </c>
      <c r="K173" s="281">
        <f t="shared" ca="1" si="113"/>
        <v>2000.9363327754868</v>
      </c>
      <c r="L173" s="281">
        <f t="shared" ca="1" si="113"/>
        <v>2085.3961298685822</v>
      </c>
    </row>
    <row r="174" spans="3:12" outlineLevel="1" x14ac:dyDescent="0.25">
      <c r="C174" s="1" t="s">
        <v>162</v>
      </c>
      <c r="D174" s="14" t="s">
        <v>3</v>
      </c>
      <c r="E174" s="20">
        <f>SUM(E171:E173)</f>
        <v>4127</v>
      </c>
      <c r="F174" s="20">
        <f>SUM(F171:F173)</f>
        <v>2254</v>
      </c>
      <c r="G174" s="20">
        <f>SUM(G171:G173)</f>
        <v>9484</v>
      </c>
      <c r="H174" s="20">
        <f>SUM(H171:H173)</f>
        <v>1806.0966227477454</v>
      </c>
      <c r="I174" s="20">
        <f t="shared" ref="I174:L174" ca="1" si="114">SUM(I171:I173)</f>
        <v>1817.6576694668399</v>
      </c>
      <c r="J174" s="20">
        <f t="shared" ca="1" si="114"/>
        <v>1915.1451919986562</v>
      </c>
      <c r="K174" s="20">
        <f t="shared" ca="1" si="114"/>
        <v>2000.9363327754868</v>
      </c>
      <c r="L174" s="20">
        <f t="shared" ca="1" si="114"/>
        <v>2085.3961298685822</v>
      </c>
    </row>
    <row r="175" spans="3:12" outlineLevel="1" x14ac:dyDescent="0.25">
      <c r="E175" s="246"/>
      <c r="F175" s="246"/>
      <c r="G175" s="246"/>
      <c r="H175" s="246"/>
      <c r="I175" s="246"/>
      <c r="J175" s="246"/>
    </row>
    <row r="176" spans="3:12" outlineLevel="1" x14ac:dyDescent="0.25">
      <c r="C176" s="1" t="s">
        <v>166</v>
      </c>
      <c r="D176" s="14" t="s">
        <v>3</v>
      </c>
      <c r="E176" s="20">
        <f t="shared" ref="E176:L176" si="115">E163+E168+E174</f>
        <v>57650</v>
      </c>
      <c r="F176" s="20">
        <f t="shared" si="115"/>
        <v>60681</v>
      </c>
      <c r="G176" s="20">
        <f t="shared" si="115"/>
        <v>70768</v>
      </c>
      <c r="H176" s="20">
        <f t="shared" si="115"/>
        <v>64023.536436391834</v>
      </c>
      <c r="I176" s="20">
        <f t="shared" ca="1" si="115"/>
        <v>64433.358971100235</v>
      </c>
      <c r="J176" s="20">
        <f t="shared" ca="1" si="115"/>
        <v>67889.15190725759</v>
      </c>
      <c r="K176" s="20">
        <f t="shared" ca="1" si="115"/>
        <v>70930.324875672013</v>
      </c>
      <c r="L176" s="20">
        <f t="shared" ca="1" si="115"/>
        <v>73924.303618832142</v>
      </c>
    </row>
    <row r="177" spans="3:14" outlineLevel="1" x14ac:dyDescent="0.25">
      <c r="C177" s="1"/>
      <c r="D177" s="27"/>
      <c r="E177"/>
      <c r="F177"/>
      <c r="G177"/>
      <c r="H177"/>
      <c r="I177"/>
      <c r="J177"/>
      <c r="K177"/>
      <c r="L177"/>
    </row>
    <row r="178" spans="3:14" outlineLevel="1" x14ac:dyDescent="0.25">
      <c r="C178" t="s">
        <v>167</v>
      </c>
      <c r="D178" s="14" t="s">
        <v>3</v>
      </c>
      <c r="E178" s="67">
        <f>-E81</f>
        <v>-5187</v>
      </c>
      <c r="F178" s="67">
        <f t="shared" ref="F178:G178" si="116">-F81</f>
        <v>-7639</v>
      </c>
      <c r="G178" s="67">
        <f t="shared" si="116"/>
        <v>-14394</v>
      </c>
      <c r="H178" s="19">
        <f>-H81</f>
        <v>-15153.331195545725</v>
      </c>
      <c r="I178" s="19">
        <f t="shared" ref="I178:L178" si="117">-I81</f>
        <v>-15748.299929345134</v>
      </c>
      <c r="J178" s="19">
        <f t="shared" si="117"/>
        <v>-16374.807861803565</v>
      </c>
      <c r="K178" s="19">
        <f t="shared" si="117"/>
        <v>-17034.41224252035</v>
      </c>
      <c r="L178" s="19">
        <f t="shared" si="117"/>
        <v>-17728.748400520002</v>
      </c>
    </row>
    <row r="179" spans="3:14" outlineLevel="1" x14ac:dyDescent="0.25">
      <c r="C179" t="s">
        <v>168</v>
      </c>
      <c r="D179" s="14" t="s">
        <v>3</v>
      </c>
      <c r="E179" s="67">
        <v>-333</v>
      </c>
      <c r="F179" s="67">
        <v>-208</v>
      </c>
      <c r="G179" s="68">
        <v>-1948</v>
      </c>
      <c r="H179" s="19">
        <f ca="1">(H113+H114)*H207</f>
        <v>-882.92661386728435</v>
      </c>
      <c r="I179" s="19">
        <f t="shared" ref="I179:L179" ca="1" si="118">(I113+I114)*I207</f>
        <v>-900.94660304137585</v>
      </c>
      <c r="J179" s="19">
        <f t="shared" ca="1" si="118"/>
        <v>-919.66050480998115</v>
      </c>
      <c r="K179" s="19">
        <f t="shared" ca="1" si="118"/>
        <v>-939.10546162313847</v>
      </c>
      <c r="L179" s="19">
        <f t="shared" ca="1" si="118"/>
        <v>-959.32025178331662</v>
      </c>
    </row>
    <row r="180" spans="3:14" outlineLevel="1" x14ac:dyDescent="0.25">
      <c r="E180" s="246"/>
      <c r="F180" s="246"/>
      <c r="G180" s="246"/>
      <c r="H180" s="246"/>
      <c r="I180" s="246"/>
      <c r="J180" s="246"/>
    </row>
    <row r="181" spans="3:14" outlineLevel="1" x14ac:dyDescent="0.25">
      <c r="C181" s="1" t="s">
        <v>169</v>
      </c>
      <c r="D181" s="27"/>
      <c r="E181"/>
      <c r="F181" s="54"/>
      <c r="G181"/>
      <c r="H181" s="246"/>
      <c r="I181" s="246"/>
      <c r="J181" s="246"/>
    </row>
    <row r="182" spans="3:14" outlineLevel="1" x14ac:dyDescent="0.25">
      <c r="C182" s="13" t="s">
        <v>170</v>
      </c>
      <c r="D182" s="14" t="s">
        <v>3</v>
      </c>
      <c r="E182" s="67"/>
      <c r="F182" s="67"/>
      <c r="G182" s="68"/>
      <c r="H182" s="246"/>
      <c r="I182" s="246"/>
      <c r="J182" s="246"/>
    </row>
    <row r="183" spans="3:14" outlineLevel="1" x14ac:dyDescent="0.25">
      <c r="C183" s="13" t="s">
        <v>171</v>
      </c>
      <c r="D183" s="14" t="s">
        <v>3</v>
      </c>
      <c r="E183" s="67">
        <f>-17310-4347</f>
        <v>-21657</v>
      </c>
      <c r="F183" s="67">
        <f>-17816-4429</f>
        <v>-22245</v>
      </c>
      <c r="G183" s="68">
        <f>-14937-3966</f>
        <v>-18903</v>
      </c>
      <c r="H183" s="19">
        <f>(H$168+H$163)*H208</f>
        <v>-19190.918751995858</v>
      </c>
      <c r="I183" s="19">
        <f t="shared" ref="I183:L183" ca="1" si="119">(I$168+I$163)*I208</f>
        <v>-19313.762184334835</v>
      </c>
      <c r="J183" s="19">
        <f t="shared" ca="1" si="119"/>
        <v>-20349.62876017459</v>
      </c>
      <c r="K183" s="19">
        <f t="shared" ca="1" si="119"/>
        <v>-21261.213883336157</v>
      </c>
      <c r="L183" s="19">
        <f t="shared" ca="1" si="119"/>
        <v>-22158.652637945928</v>
      </c>
    </row>
    <row r="184" spans="3:14" outlineLevel="1" x14ac:dyDescent="0.25">
      <c r="C184" s="13" t="s">
        <v>172</v>
      </c>
      <c r="D184" s="14" t="s">
        <v>3</v>
      </c>
      <c r="E184" s="67"/>
      <c r="F184" s="67"/>
      <c r="G184" s="68"/>
      <c r="H184" s="19"/>
      <c r="I184" s="19"/>
      <c r="J184" s="19"/>
      <c r="K184" s="19"/>
      <c r="L184" s="19"/>
    </row>
    <row r="185" spans="3:14" outlineLevel="1" x14ac:dyDescent="0.25">
      <c r="C185" s="13" t="s">
        <v>173</v>
      </c>
      <c r="D185" s="14" t="s">
        <v>3</v>
      </c>
      <c r="E185" s="67">
        <f>-2291-E186</f>
        <v>-1498</v>
      </c>
      <c r="F185" s="67">
        <f>-4994-F186</f>
        <v>-3652</v>
      </c>
      <c r="G185" s="68">
        <f>-6266-G186</f>
        <v>-3592</v>
      </c>
      <c r="H185" s="19">
        <f>(H$168+H$163)*H209</f>
        <v>-3646.7111123720638</v>
      </c>
      <c r="I185" s="19">
        <f t="shared" ref="I185:L185" ca="1" si="120">(I$168+I$163)*I209</f>
        <v>-3670.0541589234899</v>
      </c>
      <c r="J185" s="19">
        <f t="shared" ca="1" si="120"/>
        <v>-3866.8923719275845</v>
      </c>
      <c r="K185" s="19">
        <f t="shared" ca="1" si="120"/>
        <v>-4040.1142818041308</v>
      </c>
      <c r="L185" s="19">
        <f t="shared" ca="1" si="120"/>
        <v>-4210.6480598583175</v>
      </c>
    </row>
    <row r="186" spans="3:14" outlineLevel="1" x14ac:dyDescent="0.25">
      <c r="C186" s="13" t="s">
        <v>174</v>
      </c>
      <c r="D186" s="14" t="s">
        <v>3</v>
      </c>
      <c r="E186" s="67">
        <v>-793</v>
      </c>
      <c r="F186" s="67">
        <v>-1342</v>
      </c>
      <c r="G186" s="68">
        <v>-2674</v>
      </c>
      <c r="H186" s="19">
        <f>(H$168+H$163)*H210</f>
        <v>-2714.7287067045932</v>
      </c>
      <c r="I186" s="19">
        <f t="shared" ref="I186:L186" ca="1" si="121">(I$168+I$163)*I210</f>
        <v>-2732.1060191986112</v>
      </c>
      <c r="J186" s="19">
        <f t="shared" ca="1" si="121"/>
        <v>-2878.6386978102341</v>
      </c>
      <c r="K186" s="19">
        <f t="shared" ca="1" si="121"/>
        <v>-3007.5906429688876</v>
      </c>
      <c r="L186" s="19">
        <f t="shared" ca="1" si="121"/>
        <v>-3134.5414565871774</v>
      </c>
    </row>
    <row r="187" spans="3:14" outlineLevel="1" x14ac:dyDescent="0.25">
      <c r="C187" s="13" t="s">
        <v>175</v>
      </c>
      <c r="D187" s="16" t="s">
        <v>3</v>
      </c>
      <c r="E187" s="71">
        <f>-34-37082-SUM(E182:E186)</f>
        <v>-13168</v>
      </c>
      <c r="F187" s="71">
        <f>60-39187-SUM(F182:F186)</f>
        <v>-11888</v>
      </c>
      <c r="G187" s="71">
        <f>-188-35929-SUM(G182:G186)</f>
        <v>-10948</v>
      </c>
      <c r="H187" s="61">
        <f>(H$168+H$163)*H211</f>
        <v>-11114.753134256502</v>
      </c>
      <c r="I187" s="61">
        <f t="shared" ref="I187:L187" ca="1" si="122">(I$168+I$163)*I211</f>
        <v>-11185.900036718922</v>
      </c>
      <c r="J187" s="61">
        <f t="shared" ca="1" si="122"/>
        <v>-11785.84011354766</v>
      </c>
      <c r="K187" s="61">
        <f t="shared" ca="1" si="122"/>
        <v>-12313.800433516597</v>
      </c>
      <c r="L187" s="61">
        <f t="shared" ca="1" si="122"/>
        <v>-12833.567639011375</v>
      </c>
    </row>
    <row r="188" spans="3:14" outlineLevel="1" x14ac:dyDescent="0.25">
      <c r="C188" s="73" t="s">
        <v>176</v>
      </c>
      <c r="D188" s="14" t="s">
        <v>3</v>
      </c>
      <c r="E188" s="20">
        <f t="shared" ref="E188:G188" si="123">SUM(E182:E187)</f>
        <v>-37116</v>
      </c>
      <c r="F188" s="20">
        <f t="shared" si="123"/>
        <v>-39127</v>
      </c>
      <c r="G188" s="20">
        <f t="shared" si="123"/>
        <v>-36117</v>
      </c>
      <c r="H188" s="20">
        <f>SUM(H182:H187)</f>
        <v>-36667.111705329022</v>
      </c>
      <c r="I188" s="20">
        <f t="shared" ref="I188:L188" ca="1" si="124">SUM(I182:I187)</f>
        <v>-36901.822399175857</v>
      </c>
      <c r="J188" s="20">
        <f t="shared" ca="1" si="124"/>
        <v>-38880.999943460069</v>
      </c>
      <c r="K188" s="20">
        <f t="shared" ca="1" si="124"/>
        <v>-40622.719241625775</v>
      </c>
      <c r="L188" s="20">
        <f t="shared" ca="1" si="124"/>
        <v>-42337.409793402796</v>
      </c>
    </row>
    <row r="189" spans="3:14" outlineLevel="1" x14ac:dyDescent="0.25">
      <c r="E189" s="249"/>
      <c r="F189" s="249"/>
      <c r="G189" s="278"/>
      <c r="H189" s="249"/>
      <c r="I189" s="249"/>
      <c r="J189" s="249"/>
      <c r="K189" s="249"/>
      <c r="L189" s="249"/>
    </row>
    <row r="190" spans="3:14" outlineLevel="1" x14ac:dyDescent="0.25">
      <c r="C190" s="1" t="s">
        <v>177</v>
      </c>
      <c r="D190" s="14" t="s">
        <v>3</v>
      </c>
      <c r="E190" s="235">
        <f>E188+E176+E178+E179</f>
        <v>15014</v>
      </c>
      <c r="F190" s="235">
        <f t="shared" ref="F190:L190" si="125">F188+F176+F178+F179</f>
        <v>13707</v>
      </c>
      <c r="G190" s="235">
        <f t="shared" si="125"/>
        <v>18309</v>
      </c>
      <c r="H190" s="235">
        <f t="shared" ca="1" si="125"/>
        <v>11320.166921649803</v>
      </c>
      <c r="I190" s="235">
        <f t="shared" ca="1" si="125"/>
        <v>10882.290039537869</v>
      </c>
      <c r="J190" s="235">
        <f t="shared" ca="1" si="125"/>
        <v>11713.683597183976</v>
      </c>
      <c r="K190" s="235">
        <f t="shared" ca="1" si="125"/>
        <v>12334.087929902751</v>
      </c>
      <c r="L190" s="235">
        <f t="shared" ca="1" si="125"/>
        <v>12898.825173126028</v>
      </c>
    </row>
    <row r="191" spans="3:14" outlineLevel="1" x14ac:dyDescent="0.25">
      <c r="C191" s="109" t="s">
        <v>378</v>
      </c>
      <c r="D191" s="16" t="s">
        <v>3</v>
      </c>
      <c r="E191" s="237">
        <v>-3427</v>
      </c>
      <c r="F191" s="237">
        <v>-2760</v>
      </c>
      <c r="G191" s="277">
        <v>-2780</v>
      </c>
      <c r="H191" s="244">
        <f ca="1">-Seller_Tax_Rate*H190</f>
        <v>-2264.0333843299609</v>
      </c>
      <c r="I191" s="244">
        <f ca="1">-Seller_Tax_Rate*I190</f>
        <v>-2176.458007907574</v>
      </c>
      <c r="J191" s="244">
        <f ca="1">-Seller_Tax_Rate*J190</f>
        <v>-2342.7367194367953</v>
      </c>
      <c r="K191" s="244">
        <f ca="1">-Seller_Tax_Rate*K190</f>
        <v>-2466.8175859805506</v>
      </c>
      <c r="L191" s="244">
        <f ca="1">-Seller_Tax_Rate*L190</f>
        <v>-2579.7650346252058</v>
      </c>
    </row>
    <row r="192" spans="3:14" outlineLevel="1" x14ac:dyDescent="0.25">
      <c r="C192" s="83" t="s">
        <v>379</v>
      </c>
      <c r="D192" s="14" t="s">
        <v>3</v>
      </c>
      <c r="E192" s="235">
        <f>SUM(E190:E191)</f>
        <v>11587</v>
      </c>
      <c r="F192" s="235">
        <f t="shared" ref="F192:G192" si="126">SUM(F190:F191)</f>
        <v>10947</v>
      </c>
      <c r="G192" s="235">
        <f t="shared" si="126"/>
        <v>15529</v>
      </c>
      <c r="H192" s="235">
        <f ca="1">SUM(H190:H191)</f>
        <v>9056.1335373198417</v>
      </c>
      <c r="I192" s="235">
        <f t="shared" ref="I192:L192" ca="1" si="127">SUM(I190:I191)</f>
        <v>8705.8320316302961</v>
      </c>
      <c r="J192" s="235">
        <f t="shared" ca="1" si="127"/>
        <v>9370.9468777471811</v>
      </c>
      <c r="K192" s="235">
        <f t="shared" ca="1" si="127"/>
        <v>9867.2703439222005</v>
      </c>
      <c r="L192" s="235">
        <f t="shared" ca="1" si="127"/>
        <v>10319.060138500823</v>
      </c>
      <c r="M192" s="249"/>
      <c r="N192" s="249"/>
    </row>
    <row r="193" spans="2:12" outlineLevel="1" x14ac:dyDescent="0.25">
      <c r="C193" s="111" t="s">
        <v>420</v>
      </c>
      <c r="D193" s="16" t="s">
        <v>3</v>
      </c>
      <c r="E193" s="237"/>
      <c r="F193" s="237"/>
      <c r="G193" s="277"/>
      <c r="H193" s="244"/>
      <c r="I193" s="244"/>
      <c r="J193" s="244"/>
      <c r="K193" s="244"/>
      <c r="L193" s="244"/>
    </row>
    <row r="194" spans="2:12" outlineLevel="1" x14ac:dyDescent="0.25">
      <c r="C194" s="121" t="s">
        <v>5</v>
      </c>
      <c r="D194" s="14" t="s">
        <v>3</v>
      </c>
      <c r="E194" s="235">
        <f t="shared" ref="E194:L194" si="128">SUM(E192:E193)</f>
        <v>11587</v>
      </c>
      <c r="F194" s="235">
        <f t="shared" si="128"/>
        <v>10947</v>
      </c>
      <c r="G194" s="235">
        <f t="shared" si="128"/>
        <v>15529</v>
      </c>
      <c r="H194" s="235">
        <f t="shared" ca="1" si="128"/>
        <v>9056.1335373198417</v>
      </c>
      <c r="I194" s="235">
        <f t="shared" ca="1" si="128"/>
        <v>8705.8320316302961</v>
      </c>
      <c r="J194" s="235">
        <f t="shared" ca="1" si="128"/>
        <v>9370.9468777471811</v>
      </c>
      <c r="K194" s="235">
        <f t="shared" ca="1" si="128"/>
        <v>9867.2703439222005</v>
      </c>
      <c r="L194" s="235">
        <f t="shared" ca="1" si="128"/>
        <v>10319.060138500823</v>
      </c>
    </row>
    <row r="195" spans="2:12" outlineLevel="1" x14ac:dyDescent="0.25">
      <c r="C195" s="232"/>
      <c r="F195" s="243"/>
      <c r="G195" s="276"/>
      <c r="H195" s="243"/>
      <c r="I195" s="243"/>
      <c r="J195" s="243"/>
    </row>
    <row r="196" spans="2:12" outlineLevel="1" x14ac:dyDescent="0.25">
      <c r="C196" s="230" t="s">
        <v>380</v>
      </c>
      <c r="D196" s="14" t="s">
        <v>183</v>
      </c>
      <c r="E196" s="250">
        <v>1551.4018530000001</v>
      </c>
      <c r="F196" s="250">
        <v>1551.2330870000001</v>
      </c>
      <c r="G196" s="279">
        <v>1551.310878</v>
      </c>
      <c r="H196" s="251">
        <f ca="1">G196+H252/Seller_Share_Price</f>
        <v>1551.310878</v>
      </c>
      <c r="I196" s="251">
        <f ca="1">H196+I252/Seller_Share_Price</f>
        <v>1551.310878</v>
      </c>
      <c r="J196" s="251">
        <f ca="1">I196+J252/Seller_Share_Price</f>
        <v>1551.310878</v>
      </c>
      <c r="K196" s="251">
        <f ca="1">J196+K252/Seller_Share_Price</f>
        <v>1551.310878</v>
      </c>
      <c r="L196" s="251">
        <f ca="1">K196+L252/Seller_Share_Price</f>
        <v>1551.310878</v>
      </c>
    </row>
    <row r="197" spans="2:12" outlineLevel="1" x14ac:dyDescent="0.25">
      <c r="C197" s="230" t="s">
        <v>381</v>
      </c>
      <c r="D197" s="14" t="s">
        <v>382</v>
      </c>
      <c r="E197" s="19">
        <f>+E194/E196</f>
        <v>7.4687289934544117</v>
      </c>
      <c r="F197" s="19">
        <f t="shared" ref="F197:L197" si="129">+F194/F196</f>
        <v>7.0569665459952891</v>
      </c>
      <c r="G197" s="20">
        <f t="shared" si="129"/>
        <v>10.010243736587787</v>
      </c>
      <c r="H197" s="19">
        <f t="shared" ca="1" si="129"/>
        <v>5.8377296683404305</v>
      </c>
      <c r="I197" s="19">
        <f ca="1">+I194/I196</f>
        <v>5.6119196707072252</v>
      </c>
      <c r="J197" s="19">
        <f t="shared" ca="1" si="129"/>
        <v>6.0406634225555793</v>
      </c>
      <c r="K197" s="19">
        <f t="shared" ca="1" si="129"/>
        <v>6.3606015298773659</v>
      </c>
      <c r="L197" s="19">
        <f t="shared" ca="1" si="129"/>
        <v>6.651832514579211</v>
      </c>
    </row>
    <row r="198" spans="2:12" x14ac:dyDescent="0.25">
      <c r="C198" s="232"/>
      <c r="F198" s="243"/>
      <c r="G198" s="243"/>
      <c r="H198" s="243"/>
      <c r="I198" s="243"/>
      <c r="J198" s="243"/>
    </row>
    <row r="199" spans="2:12" x14ac:dyDescent="0.25">
      <c r="B199" s="224"/>
      <c r="C199" s="224"/>
      <c r="D199" s="224"/>
      <c r="E199" s="225" t="str">
        <f>+$E$26</f>
        <v>Historical</v>
      </c>
      <c r="F199" s="225"/>
      <c r="G199" s="226"/>
      <c r="H199" s="225" t="str">
        <f>+$H$26</f>
        <v>Projected</v>
      </c>
      <c r="I199" s="225"/>
      <c r="J199" s="225"/>
      <c r="K199" s="225"/>
      <c r="L199" s="226"/>
    </row>
    <row r="200" spans="2:12" x14ac:dyDescent="0.25">
      <c r="B200" s="227" t="s">
        <v>421</v>
      </c>
      <c r="C200" s="227"/>
      <c r="D200" s="7" t="str">
        <f>+$D$27</f>
        <v>Units:</v>
      </c>
      <c r="E200" s="8">
        <f>+$E$27</f>
        <v>43465</v>
      </c>
      <c r="F200" s="228">
        <f>+$F$27</f>
        <v>43830</v>
      </c>
      <c r="G200" s="229">
        <f>+$G$27</f>
        <v>44196</v>
      </c>
      <c r="H200" s="8">
        <f>+$H$27</f>
        <v>44561</v>
      </c>
      <c r="I200" s="228">
        <f>+$I$27</f>
        <v>44926</v>
      </c>
      <c r="J200" s="228">
        <f>+$J$27</f>
        <v>45291</v>
      </c>
      <c r="K200" s="228">
        <f>+$K$27</f>
        <v>45657</v>
      </c>
      <c r="L200" s="229">
        <f>+$L$27</f>
        <v>46022</v>
      </c>
    </row>
    <row r="201" spans="2:12" outlineLevel="1" x14ac:dyDescent="0.25">
      <c r="C201" s="38" t="s">
        <v>377</v>
      </c>
      <c r="E201" s="231"/>
      <c r="F201" s="231"/>
      <c r="G201" s="231"/>
      <c r="H201" s="231"/>
      <c r="I201" s="246"/>
      <c r="J201" s="231"/>
    </row>
    <row r="202" spans="2:12" outlineLevel="1" x14ac:dyDescent="0.25">
      <c r="C202" s="232" t="s">
        <v>422</v>
      </c>
      <c r="D202" s="14" t="s">
        <v>11</v>
      </c>
      <c r="E202" s="155">
        <f>E166/AVERAGE(D45:E45)</f>
        <v>2.1070015975023327E-2</v>
      </c>
      <c r="F202" s="155">
        <f t="shared" ref="F202:G202" si="130">F166/AVERAGE(E45:F45)</f>
        <v>2.1737885154917994E-2</v>
      </c>
      <c r="G202" s="155">
        <f t="shared" si="130"/>
        <v>1.9574174243296123E-2</v>
      </c>
      <c r="H202" s="45">
        <v>1.9E-2</v>
      </c>
      <c r="I202" s="45">
        <v>1.9E-2</v>
      </c>
      <c r="J202" s="45">
        <v>1.9E-2</v>
      </c>
      <c r="K202" s="45">
        <v>1.9E-2</v>
      </c>
      <c r="L202" s="45">
        <v>1.9E-2</v>
      </c>
    </row>
    <row r="203" spans="2:12" outlineLevel="1" x14ac:dyDescent="0.25">
      <c r="C203" s="232" t="s">
        <v>423</v>
      </c>
      <c r="D203" s="14" t="s">
        <v>11</v>
      </c>
      <c r="E203" s="155">
        <f>E173/(E168+E163)</f>
        <v>2.8604525157408963E-2</v>
      </c>
      <c r="F203" s="155">
        <f t="shared" ref="F203:G203" si="131">F173/(F168+F163)</f>
        <v>3.0568059287658104E-2</v>
      </c>
      <c r="G203" s="155">
        <f t="shared" si="131"/>
        <v>2.9028784021930685E-2</v>
      </c>
      <c r="H203" s="159">
        <f>G203</f>
        <v>2.9028784021930685E-2</v>
      </c>
      <c r="I203" s="159">
        <f t="shared" ref="I203:L203" si="132">H203</f>
        <v>2.9028784021930685E-2</v>
      </c>
      <c r="J203" s="159">
        <f t="shared" si="132"/>
        <v>2.9028784021930685E-2</v>
      </c>
      <c r="K203" s="159">
        <f t="shared" si="132"/>
        <v>2.9028784021930685E-2</v>
      </c>
      <c r="L203" s="159">
        <f t="shared" si="132"/>
        <v>2.9028784021930685E-2</v>
      </c>
    </row>
    <row r="204" spans="2:12" outlineLevel="1" x14ac:dyDescent="0.25">
      <c r="E204" s="253"/>
      <c r="F204" s="241"/>
      <c r="G204" s="241"/>
      <c r="H204" s="241"/>
      <c r="I204" s="254"/>
      <c r="J204" s="253"/>
    </row>
    <row r="205" spans="2:12" outlineLevel="1" x14ac:dyDescent="0.25">
      <c r="C205" s="1" t="s">
        <v>169</v>
      </c>
      <c r="I205" s="1"/>
    </row>
    <row r="206" spans="2:12" outlineLevel="1" x14ac:dyDescent="0.25">
      <c r="C206" s="232" t="s">
        <v>424</v>
      </c>
      <c r="D206" s="14" t="s">
        <v>11</v>
      </c>
      <c r="E206" s="155">
        <f>E167/AVERAGE(D45:E45)</f>
        <v>-5.2516370010168376E-3</v>
      </c>
      <c r="F206" s="155">
        <f t="shared" ref="F206:G206" si="133">F167/AVERAGE(E45:F45)</f>
        <v>-6.2496258913440428E-3</v>
      </c>
      <c r="G206" s="155">
        <f t="shared" si="133"/>
        <v>-5.1294740476464495E-3</v>
      </c>
      <c r="H206" s="45">
        <f>AVERAGE(E206:G206)</f>
        <v>-5.5435789800024433E-3</v>
      </c>
      <c r="I206" s="45">
        <f>H206</f>
        <v>-5.5435789800024433E-3</v>
      </c>
      <c r="J206" s="45">
        <f t="shared" ref="J206:L207" si="134">I206</f>
        <v>-5.5435789800024433E-3</v>
      </c>
      <c r="K206" s="45">
        <f t="shared" si="134"/>
        <v>-5.5435789800024433E-3</v>
      </c>
      <c r="L206" s="45">
        <f t="shared" si="134"/>
        <v>-5.5435789800024433E-3</v>
      </c>
    </row>
    <row r="207" spans="2:12" outlineLevel="1" x14ac:dyDescent="0.25">
      <c r="C207" s="232" t="s">
        <v>425</v>
      </c>
      <c r="D207" s="14" t="s">
        <v>11</v>
      </c>
      <c r="E207" s="155">
        <f>E179/(E113+E114)</f>
        <v>-1.6031736097403629E-3</v>
      </c>
      <c r="F207" s="155">
        <f t="shared" ref="F207:G207" si="135">F179/(F113+F114)</f>
        <v>-7.9112419508818371E-4</v>
      </c>
      <c r="G207" s="155">
        <f t="shared" si="135"/>
        <v>-6.6555740432612314E-3</v>
      </c>
      <c r="H207" s="45">
        <f>AVERAGE(E207:G207)</f>
        <v>-3.0166239493632594E-3</v>
      </c>
      <c r="I207" s="45">
        <f>H207</f>
        <v>-3.0166239493632594E-3</v>
      </c>
      <c r="J207" s="45">
        <f t="shared" si="134"/>
        <v>-3.0166239493632594E-3</v>
      </c>
      <c r="K207" s="45">
        <f t="shared" si="134"/>
        <v>-3.0166239493632594E-3</v>
      </c>
      <c r="L207" s="45">
        <f t="shared" si="134"/>
        <v>-3.0166239493632594E-3</v>
      </c>
    </row>
    <row r="208" spans="2:12" outlineLevel="1" x14ac:dyDescent="0.25">
      <c r="C208" s="232" t="s">
        <v>426</v>
      </c>
      <c r="D208" s="14" t="s">
        <v>11</v>
      </c>
      <c r="E208" s="155">
        <f>E183/(E163+E168)</f>
        <v>-0.40462978532593463</v>
      </c>
      <c r="F208" s="155">
        <f t="shared" ref="F208:G208" si="136">F183/(F163+F168)</f>
        <v>-0.38073151111643588</v>
      </c>
      <c r="G208" s="155">
        <f t="shared" si="136"/>
        <v>-0.30844918738985705</v>
      </c>
      <c r="H208" s="45">
        <f>G208</f>
        <v>-0.30844918738985705</v>
      </c>
      <c r="I208" s="45">
        <f t="shared" ref="I208:L208" si="137">H208</f>
        <v>-0.30844918738985705</v>
      </c>
      <c r="J208" s="45">
        <f t="shared" si="137"/>
        <v>-0.30844918738985705</v>
      </c>
      <c r="K208" s="45">
        <f t="shared" si="137"/>
        <v>-0.30844918738985705</v>
      </c>
      <c r="L208" s="45">
        <f t="shared" si="137"/>
        <v>-0.30844918738985705</v>
      </c>
    </row>
    <row r="209" spans="2:12" outlineLevel="1" x14ac:dyDescent="0.25">
      <c r="C209" s="232" t="s">
        <v>427</v>
      </c>
      <c r="D209" s="14" t="s">
        <v>11</v>
      </c>
      <c r="E209" s="155">
        <f>E185/(E163+E168)</f>
        <v>-2.7987967789548419E-2</v>
      </c>
      <c r="F209" s="155">
        <f t="shared" ref="F209:G209" si="138">F185/(F163+F168)</f>
        <v>-6.2505348554606599E-2</v>
      </c>
      <c r="G209" s="155">
        <f t="shared" si="138"/>
        <v>-5.8612362117355266E-2</v>
      </c>
      <c r="H209" s="45">
        <f t="shared" ref="H209:L209" si="139">G209</f>
        <v>-5.8612362117355266E-2</v>
      </c>
      <c r="I209" s="45">
        <f t="shared" si="139"/>
        <v>-5.8612362117355266E-2</v>
      </c>
      <c r="J209" s="45">
        <f t="shared" si="139"/>
        <v>-5.8612362117355266E-2</v>
      </c>
      <c r="K209" s="45">
        <f t="shared" si="139"/>
        <v>-5.8612362117355266E-2</v>
      </c>
      <c r="L209" s="45">
        <f t="shared" si="139"/>
        <v>-5.8612362117355266E-2</v>
      </c>
    </row>
    <row r="210" spans="2:12" outlineLevel="1" x14ac:dyDescent="0.25">
      <c r="C210" s="232" t="s">
        <v>428</v>
      </c>
      <c r="D210" s="14" t="s">
        <v>11</v>
      </c>
      <c r="E210" s="155">
        <f>E186/(E163+E168)</f>
        <v>-1.4816060385254936E-2</v>
      </c>
      <c r="F210" s="155">
        <f t="shared" ref="F210:G210" si="140">F186/(F163+F168)</f>
        <v>-2.2968832902596402E-2</v>
      </c>
      <c r="G210" s="155">
        <f t="shared" si="140"/>
        <v>-4.3632922133020037E-2</v>
      </c>
      <c r="H210" s="45">
        <f t="shared" ref="H210:L210" si="141">G210</f>
        <v>-4.3632922133020037E-2</v>
      </c>
      <c r="I210" s="45">
        <f t="shared" si="141"/>
        <v>-4.3632922133020037E-2</v>
      </c>
      <c r="J210" s="45">
        <f t="shared" si="141"/>
        <v>-4.3632922133020037E-2</v>
      </c>
      <c r="K210" s="45">
        <f t="shared" si="141"/>
        <v>-4.3632922133020037E-2</v>
      </c>
      <c r="L210" s="45">
        <f t="shared" si="141"/>
        <v>-4.3632922133020037E-2</v>
      </c>
    </row>
    <row r="211" spans="2:12" outlineLevel="1" x14ac:dyDescent="0.25">
      <c r="C211" s="232" t="s">
        <v>384</v>
      </c>
      <c r="D211" s="14" t="s">
        <v>11</v>
      </c>
      <c r="E211" s="155">
        <f>E187/(E163+E168)</f>
        <v>-0.24602507333295967</v>
      </c>
      <c r="F211" s="155">
        <f t="shared" ref="F211:G211" si="142">F187/(F163+F168)</f>
        <v>-0.20346757492255294</v>
      </c>
      <c r="G211" s="155">
        <f t="shared" si="142"/>
        <v>-0.17864369166503491</v>
      </c>
      <c r="H211" s="45">
        <f t="shared" ref="H211:L211" si="143">G211</f>
        <v>-0.17864369166503491</v>
      </c>
      <c r="I211" s="45">
        <f t="shared" si="143"/>
        <v>-0.17864369166503491</v>
      </c>
      <c r="J211" s="45">
        <f t="shared" si="143"/>
        <v>-0.17864369166503491</v>
      </c>
      <c r="K211" s="45">
        <f t="shared" si="143"/>
        <v>-0.17864369166503491</v>
      </c>
      <c r="L211" s="45">
        <f t="shared" si="143"/>
        <v>-0.17864369166503491</v>
      </c>
    </row>
    <row r="212" spans="2:12" outlineLevel="1" x14ac:dyDescent="0.25">
      <c r="C212" s="232"/>
      <c r="I212" s="1"/>
    </row>
    <row r="213" spans="2:12" x14ac:dyDescent="0.25">
      <c r="B213" s="224"/>
      <c r="C213" s="224"/>
      <c r="D213" s="224"/>
      <c r="E213" s="225" t="str">
        <f>+$E$26</f>
        <v>Historical</v>
      </c>
      <c r="F213" s="225"/>
      <c r="G213" s="226"/>
      <c r="H213" s="225" t="str">
        <f>+$H$26</f>
        <v>Projected</v>
      </c>
      <c r="I213" s="225"/>
      <c r="J213" s="225"/>
      <c r="K213" s="225"/>
      <c r="L213" s="226"/>
    </row>
    <row r="214" spans="2:12" x14ac:dyDescent="0.25">
      <c r="B214" s="227" t="s">
        <v>25</v>
      </c>
      <c r="C214" s="227"/>
      <c r="D214" s="7" t="str">
        <f>+$D$27</f>
        <v>Units:</v>
      </c>
      <c r="E214" s="8">
        <f>+$E$27</f>
        <v>43465</v>
      </c>
      <c r="F214" s="228">
        <f>+$F$27</f>
        <v>43830</v>
      </c>
      <c r="G214" s="229">
        <f>+$G$27</f>
        <v>44196</v>
      </c>
      <c r="H214" s="8">
        <f>+$H$27</f>
        <v>44561</v>
      </c>
      <c r="I214" s="228">
        <f>+$I$27</f>
        <v>44926</v>
      </c>
      <c r="J214" s="228">
        <f>+$J$27</f>
        <v>45291</v>
      </c>
      <c r="K214" s="228">
        <f>+$K$27</f>
        <v>45657</v>
      </c>
      <c r="L214" s="229">
        <f>+$L$27</f>
        <v>46022</v>
      </c>
    </row>
    <row r="215" spans="2:12" outlineLevel="1" x14ac:dyDescent="0.25">
      <c r="C215" s="232"/>
      <c r="F215" s="243"/>
      <c r="G215" s="243"/>
      <c r="H215" s="243"/>
      <c r="I215" s="243"/>
      <c r="J215" s="243"/>
    </row>
    <row r="216" spans="2:12" outlineLevel="1" x14ac:dyDescent="0.25">
      <c r="C216" s="230" t="str">
        <f>Seller_Name&amp;" - Shareholders' Equity:"</f>
        <v>Rosbank Group - Shareholders' Equity:</v>
      </c>
      <c r="D216" s="14" t="s">
        <v>3</v>
      </c>
      <c r="E216" s="242">
        <f>E54+E55+E56+E57</f>
        <v>142384</v>
      </c>
      <c r="F216" s="242">
        <f t="shared" ref="F216:L216" si="144">F54+F55+F56+F57</f>
        <v>153427</v>
      </c>
      <c r="G216" s="242">
        <f t="shared" si="144"/>
        <v>164213</v>
      </c>
      <c r="H216" s="242">
        <f ca="1">H54+H55+H56+H57</f>
        <v>88371.551828677955</v>
      </c>
      <c r="I216" s="242">
        <f t="shared" ca="1" si="144"/>
        <v>93912.463773814306</v>
      </c>
      <c r="J216" s="242">
        <f t="shared" ca="1" si="144"/>
        <v>99788.410244399362</v>
      </c>
      <c r="K216" s="242">
        <f t="shared" ca="1" si="144"/>
        <v>106020.36199368857</v>
      </c>
      <c r="L216" s="242">
        <f t="shared" ca="1" si="144"/>
        <v>112630.4554664123</v>
      </c>
    </row>
    <row r="217" spans="2:12" outlineLevel="1" x14ac:dyDescent="0.25">
      <c r="C217" s="232" t="s">
        <v>385</v>
      </c>
      <c r="D217" s="14" t="s">
        <v>3</v>
      </c>
      <c r="E217" s="248"/>
      <c r="F217" s="248"/>
      <c r="G217" s="248"/>
      <c r="H217" s="248"/>
      <c r="I217" s="248"/>
      <c r="J217" s="248"/>
      <c r="K217" s="248"/>
      <c r="L217" s="248"/>
    </row>
    <row r="218" spans="2:12" outlineLevel="1" x14ac:dyDescent="0.25">
      <c r="C218" s="232" t="s">
        <v>386</v>
      </c>
      <c r="D218" s="14" t="s">
        <v>3</v>
      </c>
      <c r="E218" s="119">
        <f t="shared" ref="E218:L218" si="145">-E38</f>
        <v>-3686</v>
      </c>
      <c r="F218" s="119">
        <f t="shared" si="145"/>
        <v>-5813</v>
      </c>
      <c r="G218" s="119">
        <f t="shared" si="145"/>
        <v>-8277</v>
      </c>
      <c r="H218" s="119">
        <f t="shared" si="145"/>
        <v>-10340.773491523545</v>
      </c>
      <c r="I218" s="119">
        <f t="shared" si="145"/>
        <v>-12553.524324150216</v>
      </c>
      <c r="J218" s="119">
        <f t="shared" si="145"/>
        <v>-14932.343193437926</v>
      </c>
      <c r="K218" s="119">
        <f t="shared" si="145"/>
        <v>-17489.725168142795</v>
      </c>
      <c r="L218" s="119">
        <f t="shared" si="145"/>
        <v>-20238.971948000672</v>
      </c>
    </row>
    <row r="219" spans="2:12" outlineLevel="1" x14ac:dyDescent="0.25">
      <c r="C219" s="247" t="s">
        <v>387</v>
      </c>
      <c r="D219" s="16" t="s">
        <v>3</v>
      </c>
      <c r="E219" s="244"/>
      <c r="F219" s="244"/>
      <c r="G219" s="244"/>
      <c r="H219" s="244"/>
      <c r="I219" s="244"/>
      <c r="J219" s="244"/>
      <c r="K219" s="244"/>
      <c r="L219" s="244"/>
    </row>
    <row r="220" spans="2:12" outlineLevel="1" x14ac:dyDescent="0.25">
      <c r="C220" s="38" t="s">
        <v>388</v>
      </c>
      <c r="D220" s="14" t="s">
        <v>3</v>
      </c>
      <c r="E220" s="163">
        <f>SUM(E216:E219)</f>
        <v>138698</v>
      </c>
      <c r="F220" s="163">
        <f t="shared" ref="F220:G220" si="146">SUM(F216:F219)</f>
        <v>147614</v>
      </c>
      <c r="G220" s="163">
        <f t="shared" si="146"/>
        <v>155936</v>
      </c>
      <c r="H220" s="235">
        <f ca="1">SUM(H216:H219)</f>
        <v>78030.778337154406</v>
      </c>
      <c r="I220" s="235">
        <f t="shared" ref="I220:L220" ca="1" si="147">SUM(I216:I219)</f>
        <v>81358.939449664089</v>
      </c>
      <c r="J220" s="235">
        <f t="shared" ca="1" si="147"/>
        <v>84856.067050961428</v>
      </c>
      <c r="K220" s="235">
        <f t="shared" ca="1" si="147"/>
        <v>88530.636825545778</v>
      </c>
      <c r="L220" s="235">
        <f t="shared" ca="1" si="147"/>
        <v>92391.483518411624</v>
      </c>
    </row>
    <row r="221" spans="2:12" outlineLevel="1" x14ac:dyDescent="0.25">
      <c r="C221" s="232"/>
      <c r="E221" s="248"/>
      <c r="F221" s="248"/>
      <c r="G221" s="248"/>
    </row>
    <row r="222" spans="2:12" outlineLevel="1" x14ac:dyDescent="0.25">
      <c r="C222" s="230" t="str">
        <f>"Shareholders' Equity:"</f>
        <v>Shareholders' Equity:</v>
      </c>
      <c r="D222" s="14" t="s">
        <v>3</v>
      </c>
      <c r="E222" s="248">
        <f>E54+E55+E57</f>
        <v>137928</v>
      </c>
      <c r="F222" s="248">
        <f t="shared" ref="F222:G222" si="148">F54+F55+F57</f>
        <v>149421</v>
      </c>
      <c r="G222" s="248">
        <f t="shared" si="148"/>
        <v>160649</v>
      </c>
      <c r="H222" s="248">
        <f t="shared" ref="H222:L222" ca="1" si="149">H54+H55+H57</f>
        <v>84807.551828677955</v>
      </c>
      <c r="I222" s="248">
        <f t="shared" ca="1" si="149"/>
        <v>90348.463773814306</v>
      </c>
      <c r="J222" s="248">
        <f t="shared" ca="1" si="149"/>
        <v>96224.410244399362</v>
      </c>
      <c r="K222" s="248">
        <f t="shared" ca="1" si="149"/>
        <v>102456.36199368857</v>
      </c>
      <c r="L222" s="248">
        <f t="shared" ca="1" si="149"/>
        <v>109066.4554664123</v>
      </c>
    </row>
    <row r="223" spans="2:12" outlineLevel="1" x14ac:dyDescent="0.25">
      <c r="C223" s="232" t="s">
        <v>389</v>
      </c>
      <c r="D223" s="14" t="s">
        <v>3</v>
      </c>
      <c r="E223" s="119">
        <f>E58</f>
        <v>10421</v>
      </c>
      <c r="F223" s="119">
        <f t="shared" ref="F223:G223" si="150">F58</f>
        <v>18572</v>
      </c>
      <c r="G223" s="119">
        <f t="shared" si="150"/>
        <v>22162</v>
      </c>
      <c r="H223" s="119">
        <f t="shared" ref="H223:L223" si="151">H58</f>
        <v>22162</v>
      </c>
      <c r="I223" s="119">
        <f t="shared" si="151"/>
        <v>22162</v>
      </c>
      <c r="J223" s="119">
        <f t="shared" si="151"/>
        <v>22162</v>
      </c>
      <c r="K223" s="119">
        <f t="shared" si="151"/>
        <v>22162</v>
      </c>
      <c r="L223" s="119">
        <f t="shared" si="151"/>
        <v>22162</v>
      </c>
    </row>
    <row r="224" spans="2:12" outlineLevel="1" x14ac:dyDescent="0.25">
      <c r="C224" s="232" t="s">
        <v>349</v>
      </c>
      <c r="D224" s="14" t="s">
        <v>3</v>
      </c>
      <c r="E224" s="117">
        <v>3923</v>
      </c>
      <c r="F224" s="117">
        <f>3923+1903</f>
        <v>5826</v>
      </c>
      <c r="G224" s="117">
        <v>8344</v>
      </c>
      <c r="H224" s="284">
        <f ca="1">H220*H235</f>
        <v>3154.0406643646652</v>
      </c>
      <c r="I224" s="284">
        <f t="shared" ref="I224:L224" ca="1" si="152">I220*I235</f>
        <v>3288.566497761542</v>
      </c>
      <c r="J224" s="284">
        <f t="shared" ca="1" si="152"/>
        <v>3429.9220358968305</v>
      </c>
      <c r="K224" s="284">
        <f t="shared" ca="1" si="152"/>
        <v>3578.4498699139094</v>
      </c>
      <c r="L224" s="284">
        <f t="shared" ca="1" si="152"/>
        <v>3734.5071043498051</v>
      </c>
    </row>
    <row r="225" spans="3:12" outlineLevel="1" x14ac:dyDescent="0.25">
      <c r="C225" s="232" t="s">
        <v>385</v>
      </c>
      <c r="D225" s="14" t="s">
        <v>3</v>
      </c>
      <c r="E225" s="248"/>
      <c r="F225" s="248"/>
      <c r="G225" s="248"/>
      <c r="H225" s="285"/>
      <c r="I225" s="285"/>
      <c r="J225" s="285"/>
      <c r="K225" s="285"/>
      <c r="L225" s="285"/>
    </row>
    <row r="226" spans="3:12" outlineLevel="1" x14ac:dyDescent="0.25">
      <c r="C226" s="232" t="s">
        <v>390</v>
      </c>
      <c r="D226" s="16" t="s">
        <v>3</v>
      </c>
      <c r="E226" s="119">
        <f>E218</f>
        <v>-3686</v>
      </c>
      <c r="F226" s="119">
        <f t="shared" ref="F226:L226" si="153">F218</f>
        <v>-5813</v>
      </c>
      <c r="G226" s="119">
        <f t="shared" si="153"/>
        <v>-8277</v>
      </c>
      <c r="H226" s="286">
        <f t="shared" si="153"/>
        <v>-10340.773491523545</v>
      </c>
      <c r="I226" s="286">
        <f t="shared" si="153"/>
        <v>-12553.524324150216</v>
      </c>
      <c r="J226" s="286">
        <f t="shared" si="153"/>
        <v>-14932.343193437926</v>
      </c>
      <c r="K226" s="286">
        <f t="shared" si="153"/>
        <v>-17489.725168142795</v>
      </c>
      <c r="L226" s="286">
        <f t="shared" si="153"/>
        <v>-20238.971948000672</v>
      </c>
    </row>
    <row r="227" spans="3:12" outlineLevel="1" x14ac:dyDescent="0.25">
      <c r="C227" s="73" t="s">
        <v>293</v>
      </c>
      <c r="D227" s="14" t="s">
        <v>3</v>
      </c>
      <c r="E227" s="245">
        <f t="shared" ref="E227:L227" si="154">SUM(E222:E226)</f>
        <v>148586</v>
      </c>
      <c r="F227" s="245">
        <f t="shared" si="154"/>
        <v>168006</v>
      </c>
      <c r="G227" s="245">
        <f t="shared" si="154"/>
        <v>182878</v>
      </c>
      <c r="H227" s="287">
        <f t="shared" ca="1" si="154"/>
        <v>99782.819001519078</v>
      </c>
      <c r="I227" s="287">
        <f t="shared" ca="1" si="154"/>
        <v>103245.50594742563</v>
      </c>
      <c r="J227" s="287">
        <f t="shared" ca="1" si="154"/>
        <v>106883.98908685826</v>
      </c>
      <c r="K227" s="287">
        <f t="shared" ca="1" si="154"/>
        <v>110707.08669545967</v>
      </c>
      <c r="L227" s="287">
        <f t="shared" ca="1" si="154"/>
        <v>114723.99062276144</v>
      </c>
    </row>
    <row r="228" spans="3:12" outlineLevel="1" x14ac:dyDescent="0.25">
      <c r="C228" s="232" t="s">
        <v>349</v>
      </c>
      <c r="D228" s="14" t="s">
        <v>3</v>
      </c>
      <c r="E228" s="117">
        <v>-1901</v>
      </c>
      <c r="F228" s="117">
        <v>3880</v>
      </c>
      <c r="G228" s="117">
        <v>3392</v>
      </c>
      <c r="H228" s="284">
        <f ca="1">H220*H236</f>
        <v>892.96461584289318</v>
      </c>
      <c r="I228" s="284">
        <f t="shared" ref="I228:L228" ca="1" si="155">I220*I236</f>
        <v>931.05125514891654</v>
      </c>
      <c r="J228" s="284">
        <f t="shared" ca="1" si="155"/>
        <v>971.07150448633899</v>
      </c>
      <c r="K228" s="284">
        <f t="shared" ca="1" si="155"/>
        <v>1013.1223574583802</v>
      </c>
      <c r="L228" s="284">
        <f t="shared" ca="1" si="155"/>
        <v>1057.3049166663238</v>
      </c>
    </row>
    <row r="229" spans="3:12" outlineLevel="1" x14ac:dyDescent="0.25">
      <c r="C229" s="232" t="s">
        <v>391</v>
      </c>
      <c r="D229" s="16" t="s">
        <v>3</v>
      </c>
      <c r="E229" s="119">
        <f>E47</f>
        <v>31077</v>
      </c>
      <c r="F229" s="119">
        <f t="shared" ref="F229:L229" si="156">F47</f>
        <v>17987</v>
      </c>
      <c r="G229" s="119">
        <f t="shared" si="156"/>
        <v>21450</v>
      </c>
      <c r="H229" s="119">
        <f t="shared" si="156"/>
        <v>21450</v>
      </c>
      <c r="I229" s="119">
        <f t="shared" si="156"/>
        <v>21450</v>
      </c>
      <c r="J229" s="119">
        <f t="shared" si="156"/>
        <v>21450</v>
      </c>
      <c r="K229" s="119">
        <f t="shared" si="156"/>
        <v>21450</v>
      </c>
      <c r="L229" s="119">
        <f t="shared" si="156"/>
        <v>21450</v>
      </c>
    </row>
    <row r="230" spans="3:12" outlineLevel="1" x14ac:dyDescent="0.25">
      <c r="C230" s="83" t="s">
        <v>392</v>
      </c>
      <c r="D230" s="14" t="s">
        <v>3</v>
      </c>
      <c r="E230" s="245">
        <f t="shared" ref="E230:L230" si="157">SUM(E228:E229)</f>
        <v>29176</v>
      </c>
      <c r="F230" s="245">
        <f t="shared" si="157"/>
        <v>21867</v>
      </c>
      <c r="G230" s="245">
        <f t="shared" si="157"/>
        <v>24842</v>
      </c>
      <c r="H230" s="245">
        <f t="shared" ca="1" si="157"/>
        <v>22342.964615842895</v>
      </c>
      <c r="I230" s="245">
        <f t="shared" ca="1" si="157"/>
        <v>22381.051255148916</v>
      </c>
      <c r="J230" s="245">
        <f t="shared" ca="1" si="157"/>
        <v>22421.071504486339</v>
      </c>
      <c r="K230" s="245">
        <f t="shared" ca="1" si="157"/>
        <v>22463.122357458382</v>
      </c>
      <c r="L230" s="245">
        <f t="shared" ca="1" si="157"/>
        <v>22507.304916666322</v>
      </c>
    </row>
    <row r="231" spans="3:12" outlineLevel="1" x14ac:dyDescent="0.25">
      <c r="G231" s="248"/>
    </row>
    <row r="232" spans="3:12" outlineLevel="1" x14ac:dyDescent="0.25">
      <c r="C232" s="223" t="s">
        <v>429</v>
      </c>
      <c r="D232" s="14" t="s">
        <v>3</v>
      </c>
      <c r="E232" s="117">
        <v>148586</v>
      </c>
      <c r="F232" s="117">
        <v>168006</v>
      </c>
      <c r="G232" s="117">
        <v>182878</v>
      </c>
      <c r="H232" s="238"/>
      <c r="I232" s="238"/>
      <c r="J232" s="238"/>
      <c r="K232" s="238"/>
      <c r="L232" s="238"/>
    </row>
    <row r="233" spans="3:12" outlineLevel="1" x14ac:dyDescent="0.25">
      <c r="C233" s="223" t="s">
        <v>430</v>
      </c>
      <c r="D233" s="14" t="s">
        <v>3</v>
      </c>
      <c r="E233" s="117">
        <v>29176</v>
      </c>
      <c r="F233" s="117">
        <v>21867</v>
      </c>
      <c r="G233" s="117">
        <v>24842</v>
      </c>
      <c r="H233" s="282"/>
      <c r="I233" s="282"/>
      <c r="J233" s="282"/>
      <c r="K233" s="282"/>
      <c r="L233" s="282"/>
    </row>
    <row r="234" spans="3:12" outlineLevel="1" x14ac:dyDescent="0.25">
      <c r="D234" s="14"/>
      <c r="E234" s="117"/>
      <c r="F234" s="117"/>
      <c r="G234" s="117"/>
      <c r="H234" s="282"/>
      <c r="I234" s="282"/>
      <c r="J234" s="282"/>
      <c r="K234" s="282"/>
      <c r="L234" s="282"/>
    </row>
    <row r="235" spans="3:12" outlineLevel="1" x14ac:dyDescent="0.25">
      <c r="C235" s="223" t="s">
        <v>431</v>
      </c>
      <c r="D235" s="14"/>
      <c r="E235" s="94">
        <f>E224/E220</f>
        <v>2.82844741813148E-2</v>
      </c>
      <c r="F235" s="94">
        <f t="shared" ref="F235:G235" si="158">F224/F220</f>
        <v>3.9467801157071825E-2</v>
      </c>
      <c r="G235" s="94">
        <f t="shared" si="158"/>
        <v>5.3509131951569873E-2</v>
      </c>
      <c r="H235" s="283">
        <f>AVERAGE(E235:G235)</f>
        <v>4.0420469096652166E-2</v>
      </c>
      <c r="I235" s="283">
        <f>H235</f>
        <v>4.0420469096652166E-2</v>
      </c>
      <c r="J235" s="283">
        <f t="shared" ref="J235:L235" si="159">I235</f>
        <v>4.0420469096652166E-2</v>
      </c>
      <c r="K235" s="283">
        <f t="shared" si="159"/>
        <v>4.0420469096652166E-2</v>
      </c>
      <c r="L235" s="283">
        <f t="shared" si="159"/>
        <v>4.0420469096652166E-2</v>
      </c>
    </row>
    <row r="236" spans="3:12" outlineLevel="1" x14ac:dyDescent="0.25">
      <c r="C236" s="223" t="s">
        <v>432</v>
      </c>
      <c r="D236" s="14"/>
      <c r="E236" s="94">
        <f>E228/E220</f>
        <v>-1.3706037578047269E-2</v>
      </c>
      <c r="F236" s="94">
        <f t="shared" ref="F236:G236" si="160">F228/F220</f>
        <v>2.6284769737287793E-2</v>
      </c>
      <c r="G236" s="94">
        <f t="shared" si="160"/>
        <v>2.1752513851836651E-2</v>
      </c>
      <c r="H236" s="283">
        <f>AVERAGE(E236:G236)</f>
        <v>1.1443748670359058E-2</v>
      </c>
      <c r="I236" s="283">
        <f>H236</f>
        <v>1.1443748670359058E-2</v>
      </c>
      <c r="J236" s="283">
        <f t="shared" ref="J236:L236" si="161">I236</f>
        <v>1.1443748670359058E-2</v>
      </c>
      <c r="K236" s="283">
        <f t="shared" si="161"/>
        <v>1.1443748670359058E-2</v>
      </c>
      <c r="L236" s="283">
        <f t="shared" si="161"/>
        <v>1.1443748670359058E-2</v>
      </c>
    </row>
    <row r="237" spans="3:12" outlineLevel="1" x14ac:dyDescent="0.25">
      <c r="D237" s="14"/>
      <c r="E237" s="117"/>
      <c r="F237" s="117"/>
      <c r="G237" s="117"/>
      <c r="H237" s="282"/>
      <c r="I237" s="282"/>
      <c r="J237" s="282"/>
      <c r="K237" s="282"/>
      <c r="L237" s="282"/>
    </row>
    <row r="238" spans="3:12" outlineLevel="1" x14ac:dyDescent="0.25">
      <c r="C238" s="1" t="s">
        <v>393</v>
      </c>
      <c r="D238" s="14" t="s">
        <v>3</v>
      </c>
      <c r="E238" s="163">
        <f t="shared" ref="E238:L238" si="162">+E227+E230</f>
        <v>177762</v>
      </c>
      <c r="F238" s="163">
        <f t="shared" si="162"/>
        <v>189873</v>
      </c>
      <c r="G238" s="163">
        <f t="shared" si="162"/>
        <v>207720</v>
      </c>
      <c r="H238" s="163">
        <f t="shared" ca="1" si="162"/>
        <v>122125.78361736197</v>
      </c>
      <c r="I238" s="163">
        <f t="shared" ca="1" si="162"/>
        <v>125626.55720257454</v>
      </c>
      <c r="J238" s="163">
        <f t="shared" ca="1" si="162"/>
        <v>129305.06059134461</v>
      </c>
      <c r="K238" s="163">
        <f t="shared" ca="1" si="162"/>
        <v>133170.20905291804</v>
      </c>
      <c r="L238" s="163">
        <f t="shared" ca="1" si="162"/>
        <v>137231.29553942775</v>
      </c>
    </row>
    <row r="239" spans="3:12" outlineLevel="1" x14ac:dyDescent="0.25"/>
    <row r="240" spans="3:12" outlineLevel="1" x14ac:dyDescent="0.25">
      <c r="C240" s="223" t="s">
        <v>394</v>
      </c>
      <c r="D240" s="14" t="s">
        <v>3</v>
      </c>
      <c r="E240" s="117">
        <f>E238/21.6%</f>
        <v>822972.22222222213</v>
      </c>
      <c r="F240" s="117">
        <f>F238/21.6%</f>
        <v>879041.66666666651</v>
      </c>
      <c r="G240" s="117">
        <f>G238/22.5%</f>
        <v>923200</v>
      </c>
      <c r="H240" s="119">
        <f ca="1">+H241*H115</f>
        <v>950311.687621105</v>
      </c>
      <c r="I240" s="119">
        <f ca="1">+I241*I115</f>
        <v>983289.46329640539</v>
      </c>
      <c r="J240" s="119">
        <f ca="1">+J241*J115</f>
        <v>1017941.8551005254</v>
      </c>
      <c r="K240" s="119">
        <f ca="1">+K241*K115</f>
        <v>1054352.356134824</v>
      </c>
      <c r="L240" s="119">
        <f ca="1">+L241*L115</f>
        <v>1092608.5840138865</v>
      </c>
    </row>
    <row r="241" spans="2:12" outlineLevel="1" x14ac:dyDescent="0.25">
      <c r="C241" s="230" t="s">
        <v>295</v>
      </c>
      <c r="D241" s="14" t="s">
        <v>11</v>
      </c>
      <c r="E241" s="255">
        <f>+E240/E115</f>
        <v>0.84342701416986976</v>
      </c>
      <c r="F241" s="255">
        <f>+F240/F115</f>
        <v>0.82023186236682732</v>
      </c>
      <c r="G241" s="255">
        <f>+G240/G115</f>
        <v>0.81893921115006318</v>
      </c>
      <c r="H241" s="159">
        <f>G241</f>
        <v>0.81893921115006318</v>
      </c>
      <c r="I241" s="159">
        <f t="shared" ref="I241:L241" si="163">H241</f>
        <v>0.81893921115006318</v>
      </c>
      <c r="J241" s="159">
        <f t="shared" si="163"/>
        <v>0.81893921115006318</v>
      </c>
      <c r="K241" s="159">
        <f t="shared" si="163"/>
        <v>0.81893921115006318</v>
      </c>
      <c r="L241" s="159">
        <f t="shared" si="163"/>
        <v>0.81893921115006318</v>
      </c>
    </row>
    <row r="242" spans="2:12" outlineLevel="1" x14ac:dyDescent="0.25"/>
    <row r="243" spans="2:12" outlineLevel="1" x14ac:dyDescent="0.25">
      <c r="C243" s="1" t="s">
        <v>27</v>
      </c>
      <c r="D243" s="14" t="s">
        <v>11</v>
      </c>
      <c r="E243" s="257">
        <f t="shared" ref="E243:L243" si="164">+E227/E240</f>
        <v>0.18054801363621023</v>
      </c>
      <c r="F243" s="257">
        <f t="shared" si="164"/>
        <v>0.1911240460729014</v>
      </c>
      <c r="G243" s="257">
        <f t="shared" si="164"/>
        <v>0.19809142114384748</v>
      </c>
      <c r="H243" s="257">
        <f t="shared" ca="1" si="164"/>
        <v>0.10500009660125646</v>
      </c>
      <c r="I243" s="257">
        <f t="shared" ca="1" si="164"/>
        <v>0.10500011420981029</v>
      </c>
      <c r="J243" s="257">
        <f t="shared" ca="1" si="164"/>
        <v>0.10500009263918426</v>
      </c>
      <c r="K243" s="257">
        <f t="shared" ca="1" si="164"/>
        <v>0.10500008469777929</v>
      </c>
      <c r="L243" s="257">
        <f t="shared" ca="1" si="164"/>
        <v>0.10500008173220005</v>
      </c>
    </row>
    <row r="244" spans="2:12" outlineLevel="1" x14ac:dyDescent="0.25">
      <c r="C244" s="1" t="s">
        <v>28</v>
      </c>
      <c r="D244" s="14" t="s">
        <v>11</v>
      </c>
      <c r="E244" s="257">
        <f t="shared" ref="E244:L244" si="165">+E238/E240</f>
        <v>0.21600000000000003</v>
      </c>
      <c r="F244" s="257">
        <f t="shared" si="165"/>
        <v>0.21600000000000003</v>
      </c>
      <c r="G244" s="257">
        <f t="shared" si="165"/>
        <v>0.22500000000000001</v>
      </c>
      <c r="H244" s="257">
        <f t="shared" ca="1" si="165"/>
        <v>0.12851129288231405</v>
      </c>
      <c r="I244" s="257">
        <f t="shared" ca="1" si="165"/>
        <v>0.12776152078495864</v>
      </c>
      <c r="J244" s="257">
        <f t="shared" ca="1" si="165"/>
        <v>0.12702597888420186</v>
      </c>
      <c r="K244" s="257">
        <f t="shared" ca="1" si="165"/>
        <v>0.12630522261183155</v>
      </c>
      <c r="L244" s="257">
        <f t="shared" ca="1" si="165"/>
        <v>0.1255996864268491</v>
      </c>
    </row>
    <row r="245" spans="2:12" outlineLevel="1" x14ac:dyDescent="0.25">
      <c r="C245" s="232"/>
      <c r="F245" s="243"/>
      <c r="G245" s="243"/>
      <c r="H245" s="252"/>
      <c r="I245" s="252"/>
      <c r="J245" s="252"/>
      <c r="K245" s="252"/>
      <c r="L245" s="252"/>
    </row>
    <row r="246" spans="2:12" outlineLevel="1" x14ac:dyDescent="0.25">
      <c r="C246" s="223" t="s">
        <v>446</v>
      </c>
      <c r="D246" s="14" t="s">
        <v>3</v>
      </c>
      <c r="E246" s="100"/>
      <c r="F246" s="243"/>
      <c r="G246" s="243"/>
      <c r="H246" s="248">
        <f ca="1">Seller_CET_1*H240</f>
        <v>99782.727200216017</v>
      </c>
      <c r="I246" s="248">
        <f ca="1">Seller_CET_1*I240</f>
        <v>103245.39364612257</v>
      </c>
      <c r="J246" s="248">
        <f ca="1">Seller_CET_1*J240</f>
        <v>106883.89478555517</v>
      </c>
      <c r="K246" s="248">
        <f ca="1">Seller_CET_1*K240</f>
        <v>110706.99739415651</v>
      </c>
      <c r="L246" s="248">
        <f ca="1">Seller_CET_1*L240</f>
        <v>114723.90132145808</v>
      </c>
    </row>
    <row r="247" spans="2:12" outlineLevel="1" x14ac:dyDescent="0.25">
      <c r="C247" s="230" t="s">
        <v>277</v>
      </c>
      <c r="D247" s="14" t="s">
        <v>11</v>
      </c>
      <c r="E247" s="255"/>
      <c r="F247" s="255"/>
      <c r="G247" s="255"/>
      <c r="H247" s="159">
        <v>0.5</v>
      </c>
      <c r="I247" s="159">
        <v>0.5</v>
      </c>
      <c r="J247" s="159">
        <v>0.5</v>
      </c>
      <c r="K247" s="159">
        <v>0.5</v>
      </c>
      <c r="L247" s="159">
        <v>0.5</v>
      </c>
    </row>
    <row r="248" spans="2:12" outlineLevel="1" x14ac:dyDescent="0.25">
      <c r="C248" s="230" t="s">
        <v>581</v>
      </c>
      <c r="D248" s="14" t="s">
        <v>3</v>
      </c>
      <c r="E248" s="255"/>
      <c r="F248" s="389">
        <f>AVERAGE(E58:F58)*7%</f>
        <v>1014.7550000000001</v>
      </c>
      <c r="G248" s="389">
        <f t="shared" ref="G248:L248" si="166">AVERAGE(F58:G58)*7%</f>
        <v>1425.69</v>
      </c>
      <c r="H248" s="389">
        <f t="shared" si="166"/>
        <v>1551.3400000000001</v>
      </c>
      <c r="I248" s="389">
        <f t="shared" si="166"/>
        <v>1551.3400000000001</v>
      </c>
      <c r="J248" s="389">
        <f t="shared" si="166"/>
        <v>1551.3400000000001</v>
      </c>
      <c r="K248" s="389">
        <f t="shared" si="166"/>
        <v>1551.3400000000001</v>
      </c>
      <c r="L248" s="389">
        <f t="shared" si="166"/>
        <v>1551.3400000000001</v>
      </c>
    </row>
    <row r="249" spans="2:12" outlineLevel="1" x14ac:dyDescent="0.25">
      <c r="C249" s="223" t="s">
        <v>278</v>
      </c>
      <c r="D249" s="14" t="s">
        <v>3</v>
      </c>
      <c r="E249" s="100"/>
      <c r="F249" s="243"/>
      <c r="G249" s="243"/>
      <c r="H249" s="248">
        <f ca="1">+H247*H194</f>
        <v>4528.0667686599209</v>
      </c>
      <c r="I249" s="248">
        <f ca="1">+I247*I194</f>
        <v>4352.9160158151481</v>
      </c>
      <c r="J249" s="248">
        <f ca="1">+J247*J194</f>
        <v>4685.4734388735906</v>
      </c>
      <c r="K249" s="248">
        <f ca="1">+K247*K194</f>
        <v>4933.6351719611002</v>
      </c>
      <c r="L249" s="248">
        <f ca="1">+L247*L194</f>
        <v>5159.5300692504115</v>
      </c>
    </row>
    <row r="250" spans="2:12" outlineLevel="1" x14ac:dyDescent="0.25">
      <c r="C250" s="223" t="s">
        <v>395</v>
      </c>
      <c r="D250" s="14" t="s">
        <v>3</v>
      </c>
      <c r="F250" s="243"/>
      <c r="G250" s="243"/>
      <c r="H250" s="248">
        <f ca="1">MAX(G222+H194+SUM(H223:H226)-H246,0)</f>
        <v>84897.673509944943</v>
      </c>
      <c r="I250" s="248">
        <f t="shared" ref="I250:L250" ca="1" si="167">MAX(H222+I194+SUM(I223:I226)-I246,0)</f>
        <v>3165.0323877970077</v>
      </c>
      <c r="J250" s="248">
        <f t="shared" ca="1" si="167"/>
        <v>3495.0947084652144</v>
      </c>
      <c r="K250" s="248">
        <f t="shared" ca="1" si="167"/>
        <v>3635.4078959361505</v>
      </c>
      <c r="L250" s="248">
        <f t="shared" ca="1" si="167"/>
        <v>3709.0559670804359</v>
      </c>
    </row>
    <row r="251" spans="2:12" outlineLevel="1" x14ac:dyDescent="0.25">
      <c r="C251" s="38" t="s">
        <v>279</v>
      </c>
      <c r="D251" s="58" t="s">
        <v>3</v>
      </c>
      <c r="F251" s="243"/>
      <c r="G251" s="243"/>
      <c r="H251" s="163">
        <f ca="1">IF(IF(Seller_Shares_at_Offer_Price="No",MAX(H250,0),MIN(H249,H250))&lt;H248,0,IF(Seller_Shares_at_Offer_Price="No",MAX(H250,0),MIN(H249,H250)))</f>
        <v>84897.673509944943</v>
      </c>
      <c r="I251" s="163">
        <f ca="1">IF(IF(Seller_Shares_at_Offer_Price="No",MAX(I250,0),MIN(I249,I250))&lt;I248,0,IF(Seller_Shares_at_Offer_Price="No",MAX(I250,0),MIN(I249,I250)))</f>
        <v>3165.0323877970077</v>
      </c>
      <c r="J251" s="163">
        <f ca="1">IF(IF(Seller_Shares_at_Offer_Price="No",MAX(J250,0),MIN(J249,J250))&lt;J248,0,IF(Seller_Shares_at_Offer_Price="No",MAX(J250,0),MIN(J249,J250)))</f>
        <v>3495.0947084652144</v>
      </c>
      <c r="K251" s="163">
        <f ca="1">IF(IF(Seller_Shares_at_Offer_Price="No",MAX(K250,0),MIN(K249,K250))&lt;K248,0,IF(Seller_Shares_at_Offer_Price="No",MAX(K250,0),MIN(K249,K250)))</f>
        <v>3635.4078959361505</v>
      </c>
      <c r="L251" s="163">
        <f ca="1">IF(IF(Seller_Shares_at_Offer_Price="No",MAX(L250,0),MIN(L249,L250))&lt;L248,0,IF(Seller_Shares_at_Offer_Price="No",MAX(L250,0),MIN(L249,L250)))</f>
        <v>3709.0559670804359</v>
      </c>
    </row>
    <row r="252" spans="2:12" outlineLevel="1" x14ac:dyDescent="0.25">
      <c r="C252" s="230" t="s">
        <v>280</v>
      </c>
      <c r="D252" s="14" t="s">
        <v>3</v>
      </c>
      <c r="E252" s="231"/>
      <c r="F252" s="243"/>
      <c r="G252" s="243"/>
      <c r="H252" s="248">
        <f ca="1">MIN(H250,0)</f>
        <v>0</v>
      </c>
      <c r="I252" s="248">
        <f t="shared" ref="I252:L252" ca="1" si="168">MIN(I250,0)</f>
        <v>0</v>
      </c>
      <c r="J252" s="248">
        <f t="shared" ca="1" si="168"/>
        <v>0</v>
      </c>
      <c r="K252" s="248">
        <f t="shared" ca="1" si="168"/>
        <v>0</v>
      </c>
      <c r="L252" s="248">
        <f t="shared" ca="1" si="168"/>
        <v>0</v>
      </c>
    </row>
    <row r="253" spans="2:12" outlineLevel="1" x14ac:dyDescent="0.25">
      <c r="C253" s="230"/>
      <c r="D253" s="14"/>
      <c r="E253" s="231"/>
      <c r="F253" s="243"/>
      <c r="G253" s="243"/>
      <c r="H253" s="248"/>
      <c r="I253" s="248"/>
      <c r="J253" s="248"/>
      <c r="K253" s="248"/>
      <c r="L253" s="248"/>
    </row>
    <row r="254" spans="2:12" x14ac:dyDescent="0.25">
      <c r="C254" s="232"/>
      <c r="E254" s="231"/>
      <c r="F254" s="243"/>
      <c r="G254" s="243"/>
      <c r="H254" s="243"/>
      <c r="I254" s="243"/>
      <c r="J254" s="243"/>
    </row>
    <row r="255" spans="2:12" x14ac:dyDescent="0.25">
      <c r="B255" s="224"/>
      <c r="C255" s="224"/>
      <c r="D255" s="224"/>
      <c r="E255" s="225" t="str">
        <f>+$E$26</f>
        <v>Historical</v>
      </c>
      <c r="F255" s="225"/>
      <c r="G255" s="226"/>
      <c r="H255" s="225" t="str">
        <f>+$H$26</f>
        <v>Projected</v>
      </c>
      <c r="I255" s="225"/>
      <c r="J255" s="225"/>
      <c r="K255" s="225"/>
      <c r="L255" s="226"/>
    </row>
    <row r="256" spans="2:12" x14ac:dyDescent="0.25">
      <c r="B256" s="227" t="s">
        <v>228</v>
      </c>
      <c r="C256" s="227"/>
      <c r="D256" s="7" t="str">
        <f>+$D$27</f>
        <v>Units:</v>
      </c>
      <c r="E256" s="8">
        <f>+$E$27</f>
        <v>43465</v>
      </c>
      <c r="F256" s="228">
        <f>+$F$27</f>
        <v>43830</v>
      </c>
      <c r="G256" s="229">
        <f>+$G$27</f>
        <v>44196</v>
      </c>
      <c r="H256" s="8">
        <f>+$H$27</f>
        <v>44561</v>
      </c>
      <c r="I256" s="228">
        <f>+$I$27</f>
        <v>44926</v>
      </c>
      <c r="J256" s="228">
        <f>+$J$27</f>
        <v>45291</v>
      </c>
      <c r="K256" s="228">
        <f>+$K$27</f>
        <v>45657</v>
      </c>
      <c r="L256" s="229">
        <f>+$L$27</f>
        <v>46022</v>
      </c>
    </row>
    <row r="257" spans="3:12" outlineLevel="1" x14ac:dyDescent="0.25">
      <c r="C257" s="232"/>
      <c r="E257" s="223" t="s">
        <v>396</v>
      </c>
      <c r="F257" s="243"/>
      <c r="G257" s="243"/>
      <c r="H257" s="243"/>
      <c r="I257" s="243"/>
      <c r="J257" s="243"/>
    </row>
    <row r="258" spans="3:12" outlineLevel="1" x14ac:dyDescent="0.25">
      <c r="C258" s="230" t="s">
        <v>397</v>
      </c>
      <c r="D258" s="14" t="s">
        <v>11</v>
      </c>
      <c r="E258" s="94" t="str">
        <f>IFERROR(E41/D41-1,"N/A")</f>
        <v>N/A</v>
      </c>
      <c r="F258" s="94">
        <f t="shared" ref="F258:L258" si="169">IFERROR(F41/E41-1,"N/A")</f>
        <v>6.5418294077127515E-2</v>
      </c>
      <c r="G258" s="94">
        <f t="shared" si="169"/>
        <v>0.10576712327607884</v>
      </c>
      <c r="H258" s="94">
        <f t="shared" ca="1" si="169"/>
        <v>1.8113252816097214E-2</v>
      </c>
      <c r="I258" s="94">
        <f t="shared" ca="1" si="169"/>
        <v>3.339259553281515E-2</v>
      </c>
      <c r="J258" s="94">
        <f t="shared" ca="1" si="169"/>
        <v>3.4053943196163061E-2</v>
      </c>
      <c r="K258" s="94">
        <f t="shared" ca="1" si="169"/>
        <v>3.4701772089629657E-2</v>
      </c>
      <c r="L258" s="94">
        <f t="shared" ca="1" si="169"/>
        <v>3.5335522959360821E-2</v>
      </c>
    </row>
    <row r="259" spans="3:12" outlineLevel="1" x14ac:dyDescent="0.25">
      <c r="C259" s="223" t="s">
        <v>229</v>
      </c>
      <c r="D259" s="14" t="s">
        <v>11</v>
      </c>
      <c r="E259" s="255">
        <f>+E34/E41</f>
        <v>0.65274216408625185</v>
      </c>
      <c r="F259" s="255">
        <f t="shared" ref="F259:L259" si="170">+F34/F41</f>
        <v>0.65283862565277773</v>
      </c>
      <c r="G259" s="255">
        <f t="shared" si="170"/>
        <v>0.60638235996399992</v>
      </c>
      <c r="H259" s="255">
        <f t="shared" ca="1" si="170"/>
        <v>0.61559291859888277</v>
      </c>
      <c r="I259" s="255">
        <f t="shared" ca="1" si="170"/>
        <v>0.61613936711136186</v>
      </c>
      <c r="J259" s="255">
        <f t="shared" ca="1" si="170"/>
        <v>0.61671519772824812</v>
      </c>
      <c r="K259" s="255">
        <f t="shared" ca="1" si="170"/>
        <v>0.61731536285124466</v>
      </c>
      <c r="L259" s="255">
        <f t="shared" ca="1" si="170"/>
        <v>0.61793500719852823</v>
      </c>
    </row>
    <row r="260" spans="3:12" outlineLevel="1" x14ac:dyDescent="0.25">
      <c r="C260" s="223" t="s">
        <v>230</v>
      </c>
      <c r="D260" s="14" t="s">
        <v>11</v>
      </c>
      <c r="E260" s="255">
        <f>E45/E51</f>
        <v>0.77435562819519432</v>
      </c>
      <c r="F260" s="255">
        <f t="shared" ref="F260:L260" si="171">F45/F51</f>
        <v>0.80536446128583061</v>
      </c>
      <c r="G260" s="255">
        <f t="shared" si="171"/>
        <v>0.82535667135890833</v>
      </c>
      <c r="H260" s="255">
        <f t="shared" ca="1" si="171"/>
        <v>0.79041373887545785</v>
      </c>
      <c r="I260" s="255">
        <f t="shared" ca="1" si="171"/>
        <v>0.79627130117903722</v>
      </c>
      <c r="J260" s="255">
        <f t="shared" ca="1" si="171"/>
        <v>0.80206002483392602</v>
      </c>
      <c r="K260" s="255">
        <f t="shared" ca="1" si="171"/>
        <v>0.80777263254747789</v>
      </c>
      <c r="L260" s="255">
        <f t="shared" ca="1" si="171"/>
        <v>0.81340236716376657</v>
      </c>
    </row>
    <row r="261" spans="3:12" outlineLevel="1" x14ac:dyDescent="0.25">
      <c r="C261" s="223" t="s">
        <v>19</v>
      </c>
      <c r="D261" s="14" t="s">
        <v>11</v>
      </c>
      <c r="E261" s="255">
        <f>E34/E45</f>
        <v>0.97763901848808488</v>
      </c>
      <c r="F261" s="255">
        <f t="shared" ref="F261:L261" si="172">F34/F45</f>
        <v>0.94870025898898369</v>
      </c>
      <c r="G261" s="255">
        <f t="shared" si="172"/>
        <v>0.85691697723865989</v>
      </c>
      <c r="H261" s="255">
        <f t="shared" si="172"/>
        <v>0.84939773393321338</v>
      </c>
      <c r="I261" s="255">
        <f t="shared" si="172"/>
        <v>0.84513810083538532</v>
      </c>
      <c r="J261" s="255">
        <f t="shared" si="172"/>
        <v>0.84106536943062604</v>
      </c>
      <c r="K261" s="255">
        <f t="shared" si="172"/>
        <v>0.83717518481661013</v>
      </c>
      <c r="L261" s="255">
        <f t="shared" si="172"/>
        <v>0.83346290007341328</v>
      </c>
    </row>
    <row r="262" spans="3:12" outlineLevel="1" x14ac:dyDescent="0.25"/>
    <row r="263" spans="3:12" outlineLevel="1" x14ac:dyDescent="0.25">
      <c r="C263" s="223" t="s">
        <v>16</v>
      </c>
      <c r="D263" s="14" t="s">
        <v>11</v>
      </c>
      <c r="E263" s="94">
        <f>IFERROR(-E82/AVERAGE(D32:E32),"N/A")</f>
        <v>1.5195922060843581E-2</v>
      </c>
      <c r="F263" s="94">
        <f t="shared" ref="F263:L263" si="173">IFERROR(-F82/AVERAGE(E32:F32),"N/A")</f>
        <v>1.8222786791365138E-2</v>
      </c>
      <c r="G263" s="94">
        <f t="shared" si="173"/>
        <v>1.0833591435353507E-2</v>
      </c>
      <c r="H263" s="94">
        <f t="shared" si="173"/>
        <v>1.0799609291292729E-2</v>
      </c>
      <c r="I263" s="94">
        <f t="shared" si="173"/>
        <v>1.079338080904188E-2</v>
      </c>
      <c r="J263" s="94">
        <f t="shared" si="173"/>
        <v>1.0790686362214509E-2</v>
      </c>
      <c r="K263" s="94">
        <f t="shared" si="173"/>
        <v>1.0788099586341398E-2</v>
      </c>
      <c r="L263" s="94">
        <f t="shared" si="173"/>
        <v>1.0785618513027641E-2</v>
      </c>
    </row>
    <row r="264" spans="3:12" outlineLevel="1" x14ac:dyDescent="0.25">
      <c r="C264" s="223" t="s">
        <v>17</v>
      </c>
      <c r="D264" s="14" t="s">
        <v>11</v>
      </c>
      <c r="E264" s="255">
        <f>-E82/E83</f>
        <v>0.26487075323967957</v>
      </c>
      <c r="F264" s="255">
        <f t="shared" ref="F264:L264" si="174">-F82/F83</f>
        <v>0.38481317798312575</v>
      </c>
      <c r="G264" s="255">
        <f t="shared" si="174"/>
        <v>0.20785952786793377</v>
      </c>
      <c r="H264" s="255">
        <f t="shared" si="174"/>
        <v>0.18841518393463882</v>
      </c>
      <c r="I264" s="255">
        <f t="shared" si="174"/>
        <v>0.17369754471648075</v>
      </c>
      <c r="J264" s="255">
        <f t="shared" si="174"/>
        <v>0.16161484094633871</v>
      </c>
      <c r="K264" s="255">
        <f t="shared" si="174"/>
        <v>0.15153619238210819</v>
      </c>
      <c r="L264" s="255">
        <f t="shared" si="174"/>
        <v>0.14301706164909569</v>
      </c>
    </row>
    <row r="265" spans="3:12" outlineLevel="1" x14ac:dyDescent="0.25">
      <c r="C265" s="223" t="s">
        <v>18</v>
      </c>
      <c r="D265" s="14" t="s">
        <v>11</v>
      </c>
      <c r="E265" s="255">
        <f>-E33/E32</f>
        <v>5.7371083349066126E-2</v>
      </c>
      <c r="F265" s="255">
        <f t="shared" ref="F265:L265" si="175">-F33/F32</f>
        <v>4.6162006572846574E-2</v>
      </c>
      <c r="G265" s="255">
        <f t="shared" si="175"/>
        <v>5.0665867904747641E-2</v>
      </c>
      <c r="H265" s="255">
        <f t="shared" si="175"/>
        <v>5.6224740074207316E-2</v>
      </c>
      <c r="I265" s="255">
        <f t="shared" si="175"/>
        <v>6.0957665738460669E-2</v>
      </c>
      <c r="J265" s="255">
        <f t="shared" si="175"/>
        <v>6.5482922854859987E-2</v>
      </c>
      <c r="K265" s="255">
        <f t="shared" si="175"/>
        <v>6.9805350203766561E-2</v>
      </c>
      <c r="L265" s="255">
        <f t="shared" si="175"/>
        <v>7.3930111029540835E-2</v>
      </c>
    </row>
    <row r="266" spans="3:12" outlineLevel="1" x14ac:dyDescent="0.25"/>
    <row r="267" spans="3:12" outlineLevel="1" x14ac:dyDescent="0.25">
      <c r="C267" s="223" t="s">
        <v>10</v>
      </c>
      <c r="D267" s="14" t="s">
        <v>11</v>
      </c>
      <c r="E267" s="238">
        <f>+E194/AVERAGE(D60:E60)</f>
        <v>7.5828670527796863E-2</v>
      </c>
      <c r="F267" s="238">
        <f t="shared" ref="F267:L267" si="176">+F194/AVERAGE(E60:F60)</f>
        <v>6.740680533490967E-2</v>
      </c>
      <c r="G267" s="238">
        <f t="shared" si="176"/>
        <v>8.6663653055188153E-2</v>
      </c>
      <c r="H267" s="238">
        <f t="shared" ca="1" si="176"/>
        <v>6.1002847385449567E-2</v>
      </c>
      <c r="I267" s="238">
        <f t="shared" ca="1" si="176"/>
        <v>7.6836046672786346E-2</v>
      </c>
      <c r="J267" s="238">
        <f t="shared" ca="1" si="176"/>
        <v>7.8739223506784556E-2</v>
      </c>
      <c r="K267" s="238">
        <f t="shared" ca="1" si="176"/>
        <v>7.8896261818344027E-2</v>
      </c>
      <c r="L267" s="238">
        <f t="shared" ca="1" si="176"/>
        <v>7.8479454711031058E-2</v>
      </c>
    </row>
    <row r="268" spans="3:12" outlineLevel="1" x14ac:dyDescent="0.25">
      <c r="C268" s="223" t="s">
        <v>12</v>
      </c>
      <c r="D268" s="14" t="s">
        <v>11</v>
      </c>
      <c r="E268" s="238">
        <f>+E194/AVERAGE(D220:E220)</f>
        <v>8.3541219051464333E-2</v>
      </c>
      <c r="F268" s="238">
        <f t="shared" ref="F268:L268" si="177">+F194/AVERAGE(E220:F220)</f>
        <v>7.646902679594289E-2</v>
      </c>
      <c r="G268" s="238">
        <f t="shared" si="177"/>
        <v>0.10231592818316587</v>
      </c>
      <c r="H268" s="238">
        <f t="shared" ca="1" si="177"/>
        <v>7.7413841415293866E-2</v>
      </c>
      <c r="I268" s="238">
        <f t="shared" ca="1" si="177"/>
        <v>0.10923956893222213</v>
      </c>
      <c r="J268" s="238">
        <f t="shared" ca="1" si="177"/>
        <v>0.11275692941373396</v>
      </c>
      <c r="K268" s="238">
        <f t="shared" ca="1" si="177"/>
        <v>0.11381807397353902</v>
      </c>
      <c r="L268" s="238">
        <f t="shared" ca="1" si="177"/>
        <v>0.11407184614996659</v>
      </c>
    </row>
    <row r="269" spans="3:12" outlineLevel="1" x14ac:dyDescent="0.25">
      <c r="C269" s="223" t="s">
        <v>14</v>
      </c>
      <c r="D269" s="14" t="s">
        <v>11</v>
      </c>
      <c r="E269" s="238">
        <f>+E192/AVERAGE(D41:E41)</f>
        <v>1.0446983385085887E-2</v>
      </c>
      <c r="F269" s="238">
        <f t="shared" ref="F269:L269" si="178">+F192/AVERAGE(E41:F41)</f>
        <v>9.5573390140147249E-3</v>
      </c>
      <c r="G269" s="238">
        <f t="shared" si="178"/>
        <v>1.2481388231937292E-2</v>
      </c>
      <c r="H269" s="238">
        <f t="shared" ca="1" si="178"/>
        <v>6.86852293992842E-3</v>
      </c>
      <c r="I269" s="238">
        <f t="shared" ca="1" si="178"/>
        <v>6.4366371116915365E-3</v>
      </c>
      <c r="J269" s="238">
        <f t="shared" ca="1" si="178"/>
        <v>6.7023274697108485E-3</v>
      </c>
      <c r="K269" s="238">
        <f t="shared" ca="1" si="178"/>
        <v>6.8227224172634944E-3</v>
      </c>
      <c r="L269" s="238">
        <f t="shared" ca="1" si="178"/>
        <v>6.8936682022479384E-3</v>
      </c>
    </row>
    <row r="270" spans="3:12" outlineLevel="1" x14ac:dyDescent="0.25"/>
    <row r="271" spans="3:12" outlineLevel="1" x14ac:dyDescent="0.25">
      <c r="C271" s="223" t="s">
        <v>20</v>
      </c>
      <c r="D271" s="14" t="s">
        <v>11</v>
      </c>
      <c r="E271" s="255">
        <f>+E163/AVERAGE(D115:E115)</f>
        <v>4.2848153416660859E-2</v>
      </c>
      <c r="F271" s="255">
        <f t="shared" ref="F271:L271" si="179">+F163/AVERAGE(E115:F115)</f>
        <v>4.5319854433350411E-2</v>
      </c>
      <c r="G271" s="255">
        <f t="shared" si="179"/>
        <v>4.4322652319610953E-2</v>
      </c>
      <c r="H271" s="255">
        <f t="shared" ca="1" si="179"/>
        <v>4.3282476947736112E-2</v>
      </c>
      <c r="I271" s="255">
        <f t="shared" ca="1" si="179"/>
        <v>4.1832428658473468E-2</v>
      </c>
      <c r="J271" s="255">
        <f t="shared" ca="1" si="179"/>
        <v>4.2736515238133974E-2</v>
      </c>
      <c r="K271" s="255">
        <f t="shared" ca="1" si="179"/>
        <v>4.3168866754009987E-2</v>
      </c>
      <c r="L271" s="255">
        <f t="shared" ca="1" si="179"/>
        <v>4.3442161477340209E-2</v>
      </c>
    </row>
    <row r="272" spans="3:12" outlineLevel="1" x14ac:dyDescent="0.25">
      <c r="C272" s="223" t="s">
        <v>231</v>
      </c>
      <c r="D272" s="14" t="s">
        <v>11</v>
      </c>
      <c r="E272" s="255">
        <f>+E161/AVERAGE(D115:E115)</f>
        <v>8.5966868494734297E-2</v>
      </c>
      <c r="F272" s="255">
        <f t="shared" ref="F272:L272" si="180">+F161/AVERAGE(E115:F115)</f>
        <v>8.957594506719832E-2</v>
      </c>
      <c r="G272" s="255">
        <f t="shared" si="180"/>
        <v>7.8720843142667321E-2</v>
      </c>
      <c r="H272" s="255">
        <f t="shared" ca="1" si="180"/>
        <v>8.04504964236432E-2</v>
      </c>
      <c r="I272" s="255">
        <f t="shared" ca="1" si="180"/>
        <v>0.10067510609824834</v>
      </c>
      <c r="J272" s="255">
        <f t="shared" ca="1" si="180"/>
        <v>8.30744181311006E-2</v>
      </c>
      <c r="K272" s="255">
        <f t="shared" ca="1" si="180"/>
        <v>7.8255350486956768E-2</v>
      </c>
      <c r="L272" s="255">
        <f t="shared" ca="1" si="180"/>
        <v>7.8350207558956136E-2</v>
      </c>
    </row>
    <row r="273" spans="3:12" outlineLevel="1" x14ac:dyDescent="0.25">
      <c r="C273" s="223" t="s">
        <v>232</v>
      </c>
      <c r="D273" s="14" t="s">
        <v>11</v>
      </c>
      <c r="E273" s="255">
        <f>-E162/AVERAGE(D122:E122)</f>
        <v>4.4570697306350583E-2</v>
      </c>
      <c r="F273" s="255">
        <f t="shared" ref="F273:L273" si="181">-F162/AVERAGE(E122:F122)</f>
        <v>4.6887976896499442E-2</v>
      </c>
      <c r="G273" s="255">
        <f t="shared" si="181"/>
        <v>3.6237580788649561E-2</v>
      </c>
      <c r="H273" s="255">
        <f t="shared" ca="1" si="181"/>
        <v>3.6986054089108662E-2</v>
      </c>
      <c r="I273" s="255">
        <f t="shared" ca="1" si="181"/>
        <v>5.6977079297370233E-2</v>
      </c>
      <c r="J273" s="255">
        <f t="shared" ca="1" si="181"/>
        <v>3.9168542922129776E-2</v>
      </c>
      <c r="K273" s="255">
        <f t="shared" ca="1" si="181"/>
        <v>3.4161171144330225E-2</v>
      </c>
      <c r="L273" s="255">
        <f t="shared" ca="1" si="181"/>
        <v>3.4075352384527947E-2</v>
      </c>
    </row>
    <row r="274" spans="3:12" outlineLevel="1" x14ac:dyDescent="0.25">
      <c r="C274" s="223" t="s">
        <v>398</v>
      </c>
      <c r="D274" s="14" t="s">
        <v>11</v>
      </c>
      <c r="E274" s="255">
        <f>+E272-E273</f>
        <v>4.1396171188383714E-2</v>
      </c>
      <c r="F274" s="255">
        <f>+F272-F273</f>
        <v>4.2687968170698878E-2</v>
      </c>
      <c r="G274" s="255">
        <f>+G272-G273</f>
        <v>4.248326235401776E-2</v>
      </c>
      <c r="H274" s="255">
        <f t="shared" ref="H274:L274" ca="1" si="182">+H272-H273</f>
        <v>4.3464442334534538E-2</v>
      </c>
      <c r="I274" s="255">
        <f t="shared" ca="1" si="182"/>
        <v>4.3698026800878108E-2</v>
      </c>
      <c r="J274" s="255">
        <f t="shared" ca="1" si="182"/>
        <v>4.3905875208970824E-2</v>
      </c>
      <c r="K274" s="255">
        <f t="shared" ca="1" si="182"/>
        <v>4.4094179342626542E-2</v>
      </c>
      <c r="L274" s="255">
        <f t="shared" ca="1" si="182"/>
        <v>4.4274855174428189E-2</v>
      </c>
    </row>
    <row r="275" spans="3:12" outlineLevel="1" x14ac:dyDescent="0.25"/>
    <row r="276" spans="3:12" outlineLevel="1" x14ac:dyDescent="0.25">
      <c r="C276" s="223" t="s">
        <v>22</v>
      </c>
      <c r="D276" s="14" t="s">
        <v>11</v>
      </c>
      <c r="E276" s="255">
        <f>E163/E176</f>
        <v>0.72522116218560273</v>
      </c>
      <c r="F276" s="255">
        <f t="shared" ref="F276:L276" si="183">F163/F176</f>
        <v>0.76457210659020125</v>
      </c>
      <c r="G276" s="255">
        <f t="shared" si="183"/>
        <v>0.688630454442686</v>
      </c>
      <c r="H276" s="255">
        <f t="shared" si="183"/>
        <v>0.77329854362247497</v>
      </c>
      <c r="I276" s="255">
        <f t="shared" ca="1" si="183"/>
        <v>0.76645655249701239</v>
      </c>
      <c r="J276" s="255">
        <f t="shared" ca="1" si="183"/>
        <v>0.7691558589485159</v>
      </c>
      <c r="K276" s="255">
        <f t="shared" ca="1" si="183"/>
        <v>0.77003142887582487</v>
      </c>
      <c r="L276" s="255">
        <f t="shared" ca="1" si="183"/>
        <v>0.77031200348064932</v>
      </c>
    </row>
  </sheetData>
  <dataValidations count="2">
    <dataValidation type="decimal" allowBlank="1" showInputMessage="1" showErrorMessage="1" sqref="D15:D16" xr:uid="{637A3160-39FE-4B70-91BB-783021DECB62}">
      <formula1>0</formula1>
      <formula2>1</formula2>
    </dataValidation>
    <dataValidation type="list" allowBlank="1" showInputMessage="1" showErrorMessage="1" sqref="D18" xr:uid="{48887CA4-D5DE-4690-9C27-C0FB81862F5A}">
      <formula1>$E$17:$E$18</formula1>
    </dataValidation>
  </dataValidations>
  <pageMargins left="0.7" right="0.7" top="0.75" bottom="0.75" header="0.3" footer="0.3"/>
  <pageSetup scale="10" orientation="landscape" horizontalDpi="300" verticalDpi="300" r:id="rId1"/>
  <rowBreaks count="6" manualBreakCount="6">
    <brk id="67" max="12" man="1"/>
    <brk id="105" max="12" man="1"/>
    <brk id="157" max="12" man="1"/>
    <brk id="198" max="12" man="1"/>
    <brk id="212" max="12" man="1"/>
    <brk id="254" max="1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8215-51B8-47EF-9492-EC33D9B68EDE}">
  <sheetPr>
    <tabColor rgb="FF0000FF"/>
  </sheetPr>
  <dimension ref="A1"/>
  <sheetViews>
    <sheetView workbookViewId="0">
      <selection activeCell="F42" sqref="F4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EB78-31C7-44D7-B26E-7AAB2C36E4BC}">
  <dimension ref="B1:Q317"/>
  <sheetViews>
    <sheetView showGridLines="0" topLeftCell="A292" workbookViewId="0">
      <selection activeCell="E310" sqref="E310"/>
    </sheetView>
  </sheetViews>
  <sheetFormatPr defaultRowHeight="15" x14ac:dyDescent="0.25"/>
  <cols>
    <col min="1" max="2" width="2.7109375" customWidth="1"/>
    <col min="3" max="3" width="43.5703125" customWidth="1"/>
    <col min="4" max="4" width="14.28515625" customWidth="1"/>
    <col min="5" max="5" width="11.5703125" customWidth="1"/>
    <col min="6" max="7" width="15.28515625" bestFit="1" customWidth="1"/>
    <col min="8" max="8" width="16.42578125" customWidth="1"/>
    <col min="9" max="9" width="13.28515625" customWidth="1"/>
    <col min="10" max="10" width="13.140625" customWidth="1"/>
    <col min="11" max="11" width="13.28515625" bestFit="1" customWidth="1"/>
    <col min="12" max="12" width="14.42578125" customWidth="1"/>
    <col min="13" max="13" width="20.42578125" bestFit="1" customWidth="1"/>
    <col min="14" max="14" width="10.5703125" bestFit="1" customWidth="1"/>
  </cols>
  <sheetData>
    <row r="1" spans="2:14" x14ac:dyDescent="0.25">
      <c r="D1" s="27"/>
    </row>
    <row r="2" spans="2:14" x14ac:dyDescent="0.25">
      <c r="B2" s="1" t="str">
        <f>Company_Name&amp;" - Model - "&amp;Scenario&amp;" Case"</f>
        <v>TCS Group Holding PLC - Model - Base Case</v>
      </c>
    </row>
    <row r="3" spans="2:14" x14ac:dyDescent="0.25">
      <c r="B3" t="s">
        <v>30</v>
      </c>
    </row>
    <row r="5" spans="2:14" x14ac:dyDescent="0.25">
      <c r="B5" s="28" t="s">
        <v>31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2"/>
      <c r="N5" s="22"/>
    </row>
    <row r="6" spans="2:14" x14ac:dyDescent="0.25">
      <c r="D6" s="27"/>
    </row>
    <row r="7" spans="2:14" x14ac:dyDescent="0.25">
      <c r="C7" t="s">
        <v>32</v>
      </c>
      <c r="D7" s="29" t="s">
        <v>33</v>
      </c>
      <c r="E7" s="29"/>
      <c r="G7" s="10" t="s">
        <v>34</v>
      </c>
      <c r="H7" s="12"/>
      <c r="I7" s="12"/>
      <c r="J7" s="12"/>
    </row>
    <row r="8" spans="2:14" x14ac:dyDescent="0.25">
      <c r="C8" t="s">
        <v>35</v>
      </c>
      <c r="D8" s="30" t="s">
        <v>36</v>
      </c>
      <c r="G8" s="13" t="s">
        <v>37</v>
      </c>
      <c r="J8" s="31">
        <v>197.60400000000001</v>
      </c>
    </row>
    <row r="9" spans="2:14" x14ac:dyDescent="0.25">
      <c r="G9" s="13" t="s">
        <v>38</v>
      </c>
      <c r="J9" s="32">
        <v>2366.1999999999998</v>
      </c>
    </row>
    <row r="10" spans="2:14" x14ac:dyDescent="0.25">
      <c r="C10" t="s">
        <v>39</v>
      </c>
      <c r="D10" s="33">
        <v>44196</v>
      </c>
    </row>
    <row r="11" spans="2:14" x14ac:dyDescent="0.25">
      <c r="C11" t="s">
        <v>40</v>
      </c>
      <c r="D11" s="33">
        <v>44196</v>
      </c>
    </row>
    <row r="12" spans="2:14" x14ac:dyDescent="0.25">
      <c r="C12" t="s">
        <v>41</v>
      </c>
      <c r="D12" s="33">
        <v>44196</v>
      </c>
    </row>
    <row r="13" spans="2:14" x14ac:dyDescent="0.25">
      <c r="C13" s="1"/>
    </row>
    <row r="14" spans="2:14" x14ac:dyDescent="0.25">
      <c r="C14" t="s">
        <v>42</v>
      </c>
      <c r="D14" s="34">
        <v>0.12</v>
      </c>
    </row>
    <row r="15" spans="2:14" x14ac:dyDescent="0.25">
      <c r="C15" t="s">
        <v>43</v>
      </c>
      <c r="D15" s="34">
        <v>0.2</v>
      </c>
    </row>
    <row r="16" spans="2:14" x14ac:dyDescent="0.25">
      <c r="C16" s="1"/>
    </row>
    <row r="17" spans="2:14" x14ac:dyDescent="0.25">
      <c r="C17" t="s">
        <v>44</v>
      </c>
      <c r="D17" s="35">
        <v>1000</v>
      </c>
      <c r="I17" s="1"/>
    </row>
    <row r="18" spans="2:14" x14ac:dyDescent="0.25">
      <c r="C18" s="1"/>
      <c r="E18" s="36"/>
      <c r="I18" s="1"/>
    </row>
    <row r="19" spans="2:14" x14ac:dyDescent="0.25">
      <c r="C19" t="s">
        <v>45</v>
      </c>
      <c r="D19" s="35" t="s">
        <v>46</v>
      </c>
      <c r="I19" s="1"/>
    </row>
    <row r="20" spans="2:14" x14ac:dyDescent="0.25">
      <c r="C20" t="s">
        <v>47</v>
      </c>
      <c r="D20" s="37">
        <v>1</v>
      </c>
      <c r="I20" s="1"/>
    </row>
    <row r="22" spans="2:14" x14ac:dyDescent="0.25">
      <c r="B22" s="2" t="s">
        <v>48</v>
      </c>
      <c r="C22" s="2"/>
      <c r="D22" s="3"/>
      <c r="E22" s="4"/>
      <c r="F22" s="4"/>
      <c r="G22" s="4"/>
      <c r="H22" s="5" t="s">
        <v>0</v>
      </c>
      <c r="I22" s="4"/>
      <c r="J22" s="4"/>
      <c r="K22" s="4"/>
      <c r="L22" s="4"/>
    </row>
    <row r="23" spans="2:14" x14ac:dyDescent="0.25">
      <c r="B23" s="6" t="s">
        <v>49</v>
      </c>
      <c r="C23" s="6"/>
      <c r="D23" s="7" t="s">
        <v>1</v>
      </c>
      <c r="E23" s="8">
        <f>EOMONTH(F23,-12)</f>
        <v>43465</v>
      </c>
      <c r="F23" s="8">
        <f>EOMONTH(G23,-12)</f>
        <v>43830</v>
      </c>
      <c r="G23" s="9">
        <f>D10</f>
        <v>44196</v>
      </c>
      <c r="H23" s="8">
        <f>EOMONTH(G23,12)</f>
        <v>44561</v>
      </c>
      <c r="I23" s="8">
        <f t="shared" ref="I23:L23" si="0">EOMONTH(H23,12)</f>
        <v>44926</v>
      </c>
      <c r="J23" s="8">
        <f t="shared" si="0"/>
        <v>45291</v>
      </c>
      <c r="K23" s="8">
        <f t="shared" si="0"/>
        <v>45657</v>
      </c>
      <c r="L23" s="8">
        <f t="shared" si="0"/>
        <v>46022</v>
      </c>
    </row>
    <row r="24" spans="2:14" x14ac:dyDescent="0.25">
      <c r="C24" s="38" t="s">
        <v>50</v>
      </c>
      <c r="D24" s="14" t="s">
        <v>11</v>
      </c>
      <c r="E24" s="39">
        <v>7.3999999999999996E-2</v>
      </c>
      <c r="F24" s="39">
        <v>7.2999999999999995E-2</v>
      </c>
      <c r="G24" s="39">
        <v>5.0999999999999997E-2</v>
      </c>
      <c r="H24" s="40">
        <f>INDEX(H25:H27,MATCH(Scenario,$C25:$C27,0))</f>
        <v>5.7500000000000002E-2</v>
      </c>
      <c r="I24" s="40">
        <f>INDEX(I25:I27,MATCH(Scenario,$C25:$C27,0))</f>
        <v>7.8E-2</v>
      </c>
      <c r="J24" s="40">
        <f>INDEX(J25:J27,MATCH(Scenario,$C25:$C27,0))</f>
        <v>0.06</v>
      </c>
      <c r="K24" s="40">
        <f>INDEX(K25:K27,MATCH(Scenario,$C25:$C27,0))</f>
        <v>5.5E-2</v>
      </c>
      <c r="L24" s="40">
        <f>INDEX(L25:L27,MATCH(Scenario,$C25:$C27,0))</f>
        <v>5.5E-2</v>
      </c>
    </row>
    <row r="25" spans="2:14" x14ac:dyDescent="0.25">
      <c r="C25" s="41" t="s">
        <v>46</v>
      </c>
      <c r="D25" s="14" t="s">
        <v>11</v>
      </c>
      <c r="E25" s="42"/>
      <c r="F25" s="42"/>
      <c r="G25" s="42"/>
      <c r="H25" s="43">
        <v>5.7500000000000002E-2</v>
      </c>
      <c r="I25" s="43">
        <v>7.8E-2</v>
      </c>
      <c r="J25" s="43">
        <v>0.06</v>
      </c>
      <c r="K25" s="43">
        <v>5.5E-2</v>
      </c>
      <c r="L25" s="43">
        <v>5.5E-2</v>
      </c>
      <c r="N25" s="44" t="s">
        <v>51</v>
      </c>
    </row>
    <row r="26" spans="2:14" x14ac:dyDescent="0.25">
      <c r="C26" s="41" t="s">
        <v>52</v>
      </c>
      <c r="D26" s="14" t="s">
        <v>11</v>
      </c>
      <c r="E26" s="42"/>
      <c r="F26" s="42"/>
      <c r="G26" s="42"/>
      <c r="H26" s="43">
        <f>H25+0.5%</f>
        <v>6.25E-2</v>
      </c>
      <c r="I26" s="43">
        <f t="shared" ref="I26:L26" si="1">I25+0.5%</f>
        <v>8.3000000000000004E-2</v>
      </c>
      <c r="J26" s="43">
        <f t="shared" si="1"/>
        <v>6.5000000000000002E-2</v>
      </c>
      <c r="K26" s="43">
        <f t="shared" si="1"/>
        <v>0.06</v>
      </c>
      <c r="L26" s="43">
        <f t="shared" si="1"/>
        <v>0.06</v>
      </c>
    </row>
    <row r="27" spans="2:14" x14ac:dyDescent="0.25">
      <c r="C27" s="41" t="s">
        <v>53</v>
      </c>
      <c r="D27" s="14" t="s">
        <v>11</v>
      </c>
      <c r="E27" s="42"/>
      <c r="F27" s="42"/>
      <c r="G27" s="42"/>
      <c r="H27" s="45">
        <f>H25-0.5%</f>
        <v>5.2500000000000005E-2</v>
      </c>
      <c r="I27" s="45">
        <f t="shared" ref="I27:L27" si="2">I25-0.5%</f>
        <v>7.2999999999999995E-2</v>
      </c>
      <c r="J27" s="45">
        <f t="shared" si="2"/>
        <v>5.5E-2</v>
      </c>
      <c r="K27" s="45">
        <f t="shared" si="2"/>
        <v>0.05</v>
      </c>
      <c r="L27" s="45">
        <f t="shared" si="2"/>
        <v>0.05</v>
      </c>
    </row>
    <row r="29" spans="2:14" x14ac:dyDescent="0.25">
      <c r="B29" s="2" t="s">
        <v>54</v>
      </c>
      <c r="C29" s="2"/>
      <c r="D29" s="3"/>
      <c r="E29" s="4" t="s">
        <v>55</v>
      </c>
      <c r="F29" s="4"/>
      <c r="G29" s="4"/>
      <c r="H29" s="5" t="s">
        <v>0</v>
      </c>
      <c r="I29" s="4"/>
      <c r="J29" s="4"/>
      <c r="K29" s="4"/>
      <c r="L29" s="4"/>
    </row>
    <row r="30" spans="2:14" x14ac:dyDescent="0.25">
      <c r="B30" s="6" t="s">
        <v>56</v>
      </c>
      <c r="C30" s="6"/>
      <c r="D30" s="7" t="s">
        <v>1</v>
      </c>
      <c r="E30" s="8">
        <f>E23</f>
        <v>43465</v>
      </c>
      <c r="F30" s="8">
        <f t="shared" ref="F30:L30" si="3">F23</f>
        <v>43830</v>
      </c>
      <c r="G30" s="8">
        <f t="shared" si="3"/>
        <v>44196</v>
      </c>
      <c r="H30" s="8">
        <f t="shared" si="3"/>
        <v>44561</v>
      </c>
      <c r="I30" s="8">
        <f t="shared" si="3"/>
        <v>44926</v>
      </c>
      <c r="J30" s="8">
        <f t="shared" si="3"/>
        <v>45291</v>
      </c>
      <c r="K30" s="8">
        <f t="shared" si="3"/>
        <v>45657</v>
      </c>
      <c r="L30" s="8">
        <f t="shared" si="3"/>
        <v>46022</v>
      </c>
    </row>
    <row r="31" spans="2:14" x14ac:dyDescent="0.25">
      <c r="B31" s="46" t="s">
        <v>57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2:14" x14ac:dyDescent="0.25">
      <c r="C32" t="s">
        <v>58</v>
      </c>
      <c r="D32" s="14" t="s">
        <v>11</v>
      </c>
      <c r="E32" s="48">
        <f>E168/E177</f>
        <v>1.6385681128878383E-2</v>
      </c>
      <c r="F32" s="48">
        <f t="shared" ref="F32:G32" si="4">F168/F177</f>
        <v>2.1566321845223925E-2</v>
      </c>
      <c r="G32" s="48">
        <f t="shared" si="4"/>
        <v>2.4687438680231065E-2</v>
      </c>
      <c r="H32" s="43">
        <f>AVERAGE(E32:G32)</f>
        <v>2.0879813884777793E-2</v>
      </c>
      <c r="I32" s="43">
        <f>H32</f>
        <v>2.0879813884777793E-2</v>
      </c>
      <c r="J32" s="43">
        <f t="shared" ref="J32:L35" si="5">I32</f>
        <v>2.0879813884777793E-2</v>
      </c>
      <c r="K32" s="43">
        <f t="shared" si="5"/>
        <v>2.0879813884777793E-2</v>
      </c>
      <c r="L32" s="43">
        <f t="shared" si="5"/>
        <v>2.0879813884777793E-2</v>
      </c>
    </row>
    <row r="33" spans="3:14" x14ac:dyDescent="0.25">
      <c r="C33" t="s">
        <v>59</v>
      </c>
      <c r="D33" s="14" t="s">
        <v>11</v>
      </c>
      <c r="E33" s="48">
        <f>E167/E177</f>
        <v>0.35647666918224663</v>
      </c>
      <c r="F33" s="48">
        <f t="shared" ref="F33:G33" si="6">F167/F177</f>
        <v>0.32840962649472566</v>
      </c>
      <c r="G33" s="48">
        <f t="shared" si="6"/>
        <v>0.38040830391313851</v>
      </c>
      <c r="H33" s="43">
        <f>AVERAGE(E33:G33)</f>
        <v>0.35509819986337027</v>
      </c>
      <c r="I33" s="43">
        <f>H33</f>
        <v>0.35509819986337027</v>
      </c>
      <c r="J33" s="43">
        <f t="shared" si="5"/>
        <v>0.35509819986337027</v>
      </c>
      <c r="K33" s="43">
        <f t="shared" si="5"/>
        <v>0.35509819986337027</v>
      </c>
      <c r="L33" s="43">
        <f t="shared" si="5"/>
        <v>0.35509819986337027</v>
      </c>
    </row>
    <row r="34" spans="3:14" x14ac:dyDescent="0.25">
      <c r="C34" t="s">
        <v>60</v>
      </c>
      <c r="D34" s="14" t="s">
        <v>11</v>
      </c>
      <c r="E34" s="48">
        <f>E161/E177</f>
        <v>6.0505631576699082E-2</v>
      </c>
      <c r="F34" s="48">
        <f t="shared" ref="F34:G34" si="7">F161/F177</f>
        <v>6.733735975938622E-2</v>
      </c>
      <c r="G34" s="48">
        <f t="shared" si="7"/>
        <v>9.5264000051049957E-2</v>
      </c>
      <c r="H34" s="43">
        <f>AVERAGE(E34:G34)</f>
        <v>7.4368997129045086E-2</v>
      </c>
      <c r="I34" s="43">
        <f>H34</f>
        <v>7.4368997129045086E-2</v>
      </c>
      <c r="J34" s="43">
        <f t="shared" si="5"/>
        <v>7.4368997129045086E-2</v>
      </c>
      <c r="K34" s="43">
        <f t="shared" si="5"/>
        <v>7.4368997129045086E-2</v>
      </c>
      <c r="L34" s="43">
        <f t="shared" si="5"/>
        <v>7.4368997129045086E-2</v>
      </c>
    </row>
    <row r="35" spans="3:14" x14ac:dyDescent="0.25">
      <c r="C35" s="24" t="s">
        <v>61</v>
      </c>
      <c r="D35" s="14" t="s">
        <v>11</v>
      </c>
      <c r="E35" s="48">
        <f>E162/E177</f>
        <v>8.6680715943556075E-3</v>
      </c>
      <c r="F35" s="48">
        <f t="shared" ref="F35:G35" si="8">F162/F177</f>
        <v>8.3767801872628236E-3</v>
      </c>
      <c r="G35" s="48">
        <f t="shared" si="8"/>
        <v>8.5811782010315283E-3</v>
      </c>
      <c r="H35" s="45">
        <f>AVERAGE(E35:G35)</f>
        <v>8.5420099942166514E-3</v>
      </c>
      <c r="I35" s="45">
        <f>H35</f>
        <v>8.5420099942166514E-3</v>
      </c>
      <c r="J35" s="45">
        <f t="shared" si="5"/>
        <v>8.5420099942166514E-3</v>
      </c>
      <c r="K35" s="45">
        <f t="shared" si="5"/>
        <v>8.5420099942166514E-3</v>
      </c>
      <c r="L35" s="45">
        <f t="shared" si="5"/>
        <v>8.5420099942166514E-3</v>
      </c>
    </row>
    <row r="37" spans="3:14" x14ac:dyDescent="0.25">
      <c r="C37" s="38" t="s">
        <v>62</v>
      </c>
      <c r="E37" s="49"/>
      <c r="F37" s="49"/>
      <c r="G37" s="49"/>
      <c r="H37" s="49"/>
      <c r="I37" s="50"/>
    </row>
    <row r="38" spans="3:14" x14ac:dyDescent="0.25">
      <c r="C38" s="13" t="s">
        <v>63</v>
      </c>
      <c r="D38" s="14" t="s">
        <v>3</v>
      </c>
      <c r="H38" s="51">
        <f ca="1">H161+H162+G163+H166+H167+H168+H169+H170+H171+H172</f>
        <v>1053708.2604818142</v>
      </c>
      <c r="I38" s="51">
        <f t="shared" ref="I38:L38" ca="1" si="9">I161+I162+H163+I166+I167+I168+I169+I170+I171+I172</f>
        <v>1175027.0926366046</v>
      </c>
      <c r="J38" s="51">
        <f t="shared" ca="1" si="9"/>
        <v>1379567.775275178</v>
      </c>
      <c r="K38" s="51">
        <f t="shared" ca="1" si="9"/>
        <v>1652236.6053947618</v>
      </c>
      <c r="L38" s="51">
        <f t="shared" ca="1" si="9"/>
        <v>1867855.6214028136</v>
      </c>
      <c r="M38" s="19"/>
      <c r="N38" s="19"/>
    </row>
    <row r="39" spans="3:14" x14ac:dyDescent="0.25">
      <c r="C39" s="13" t="s">
        <v>64</v>
      </c>
      <c r="D39" s="16" t="s">
        <v>3</v>
      </c>
      <c r="H39" s="51">
        <f ca="1">H177+H179+G178+H180+H182+H193+H181</f>
        <v>1027683.1791782395</v>
      </c>
      <c r="I39" s="51">
        <f t="shared" ref="I39:L39" ca="1" si="10">I177+I179+H178+I180+I182+I193+I181</f>
        <v>1238542.8663263088</v>
      </c>
      <c r="J39" s="51">
        <f t="shared" ca="1" si="10"/>
        <v>1439315.589719658</v>
      </c>
      <c r="K39" s="51">
        <f t="shared" ca="1" si="10"/>
        <v>1631953.2739478813</v>
      </c>
      <c r="L39" s="51">
        <f t="shared" ca="1" si="10"/>
        <v>1849825.173662374</v>
      </c>
      <c r="M39" s="19"/>
      <c r="N39" s="19"/>
    </row>
    <row r="40" spans="3:14" x14ac:dyDescent="0.25">
      <c r="C40" s="18" t="s">
        <v>65</v>
      </c>
      <c r="D40" s="14" t="s">
        <v>3</v>
      </c>
      <c r="E40" s="52"/>
      <c r="F40" s="53">
        <f>+F163-E163</f>
        <v>12350</v>
      </c>
      <c r="G40" s="53">
        <f>+G163-F163</f>
        <v>48592</v>
      </c>
      <c r="H40" s="53">
        <f ca="1">MAX(H39-H38,0)</f>
        <v>0</v>
      </c>
      <c r="I40" s="53">
        <f t="shared" ref="I40:L40" ca="1" si="11">MAX(I39-I38,0)</f>
        <v>63515.773689704249</v>
      </c>
      <c r="J40" s="53">
        <f t="shared" ca="1" si="11"/>
        <v>59747.814444479998</v>
      </c>
      <c r="K40" s="53">
        <f t="shared" ca="1" si="11"/>
        <v>0</v>
      </c>
      <c r="L40" s="53">
        <f t="shared" ca="1" si="11"/>
        <v>0</v>
      </c>
      <c r="M40" s="19"/>
      <c r="N40" s="19"/>
    </row>
    <row r="41" spans="3:14" x14ac:dyDescent="0.25">
      <c r="C41" s="24" t="s">
        <v>66</v>
      </c>
      <c r="D41" s="14" t="s">
        <v>3</v>
      </c>
      <c r="F41" s="54">
        <f>+F178-E178</f>
        <v>-2685</v>
      </c>
      <c r="G41" s="54">
        <f>+G178-F178</f>
        <v>4796</v>
      </c>
      <c r="H41" s="54">
        <f ca="1">MAX(H38-H39,0)</f>
        <v>26025.081303574611</v>
      </c>
      <c r="I41" s="54">
        <f t="shared" ref="I41:L41" ca="1" si="12">MAX(I38-I39,0)</f>
        <v>0</v>
      </c>
      <c r="J41" s="54">
        <f t="shared" ca="1" si="12"/>
        <v>0</v>
      </c>
      <c r="K41" s="54">
        <f t="shared" ca="1" si="12"/>
        <v>20283.331446880475</v>
      </c>
      <c r="L41" s="54">
        <f t="shared" ca="1" si="12"/>
        <v>18030.447740439558</v>
      </c>
      <c r="M41" s="19"/>
      <c r="N41" s="19"/>
    </row>
    <row r="42" spans="3:14" x14ac:dyDescent="0.25">
      <c r="C42" s="24"/>
      <c r="D42" s="14"/>
      <c r="F42" s="54"/>
      <c r="G42" s="54"/>
      <c r="H42" s="54"/>
      <c r="I42" s="54"/>
      <c r="J42" s="54"/>
      <c r="K42" s="54"/>
      <c r="L42" s="54"/>
      <c r="M42" s="19"/>
      <c r="N42" s="19"/>
    </row>
    <row r="43" spans="3:14" x14ac:dyDescent="0.25">
      <c r="C43" s="24"/>
      <c r="D43" s="14"/>
      <c r="F43" s="54"/>
      <c r="G43" s="54"/>
      <c r="H43" s="54"/>
      <c r="I43" s="54"/>
      <c r="J43" s="54"/>
      <c r="K43" s="54"/>
      <c r="L43" s="54"/>
      <c r="M43" s="19"/>
      <c r="N43" s="19"/>
    </row>
    <row r="44" spans="3:14" x14ac:dyDescent="0.25">
      <c r="C44" s="24" t="s">
        <v>67</v>
      </c>
      <c r="D44" s="14" t="s">
        <v>3</v>
      </c>
      <c r="F44" s="54">
        <f>F46-F45</f>
        <v>10641</v>
      </c>
      <c r="G44" s="54">
        <f>G46-G45</f>
        <v>13784</v>
      </c>
      <c r="H44" s="54">
        <f ca="1">H46-H45</f>
        <v>18361.931396348082</v>
      </c>
      <c r="I44" s="54">
        <f t="shared" ref="I44:L44" ca="1" si="13">I46-I45</f>
        <v>18977.344857242711</v>
      </c>
      <c r="J44" s="54">
        <f t="shared" ca="1" si="13"/>
        <v>18747.278334746949</v>
      </c>
      <c r="K44" s="54">
        <f t="shared" ca="1" si="13"/>
        <v>19919.261922607606</v>
      </c>
      <c r="L44" s="54">
        <f t="shared" ca="1" si="13"/>
        <v>20076.147282388894</v>
      </c>
      <c r="M44" s="19"/>
      <c r="N44" s="19"/>
    </row>
    <row r="45" spans="3:14" x14ac:dyDescent="0.25">
      <c r="C45" s="55" t="s">
        <v>68</v>
      </c>
      <c r="D45" s="16" t="s">
        <v>3</v>
      </c>
      <c r="E45" s="56"/>
      <c r="F45" s="57">
        <f>-F171+E171</f>
        <v>-1228</v>
      </c>
      <c r="G45" s="57">
        <f>-G171+F171</f>
        <v>-1748</v>
      </c>
      <c r="H45" s="57">
        <f ca="1">-H48*H46</f>
        <v>-1201.2478483592204</v>
      </c>
      <c r="I45" s="57">
        <f t="shared" ref="I45:L45" ca="1" si="14">-I48*I46</f>
        <v>-552.73819972551587</v>
      </c>
      <c r="J45" s="57">
        <f t="shared" ca="1" si="14"/>
        <v>0</v>
      </c>
      <c r="K45" s="57">
        <f t="shared" ca="1" si="14"/>
        <v>406.51554944097154</v>
      </c>
      <c r="L45" s="57">
        <f t="shared" ca="1" si="14"/>
        <v>836.50613676620401</v>
      </c>
      <c r="M45" s="19"/>
      <c r="N45" s="19"/>
    </row>
    <row r="46" spans="3:14" x14ac:dyDescent="0.25">
      <c r="C46" s="38" t="s">
        <v>69</v>
      </c>
      <c r="D46" s="58" t="s">
        <v>3</v>
      </c>
      <c r="F46" s="54">
        <f>-F232</f>
        <v>9413</v>
      </c>
      <c r="G46" s="54">
        <f t="shared" ref="G46:L46" si="15">-G232</f>
        <v>12036</v>
      </c>
      <c r="H46" s="54">
        <f t="shared" ca="1" si="15"/>
        <v>17160.683547988861</v>
      </c>
      <c r="I46" s="54">
        <f t="shared" ca="1" si="15"/>
        <v>18424.606657517197</v>
      </c>
      <c r="J46" s="54">
        <f t="shared" ca="1" si="15"/>
        <v>18747.278334746949</v>
      </c>
      <c r="K46" s="54">
        <f t="shared" ca="1" si="15"/>
        <v>20325.777472048576</v>
      </c>
      <c r="L46" s="54">
        <f t="shared" ca="1" si="15"/>
        <v>20912.6534191551</v>
      </c>
      <c r="M46" s="19"/>
      <c r="N46" s="19"/>
    </row>
    <row r="47" spans="3:14" x14ac:dyDescent="0.25">
      <c r="C47" s="38"/>
      <c r="D47" s="58"/>
      <c r="F47" s="54"/>
      <c r="G47" s="54"/>
      <c r="H47" s="54"/>
      <c r="I47" s="54"/>
      <c r="J47" s="54"/>
      <c r="K47" s="54"/>
      <c r="L47" s="54"/>
      <c r="M47" s="19"/>
      <c r="N47" s="19"/>
    </row>
    <row r="48" spans="3:14" x14ac:dyDescent="0.25">
      <c r="C48" s="24" t="s">
        <v>70</v>
      </c>
      <c r="D48" s="14" t="s">
        <v>11</v>
      </c>
      <c r="F48" s="59">
        <f>-F45/F46</f>
        <v>0.13045787740359077</v>
      </c>
      <c r="G48" s="59">
        <f>-G45/G46</f>
        <v>0.14523097374543037</v>
      </c>
      <c r="H48" s="45">
        <v>7.0000000000000007E-2</v>
      </c>
      <c r="I48" s="45">
        <v>0.03</v>
      </c>
      <c r="J48" s="45">
        <v>0</v>
      </c>
      <c r="K48" s="45">
        <v>-0.02</v>
      </c>
      <c r="L48" s="45">
        <v>-0.04</v>
      </c>
      <c r="M48" s="19"/>
      <c r="N48" s="19"/>
    </row>
    <row r="49" spans="2:14" x14ac:dyDescent="0.25">
      <c r="C49" s="24"/>
      <c r="D49" s="14"/>
      <c r="F49" s="54"/>
      <c r="G49" s="54"/>
      <c r="H49" s="54"/>
      <c r="I49" s="54"/>
      <c r="J49" s="54"/>
      <c r="K49" s="54"/>
      <c r="L49" s="54"/>
      <c r="M49" s="19"/>
      <c r="N49" s="19"/>
    </row>
    <row r="50" spans="2:14" x14ac:dyDescent="0.25">
      <c r="B50" s="2" t="s">
        <v>54</v>
      </c>
      <c r="C50" s="2"/>
      <c r="D50" s="3"/>
      <c r="E50" s="4" t="s">
        <v>55</v>
      </c>
      <c r="F50" s="4"/>
      <c r="G50" s="4"/>
      <c r="H50" s="5" t="s">
        <v>0</v>
      </c>
      <c r="I50" s="4"/>
      <c r="J50" s="4"/>
      <c r="K50" s="4"/>
      <c r="L50" s="4"/>
      <c r="M50" s="19"/>
      <c r="N50" s="19"/>
    </row>
    <row r="51" spans="2:14" x14ac:dyDescent="0.25">
      <c r="B51" s="6" t="s">
        <v>71</v>
      </c>
      <c r="C51" s="6"/>
      <c r="D51" s="7" t="s">
        <v>1</v>
      </c>
      <c r="E51" s="8">
        <f>EOMONTH(F51,-12)</f>
        <v>43465</v>
      </c>
      <c r="F51" s="8">
        <f>EOMONTH(G51,-12)</f>
        <v>43830</v>
      </c>
      <c r="G51" s="8">
        <f>D10</f>
        <v>44196</v>
      </c>
      <c r="H51" s="8">
        <f>EOMONTH(G51,12)</f>
        <v>44561</v>
      </c>
      <c r="I51" s="8">
        <f t="shared" ref="I51:L51" si="16">EOMONTH(H51,12)</f>
        <v>44926</v>
      </c>
      <c r="J51" s="8">
        <f t="shared" si="16"/>
        <v>45291</v>
      </c>
      <c r="K51" s="8">
        <f t="shared" si="16"/>
        <v>45657</v>
      </c>
      <c r="L51" s="8">
        <f t="shared" si="16"/>
        <v>46022</v>
      </c>
      <c r="M51" s="19"/>
      <c r="N51" s="19"/>
    </row>
    <row r="52" spans="2:14" x14ac:dyDescent="0.25">
      <c r="B52" s="46" t="s">
        <v>72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19"/>
      <c r="N52" s="19"/>
    </row>
    <row r="53" spans="2:14" x14ac:dyDescent="0.25">
      <c r="C53" s="13" t="str">
        <f>C163</f>
        <v>Due from Banks</v>
      </c>
      <c r="D53" s="14" t="str">
        <f t="shared" ref="D53:L56" si="17">D163</f>
        <v>₽ M</v>
      </c>
      <c r="E53" s="19">
        <f t="shared" si="17"/>
        <v>17581</v>
      </c>
      <c r="F53" s="19">
        <f t="shared" si="17"/>
        <v>29931</v>
      </c>
      <c r="G53" s="19">
        <f t="shared" si="17"/>
        <v>78523</v>
      </c>
      <c r="H53" s="19">
        <f t="shared" ca="1" si="17"/>
        <v>78523</v>
      </c>
      <c r="I53" s="19">
        <f t="shared" ca="1" si="17"/>
        <v>142038.77368970425</v>
      </c>
      <c r="J53" s="19">
        <f t="shared" ca="1" si="17"/>
        <v>201786.58813418425</v>
      </c>
      <c r="K53" s="19">
        <f t="shared" ca="1" si="17"/>
        <v>201786.58813418425</v>
      </c>
      <c r="L53" s="19">
        <f t="shared" ca="1" si="17"/>
        <v>201786.58813418425</v>
      </c>
      <c r="M53" s="19"/>
      <c r="N53" s="19"/>
    </row>
    <row r="54" spans="2:14" x14ac:dyDescent="0.25">
      <c r="C54" s="13" t="str">
        <f>C164</f>
        <v>Gross Loans:</v>
      </c>
      <c r="D54" s="14" t="str">
        <f t="shared" si="17"/>
        <v>₽ M</v>
      </c>
      <c r="E54" s="19">
        <f t="shared" si="17"/>
        <v>234710</v>
      </c>
      <c r="F54" s="19">
        <f t="shared" si="17"/>
        <v>383912</v>
      </c>
      <c r="G54" s="19">
        <f t="shared" si="17"/>
        <v>447421</v>
      </c>
      <c r="H54" s="19">
        <f t="shared" si="17"/>
        <v>599929.21722855268</v>
      </c>
      <c r="I54" s="19">
        <f t="shared" si="17"/>
        <v>659560.45798391278</v>
      </c>
      <c r="J54" s="19">
        <f t="shared" si="17"/>
        <v>741213.99183280696</v>
      </c>
      <c r="K54" s="19">
        <f t="shared" si="17"/>
        <v>916112.55616766191</v>
      </c>
      <c r="L54" s="19">
        <f t="shared" si="17"/>
        <v>1117430.5376457013</v>
      </c>
      <c r="M54" s="19"/>
      <c r="N54" s="19"/>
    </row>
    <row r="55" spans="2:14" x14ac:dyDescent="0.25">
      <c r="C55" s="41" t="s">
        <v>73</v>
      </c>
      <c r="D55" s="14" t="str">
        <f t="shared" si="17"/>
        <v>₽ M</v>
      </c>
      <c r="E55" s="19">
        <f>Loans!E8</f>
        <v>363</v>
      </c>
      <c r="F55" s="19">
        <f>Loans!F8</f>
        <v>1013</v>
      </c>
      <c r="G55" s="19">
        <f>Loans!G8</f>
        <v>2899</v>
      </c>
      <c r="H55" s="19">
        <f>Loans!H8</f>
        <v>11062.052464043578</v>
      </c>
      <c r="I55" s="19">
        <f>Loans!I8</f>
        <v>36992.437236911603</v>
      </c>
      <c r="J55" s="19">
        <f>Loans!J8</f>
        <v>108965.16099048924</v>
      </c>
      <c r="K55" s="19">
        <f>Loans!K8</f>
        <v>279889.01206145721</v>
      </c>
      <c r="L55" s="19">
        <f>Loans!L8</f>
        <v>486574.03117490467</v>
      </c>
      <c r="M55" s="19"/>
      <c r="N55" s="19"/>
    </row>
    <row r="56" spans="2:14" x14ac:dyDescent="0.25">
      <c r="C56" s="41" t="s">
        <v>74</v>
      </c>
      <c r="D56" s="14" t="str">
        <f t="shared" si="17"/>
        <v>₽ M</v>
      </c>
      <c r="E56" s="19">
        <f>Loans!E9</f>
        <v>234347</v>
      </c>
      <c r="F56" s="19">
        <f>Loans!F9</f>
        <v>382899</v>
      </c>
      <c r="G56" s="19">
        <f>Loans!G9</f>
        <v>442630</v>
      </c>
      <c r="H56" s="19">
        <f>Loans!H9</f>
        <v>618429.41431172029</v>
      </c>
      <c r="I56" s="19">
        <f>Loans!I9</f>
        <v>689416.50577924866</v>
      </c>
      <c r="J56" s="19">
        <f>Loans!J9</f>
        <v>742487.31108436431</v>
      </c>
      <c r="K56" s="19">
        <f>Loans!K9</f>
        <v>799560.3643905808</v>
      </c>
      <c r="L56" s="19">
        <f>Loans!L9</f>
        <v>860932.78600613447</v>
      </c>
      <c r="M56" s="19"/>
      <c r="N56" s="19"/>
    </row>
    <row r="57" spans="2:14" x14ac:dyDescent="0.25">
      <c r="C57" s="60" t="str">
        <f>C167</f>
        <v>Securities</v>
      </c>
      <c r="D57" s="16" t="str">
        <f>D167</f>
        <v>₽ M</v>
      </c>
      <c r="E57" s="61">
        <f>E167</f>
        <v>100140</v>
      </c>
      <c r="F57" s="61">
        <f>F167</f>
        <v>135178</v>
      </c>
      <c r="G57" s="61">
        <f>G167</f>
        <v>238454</v>
      </c>
      <c r="H57" s="61">
        <f t="shared" ref="H57:L57" si="18">H167</f>
        <v>281838.2441963419</v>
      </c>
      <c r="I57" s="61">
        <f t="shared" si="18"/>
        <v>338432.50444915961</v>
      </c>
      <c r="J57" s="61">
        <f t="shared" si="18"/>
        <v>399894.04834645614</v>
      </c>
      <c r="K57" s="61">
        <f t="shared" si="18"/>
        <v>457126.85064793803</v>
      </c>
      <c r="L57" s="61">
        <f t="shared" si="18"/>
        <v>514965.28124425706</v>
      </c>
    </row>
    <row r="58" spans="2:14" x14ac:dyDescent="0.25">
      <c r="C58" s="1" t="s">
        <v>75</v>
      </c>
      <c r="D58" s="58" t="str">
        <f>D168</f>
        <v>₽ M</v>
      </c>
      <c r="E58" s="62">
        <f>SUM(E53:E54,E57)</f>
        <v>352431</v>
      </c>
      <c r="F58" s="62">
        <f t="shared" ref="F58:L58" si="19">SUM(F53:F54,F57)</f>
        <v>549021</v>
      </c>
      <c r="G58" s="62">
        <f t="shared" si="19"/>
        <v>764398</v>
      </c>
      <c r="H58" s="62">
        <f t="shared" ca="1" si="19"/>
        <v>960290.46142489463</v>
      </c>
      <c r="I58" s="62">
        <f t="shared" ca="1" si="19"/>
        <v>1140031.7361227768</v>
      </c>
      <c r="J58" s="62">
        <f t="shared" ca="1" si="19"/>
        <v>1342894.6283134473</v>
      </c>
      <c r="K58" s="62">
        <f t="shared" ca="1" si="19"/>
        <v>1575025.9949497841</v>
      </c>
      <c r="L58" s="62">
        <f t="shared" ca="1" si="19"/>
        <v>1834182.4070241426</v>
      </c>
    </row>
    <row r="59" spans="2:14" x14ac:dyDescent="0.25">
      <c r="C59" s="1" t="s">
        <v>76</v>
      </c>
      <c r="D59" s="58"/>
      <c r="E59" s="62"/>
      <c r="F59" s="62">
        <f>AVERAGE(E58:F58)</f>
        <v>450726</v>
      </c>
      <c r="G59" s="62">
        <f t="shared" ref="G59:L59" si="20">AVERAGE(F58:G58)</f>
        <v>656709.5</v>
      </c>
      <c r="H59" s="62">
        <f t="shared" ca="1" si="20"/>
        <v>862344.23071244732</v>
      </c>
      <c r="I59" s="62">
        <f t="shared" ca="1" si="20"/>
        <v>1050161.0987738357</v>
      </c>
      <c r="J59" s="62">
        <f t="shared" ca="1" si="20"/>
        <v>1241463.1822181121</v>
      </c>
      <c r="K59" s="62">
        <f t="shared" ca="1" si="20"/>
        <v>1458960.3116316157</v>
      </c>
      <c r="L59" s="62">
        <f t="shared" ca="1" si="20"/>
        <v>1704604.2009869632</v>
      </c>
    </row>
    <row r="60" spans="2:14" x14ac:dyDescent="0.25">
      <c r="D60" s="14"/>
      <c r="E60" s="54"/>
      <c r="F60" s="54"/>
      <c r="G60" s="54"/>
    </row>
    <row r="61" spans="2:14" x14ac:dyDescent="0.25">
      <c r="C61" s="38" t="s">
        <v>9</v>
      </c>
      <c r="D61" s="14" t="str">
        <f t="shared" ref="D61" si="21">D169</f>
        <v>₽ M</v>
      </c>
      <c r="E61" s="54">
        <v>393319</v>
      </c>
      <c r="F61" s="54">
        <v>577792</v>
      </c>
      <c r="G61" s="54">
        <v>786809</v>
      </c>
      <c r="H61" s="63">
        <f ca="1">H58*H62</f>
        <v>960290.46142489463</v>
      </c>
      <c r="I61" s="63">
        <f t="shared" ref="I61:L61" ca="1" si="22">I58*I62</f>
        <v>1140031.7361227768</v>
      </c>
      <c r="J61" s="63">
        <f t="shared" ca="1" si="22"/>
        <v>1342894.6283134473</v>
      </c>
      <c r="K61" s="63">
        <f t="shared" ca="1" si="22"/>
        <v>1575025.9949497841</v>
      </c>
      <c r="L61" s="63">
        <f t="shared" ca="1" si="22"/>
        <v>1834182.4070241426</v>
      </c>
    </row>
    <row r="62" spans="2:14" x14ac:dyDescent="0.25">
      <c r="C62" s="13" t="s">
        <v>77</v>
      </c>
      <c r="D62" s="14" t="s">
        <v>11</v>
      </c>
      <c r="E62" s="48">
        <f>E61/E58</f>
        <v>1.1160170359588117</v>
      </c>
      <c r="F62" s="48">
        <f t="shared" ref="F62:G62" si="23">F61/F58</f>
        <v>1.0524041885465218</v>
      </c>
      <c r="G62" s="48">
        <f t="shared" si="23"/>
        <v>1.0293184963853907</v>
      </c>
      <c r="H62" s="64">
        <v>1</v>
      </c>
      <c r="I62" s="64">
        <v>1</v>
      </c>
      <c r="J62" s="64">
        <v>1</v>
      </c>
      <c r="K62" s="64">
        <v>1</v>
      </c>
      <c r="L62" s="64">
        <v>1</v>
      </c>
    </row>
    <row r="63" spans="2:14" x14ac:dyDescent="0.25">
      <c r="C63" s="13"/>
      <c r="D63" s="14"/>
      <c r="E63" s="59"/>
      <c r="F63" s="59"/>
      <c r="G63" s="59"/>
      <c r="H63" s="65"/>
      <c r="I63" s="65"/>
      <c r="J63" s="65"/>
      <c r="K63" s="65"/>
      <c r="L63" s="65"/>
    </row>
    <row r="64" spans="2:14" x14ac:dyDescent="0.25">
      <c r="C64" s="1" t="s">
        <v>78</v>
      </c>
      <c r="D64" s="27"/>
      <c r="H64" s="51"/>
      <c r="I64" s="51"/>
      <c r="J64" s="51"/>
      <c r="K64" s="51"/>
      <c r="L64" s="51"/>
    </row>
    <row r="65" spans="3:12" x14ac:dyDescent="0.25">
      <c r="C65" s="13" t="s">
        <v>79</v>
      </c>
      <c r="D65" s="27"/>
      <c r="H65" s="66"/>
      <c r="I65" s="66"/>
      <c r="J65" s="66"/>
      <c r="K65" s="66"/>
      <c r="L65" s="66"/>
    </row>
    <row r="66" spans="3:12" x14ac:dyDescent="0.25">
      <c r="C66" s="41" t="s">
        <v>73</v>
      </c>
      <c r="D66" s="14" t="str">
        <f>D67</f>
        <v>₽ M</v>
      </c>
      <c r="E66" s="67">
        <v>68</v>
      </c>
      <c r="F66" s="67">
        <v>325</v>
      </c>
      <c r="G66" s="68">
        <v>529</v>
      </c>
      <c r="H66" s="19">
        <f>H55*H75</f>
        <v>2731.7727249063528</v>
      </c>
      <c r="I66" s="19">
        <f t="shared" ref="I66:L67" si="24">I55*I75</f>
        <v>8783.8504394468655</v>
      </c>
      <c r="J66" s="19">
        <f t="shared" si="24"/>
        <v>23912.393437730861</v>
      </c>
      <c r="K66" s="19">
        <f t="shared" si="24"/>
        <v>60022.170018071112</v>
      </c>
      <c r="L66" s="19">
        <f t="shared" si="24"/>
        <v>104345.75123351239</v>
      </c>
    </row>
    <row r="67" spans="3:12" x14ac:dyDescent="0.25">
      <c r="C67" s="69" t="s">
        <v>74</v>
      </c>
      <c r="D67" s="16" t="str">
        <f>D177</f>
        <v>₽ M</v>
      </c>
      <c r="E67" s="70">
        <f>76725-E66-E69-E70</f>
        <v>70008</v>
      </c>
      <c r="F67" s="70">
        <f>84325+11878+2285+3452+1512</f>
        <v>103452</v>
      </c>
      <c r="G67" s="71">
        <f>89253+11439+4950+4806+3342</f>
        <v>113790</v>
      </c>
      <c r="H67" s="61">
        <f>H56*H76</f>
        <v>169868.81707740607</v>
      </c>
      <c r="I67" s="61">
        <f t="shared" si="24"/>
        <v>198329.80816959144</v>
      </c>
      <c r="J67" s="61">
        <f t="shared" si="24"/>
        <v>194663.67305842121</v>
      </c>
      <c r="K67" s="61">
        <f t="shared" si="24"/>
        <v>205629.15750868959</v>
      </c>
      <c r="L67" s="61">
        <f t="shared" si="24"/>
        <v>221412.78050092387</v>
      </c>
    </row>
    <row r="68" spans="3:12" x14ac:dyDescent="0.25">
      <c r="C68" s="72" t="s">
        <v>80</v>
      </c>
      <c r="D68" s="58" t="str">
        <f>D178</f>
        <v>₽ M</v>
      </c>
      <c r="E68" s="20">
        <f>SUM(E66:E67)</f>
        <v>70076</v>
      </c>
      <c r="F68" s="20">
        <f t="shared" ref="F68:L68" si="25">SUM(F66:F67)</f>
        <v>103777</v>
      </c>
      <c r="G68" s="20">
        <f t="shared" si="25"/>
        <v>114319</v>
      </c>
      <c r="H68" s="20">
        <f t="shared" si="25"/>
        <v>172600.58980231243</v>
      </c>
      <c r="I68" s="20">
        <f t="shared" si="25"/>
        <v>207113.65860903831</v>
      </c>
      <c r="J68" s="20">
        <f t="shared" si="25"/>
        <v>218576.06649615208</v>
      </c>
      <c r="K68" s="20">
        <f t="shared" si="25"/>
        <v>265651.3275267607</v>
      </c>
      <c r="L68" s="20">
        <f t="shared" si="25"/>
        <v>325758.53173443628</v>
      </c>
    </row>
    <row r="69" spans="3:12" x14ac:dyDescent="0.25">
      <c r="C69" s="13" t="s">
        <v>81</v>
      </c>
      <c r="D69" s="14" t="str">
        <f>D179</f>
        <v>₽ M</v>
      </c>
      <c r="E69" s="67">
        <v>440</v>
      </c>
      <c r="F69" s="67">
        <v>463</v>
      </c>
      <c r="G69" s="68">
        <v>626</v>
      </c>
      <c r="H69" s="19">
        <f ca="1">H78*AVERAGE(G53:H53)</f>
        <v>865.08309578230967</v>
      </c>
      <c r="I69" s="19">
        <f t="shared" ref="I69:L69" ca="1" si="26">I78*AVERAGE(H53:I53)</f>
        <v>3475.7159760909399</v>
      </c>
      <c r="J69" s="19">
        <f t="shared" ca="1" si="26"/>
        <v>2726.417223232675</v>
      </c>
      <c r="K69" s="19">
        <f t="shared" ca="1" si="26"/>
        <v>1876.1573536242211</v>
      </c>
      <c r="L69" s="19">
        <f t="shared" ca="1" si="26"/>
        <v>1928.6751219991615</v>
      </c>
    </row>
    <row r="70" spans="3:12" x14ac:dyDescent="0.25">
      <c r="C70" s="13" t="s">
        <v>82</v>
      </c>
      <c r="D70" s="16" t="str">
        <f>D180</f>
        <v>₽ M</v>
      </c>
      <c r="E70" s="67">
        <f>5753+456</f>
        <v>6209</v>
      </c>
      <c r="F70" s="67">
        <f>6705+118</f>
        <v>6823</v>
      </c>
      <c r="G70" s="68">
        <f>10510+83</f>
        <v>10593</v>
      </c>
      <c r="H70" s="19">
        <f>H79*AVERAGE(G57:H57)</f>
        <v>13747.742590027634</v>
      </c>
      <c r="I70" s="19">
        <f t="shared" ref="I70:L70" si="27">I79*AVERAGE(H57:I57)</f>
        <v>22747.261435656736</v>
      </c>
      <c r="J70" s="19">
        <f t="shared" si="27"/>
        <v>20431.796721314724</v>
      </c>
      <c r="K70" s="19">
        <f t="shared" si="27"/>
        <v>21573.886945808375</v>
      </c>
      <c r="L70" s="19">
        <f t="shared" si="27"/>
        <v>24470.588499020068</v>
      </c>
    </row>
    <row r="71" spans="3:12" x14ac:dyDescent="0.25">
      <c r="C71" s="73" t="s">
        <v>83</v>
      </c>
      <c r="D71" s="58" t="str">
        <f>D182</f>
        <v>₽ M</v>
      </c>
      <c r="E71" s="74">
        <f t="shared" ref="E71:L71" si="28">SUM(E68:E70)</f>
        <v>76725</v>
      </c>
      <c r="F71" s="74">
        <f t="shared" si="28"/>
        <v>111063</v>
      </c>
      <c r="G71" s="74">
        <f t="shared" si="28"/>
        <v>125538</v>
      </c>
      <c r="H71" s="74">
        <f t="shared" ca="1" si="28"/>
        <v>187213.41548812238</v>
      </c>
      <c r="I71" s="74">
        <f t="shared" ca="1" si="28"/>
        <v>233336.63602078595</v>
      </c>
      <c r="J71" s="74">
        <f t="shared" ca="1" si="28"/>
        <v>241734.28044069948</v>
      </c>
      <c r="K71" s="74">
        <f t="shared" ca="1" si="28"/>
        <v>289101.3718261933</v>
      </c>
      <c r="L71" s="74">
        <f t="shared" ca="1" si="28"/>
        <v>352157.79535545554</v>
      </c>
    </row>
    <row r="72" spans="3:12" x14ac:dyDescent="0.25">
      <c r="C72" s="13"/>
      <c r="D72" s="14"/>
      <c r="E72" s="59"/>
      <c r="F72" s="59"/>
      <c r="G72" s="59"/>
      <c r="H72" s="65"/>
      <c r="I72" s="65"/>
      <c r="J72" s="65"/>
      <c r="K72" s="65"/>
      <c r="L72" s="65"/>
    </row>
    <row r="73" spans="3:12" x14ac:dyDescent="0.25">
      <c r="C73" s="1" t="s">
        <v>84</v>
      </c>
      <c r="D73" s="27"/>
      <c r="J73" s="66"/>
      <c r="K73" s="65"/>
      <c r="L73" s="65"/>
    </row>
    <row r="74" spans="3:12" x14ac:dyDescent="0.25">
      <c r="C74" s="13" t="s">
        <v>79</v>
      </c>
      <c r="D74" s="27"/>
      <c r="J74" s="66"/>
      <c r="K74" s="65"/>
      <c r="L74" s="65"/>
    </row>
    <row r="75" spans="3:12" x14ac:dyDescent="0.25">
      <c r="C75" s="41" t="s">
        <v>73</v>
      </c>
      <c r="D75" s="14" t="s">
        <v>11</v>
      </c>
      <c r="E75" s="75">
        <f>E66/E55</f>
        <v>0.18732782369146006</v>
      </c>
      <c r="F75" s="75">
        <f>F66/AVERAGE(E55:F55)</f>
        <v>0.47238372093023256</v>
      </c>
      <c r="G75" s="75">
        <f>G66/AVERAGE(F55:G55)</f>
        <v>0.27044989775051126</v>
      </c>
      <c r="H75" s="75">
        <f>H84+H$24</f>
        <v>0.24694989775051127</v>
      </c>
      <c r="I75" s="75">
        <f t="shared" ref="I75:L75" si="29">I84+I$24</f>
        <v>0.23744989775051129</v>
      </c>
      <c r="J75" s="75">
        <f t="shared" si="29"/>
        <v>0.21944989775051127</v>
      </c>
      <c r="K75" s="75">
        <f t="shared" si="29"/>
        <v>0.21444989775051126</v>
      </c>
      <c r="L75" s="75">
        <f t="shared" si="29"/>
        <v>0.21444989775051126</v>
      </c>
    </row>
    <row r="76" spans="3:12" x14ac:dyDescent="0.25">
      <c r="C76" s="69" t="s">
        <v>74</v>
      </c>
      <c r="D76" s="16" t="s">
        <v>11</v>
      </c>
      <c r="E76" s="76">
        <f>E67/E56</f>
        <v>0.29873648905255878</v>
      </c>
      <c r="F76" s="76">
        <f>F67/AVERAGE(E56:F56)</f>
        <v>0.33520508840883539</v>
      </c>
      <c r="G76" s="76">
        <f>G67/AVERAGE(F56:G56)</f>
        <v>0.27567777752204947</v>
      </c>
      <c r="H76" s="76">
        <f>H85+H$24</f>
        <v>0.27467777752204947</v>
      </c>
      <c r="I76" s="76">
        <f>I85+I$24</f>
        <v>0.28767777752204948</v>
      </c>
      <c r="J76" s="76">
        <f>J85+J$24</f>
        <v>0.26217777752204946</v>
      </c>
      <c r="K76" s="76">
        <f>K85+K$24</f>
        <v>0.25717777752204946</v>
      </c>
      <c r="L76" s="76">
        <f>L85+L$24</f>
        <v>0.25717777752204946</v>
      </c>
    </row>
    <row r="77" spans="3:12" x14ac:dyDescent="0.25">
      <c r="C77" s="72" t="s">
        <v>80</v>
      </c>
      <c r="D77" s="14" t="s">
        <v>11</v>
      </c>
      <c r="E77" s="77">
        <f>E68/E54</f>
        <v>0.298564185590729</v>
      </c>
      <c r="F77" s="77">
        <f>F68/AVERAGE(E54:F54)</f>
        <v>0.33551021463834135</v>
      </c>
      <c r="G77" s="77">
        <f>G68/AVERAGE(F54:G54)</f>
        <v>0.27502577186277943</v>
      </c>
      <c r="H77" s="77">
        <f>H68/AVERAGE(G54:H54)</f>
        <v>0.32959479448820805</v>
      </c>
      <c r="I77" s="77">
        <f t="shared" ref="I77:L77" si="30">I68/AVERAGE(H54:I54)</f>
        <v>0.32888504397481455</v>
      </c>
      <c r="J77" s="77">
        <f t="shared" si="30"/>
        <v>0.31207888825321028</v>
      </c>
      <c r="K77" s="77">
        <f t="shared" si="30"/>
        <v>0.32057813572981581</v>
      </c>
      <c r="L77" s="77">
        <f t="shared" si="30"/>
        <v>0.32038517671495592</v>
      </c>
    </row>
    <row r="78" spans="3:12" x14ac:dyDescent="0.25">
      <c r="C78" s="13" t="s">
        <v>81</v>
      </c>
      <c r="D78" s="14" t="s">
        <v>11</v>
      </c>
      <c r="E78" s="75">
        <f>E69/E53</f>
        <v>2.5027017803310393E-2</v>
      </c>
      <c r="F78" s="75">
        <f>F69/AVERAGE(E53:F53)</f>
        <v>1.9489813099848461E-2</v>
      </c>
      <c r="G78" s="75">
        <f>G69/AVERAGE(F53:G53)</f>
        <v>1.154406476478507E-2</v>
      </c>
      <c r="H78" s="75">
        <f t="shared" ref="H78:L79" si="31">H87+H$24</f>
        <v>1.1016938932316769E-2</v>
      </c>
      <c r="I78" s="75">
        <f t="shared" si="31"/>
        <v>3.1516938932316767E-2</v>
      </c>
      <c r="J78" s="75">
        <f t="shared" si="31"/>
        <v>1.5859314209806193E-2</v>
      </c>
      <c r="K78" s="75">
        <f t="shared" si="31"/>
        <v>9.2977306914799121E-3</v>
      </c>
      <c r="L78" s="75">
        <f t="shared" si="31"/>
        <v>9.5579946112009651E-3</v>
      </c>
    </row>
    <row r="79" spans="3:12" x14ac:dyDescent="0.25">
      <c r="C79" s="60" t="s">
        <v>82</v>
      </c>
      <c r="D79" s="16" t="s">
        <v>11</v>
      </c>
      <c r="E79" s="76">
        <f>E70/E57</f>
        <v>6.2003195526263231E-2</v>
      </c>
      <c r="F79" s="76">
        <f>F70/AVERAGE(E57:F57)</f>
        <v>5.7989614054173501E-2</v>
      </c>
      <c r="G79" s="76">
        <f>G70/AVERAGE(F57:G57)</f>
        <v>5.6702852004110994E-2</v>
      </c>
      <c r="H79" s="76">
        <f t="shared" si="31"/>
        <v>5.2846233029142251E-2</v>
      </c>
      <c r="I79" s="76">
        <f t="shared" si="31"/>
        <v>7.3346233029142255E-2</v>
      </c>
      <c r="J79" s="76">
        <f t="shared" si="31"/>
        <v>5.5346233029142253E-2</v>
      </c>
      <c r="K79" s="76">
        <f t="shared" si="31"/>
        <v>5.0346233029142248E-2</v>
      </c>
      <c r="L79" s="76">
        <f t="shared" si="31"/>
        <v>5.0346233029142248E-2</v>
      </c>
    </row>
    <row r="80" spans="3:12" x14ac:dyDescent="0.25">
      <c r="C80" s="73" t="s">
        <v>83</v>
      </c>
      <c r="D80" s="78" t="s">
        <v>11</v>
      </c>
      <c r="E80" s="77">
        <f>E71/E58</f>
        <v>0.21770218851349626</v>
      </c>
      <c r="F80" s="77">
        <f>F71/F59</f>
        <v>0.24640912660907069</v>
      </c>
      <c r="G80" s="77">
        <f t="shared" ref="G80:L80" si="32">G71/G59</f>
        <v>0.19116215008310372</v>
      </c>
      <c r="H80" s="77">
        <f t="shared" ca="1" si="32"/>
        <v>0.21709824084223456</v>
      </c>
      <c r="I80" s="77">
        <f t="shared" ca="1" si="32"/>
        <v>0.22219127740803671</v>
      </c>
      <c r="J80" s="77">
        <f t="shared" ca="1" si="32"/>
        <v>0.19471723680825945</v>
      </c>
      <c r="K80" s="77">
        <f t="shared" ca="1" si="32"/>
        <v>0.19815574798116287</v>
      </c>
      <c r="L80" s="77">
        <f t="shared" ca="1" si="32"/>
        <v>0.20659211983142875</v>
      </c>
    </row>
    <row r="81" spans="2:14" x14ac:dyDescent="0.25">
      <c r="C81" s="13"/>
      <c r="D81" s="14"/>
      <c r="E81" s="59"/>
      <c r="F81" s="59"/>
      <c r="G81" s="59"/>
      <c r="H81" s="65"/>
      <c r="I81" s="65"/>
      <c r="J81" s="65"/>
      <c r="K81" s="65"/>
      <c r="L81" s="65"/>
    </row>
    <row r="82" spans="2:14" x14ac:dyDescent="0.25">
      <c r="C82" s="38" t="s">
        <v>85</v>
      </c>
      <c r="D82" s="79"/>
      <c r="E82" s="23"/>
      <c r="F82" s="23"/>
      <c r="G82" s="23"/>
      <c r="H82" s="23"/>
      <c r="I82" s="23"/>
      <c r="J82" s="23"/>
      <c r="K82" s="23"/>
      <c r="L82" s="23"/>
      <c r="M82" s="23"/>
      <c r="N82" s="23"/>
    </row>
    <row r="83" spans="2:14" x14ac:dyDescent="0.25">
      <c r="C83" s="13" t="s">
        <v>79</v>
      </c>
      <c r="D83" s="27"/>
      <c r="H83" s="66"/>
      <c r="I83" s="66"/>
      <c r="J83" s="66"/>
      <c r="K83" s="66"/>
      <c r="L83" s="66"/>
    </row>
    <row r="84" spans="2:14" x14ac:dyDescent="0.25">
      <c r="C84" s="41" t="s">
        <v>73</v>
      </c>
      <c r="D84" s="14" t="s">
        <v>11</v>
      </c>
      <c r="E84" s="75">
        <f>E75-E$24</f>
        <v>0.11332782369146006</v>
      </c>
      <c r="F84" s="75">
        <f t="shared" ref="F84:G84" si="33">F75-F$24</f>
        <v>0.39938372093023256</v>
      </c>
      <c r="G84" s="75">
        <f t="shared" si="33"/>
        <v>0.21944989775051127</v>
      </c>
      <c r="H84" s="45">
        <f>G84-3%</f>
        <v>0.18944989775051127</v>
      </c>
      <c r="I84" s="45">
        <f>H84-3%</f>
        <v>0.15944989775051127</v>
      </c>
      <c r="J84" s="45">
        <f>I84</f>
        <v>0.15944989775051127</v>
      </c>
      <c r="K84" s="45">
        <f t="shared" ref="K84:L84" si="34">J84</f>
        <v>0.15944989775051127</v>
      </c>
      <c r="L84" s="45">
        <f t="shared" si="34"/>
        <v>0.15944989775051127</v>
      </c>
    </row>
    <row r="85" spans="2:14" x14ac:dyDescent="0.25">
      <c r="C85" s="41" t="s">
        <v>74</v>
      </c>
      <c r="D85" s="14" t="s">
        <v>11</v>
      </c>
      <c r="E85" s="75">
        <f t="shared" ref="E85:G88" si="35">E76-E$24</f>
        <v>0.22473648905255877</v>
      </c>
      <c r="F85" s="75">
        <f t="shared" si="35"/>
        <v>0.26220508840883539</v>
      </c>
      <c r="G85" s="75">
        <f t="shared" si="35"/>
        <v>0.22467777752204948</v>
      </c>
      <c r="H85" s="45">
        <f>G85-0.75%</f>
        <v>0.21717777752204948</v>
      </c>
      <c r="I85" s="45">
        <f t="shared" ref="I85:J85" si="36">H85-0.75%</f>
        <v>0.20967777752204947</v>
      </c>
      <c r="J85" s="45">
        <f t="shared" si="36"/>
        <v>0.20217777752204946</v>
      </c>
      <c r="K85" s="45">
        <f>J85</f>
        <v>0.20217777752204946</v>
      </c>
      <c r="L85" s="45">
        <f>K85</f>
        <v>0.20217777752204946</v>
      </c>
    </row>
    <row r="86" spans="2:14" x14ac:dyDescent="0.25">
      <c r="C86" s="72" t="s">
        <v>80</v>
      </c>
      <c r="D86" s="14" t="s">
        <v>11</v>
      </c>
      <c r="E86" s="75">
        <f t="shared" si="35"/>
        <v>0.22456418559072899</v>
      </c>
      <c r="F86" s="75">
        <f t="shared" si="35"/>
        <v>0.26251021463834134</v>
      </c>
      <c r="G86" s="75">
        <f t="shared" si="35"/>
        <v>0.22402577186277944</v>
      </c>
      <c r="H86" s="80"/>
      <c r="I86" s="80"/>
      <c r="J86" s="80"/>
      <c r="K86" s="80"/>
      <c r="L86" s="80"/>
    </row>
    <row r="87" spans="2:14" x14ac:dyDescent="0.25">
      <c r="C87" s="13" t="s">
        <v>81</v>
      </c>
      <c r="D87" s="14" t="s">
        <v>11</v>
      </c>
      <c r="E87" s="75">
        <f t="shared" si="35"/>
        <v>-4.8972982196689607E-2</v>
      </c>
      <c r="F87" s="75">
        <f t="shared" si="35"/>
        <v>-5.3510186900151538E-2</v>
      </c>
      <c r="G87" s="75">
        <f t="shared" si="35"/>
        <v>-3.9455935235214928E-2</v>
      </c>
      <c r="H87" s="45">
        <f>AVERAGE(F87:G87)</f>
        <v>-4.6483061067683233E-2</v>
      </c>
      <c r="I87" s="45">
        <f>H87</f>
        <v>-4.6483061067683233E-2</v>
      </c>
      <c r="J87" s="45">
        <f t="shared" ref="J87:L87" si="37">AVERAGE(G87:I87)</f>
        <v>-4.4140685790193805E-2</v>
      </c>
      <c r="K87" s="45">
        <f t="shared" si="37"/>
        <v>-4.5702269308520088E-2</v>
      </c>
      <c r="L87" s="45">
        <f t="shared" si="37"/>
        <v>-4.5442005388799035E-2</v>
      </c>
      <c r="M87" s="80"/>
      <c r="N87" s="80"/>
    </row>
    <row r="88" spans="2:14" x14ac:dyDescent="0.25">
      <c r="C88" s="13" t="s">
        <v>82</v>
      </c>
      <c r="D88" s="14" t="s">
        <v>11</v>
      </c>
      <c r="E88" s="75">
        <f t="shared" si="35"/>
        <v>-1.1996804473736765E-2</v>
      </c>
      <c r="F88" s="75">
        <f t="shared" si="35"/>
        <v>-1.5010385945826495E-2</v>
      </c>
      <c r="G88" s="75">
        <f t="shared" si="35"/>
        <v>5.7028520041109976E-3</v>
      </c>
      <c r="H88" s="45">
        <f>AVERAGE(F88:G88)</f>
        <v>-4.6537669708577485E-3</v>
      </c>
      <c r="I88" s="45">
        <f>H88</f>
        <v>-4.6537669708577485E-3</v>
      </c>
      <c r="J88" s="45">
        <f t="shared" ref="J88:L88" si="38">I88</f>
        <v>-4.6537669708577485E-3</v>
      </c>
      <c r="K88" s="45">
        <f t="shared" si="38"/>
        <v>-4.6537669708577485E-3</v>
      </c>
      <c r="L88" s="45">
        <f t="shared" si="38"/>
        <v>-4.6537669708577485E-3</v>
      </c>
      <c r="M88" s="80"/>
      <c r="N88" s="80"/>
    </row>
    <row r="89" spans="2:14" x14ac:dyDescent="0.25">
      <c r="C89" s="13"/>
      <c r="D89" s="14"/>
      <c r="E89" s="75"/>
      <c r="F89" s="75"/>
      <c r="G89" s="75"/>
      <c r="H89" s="65"/>
      <c r="I89" s="65"/>
      <c r="J89" s="65"/>
      <c r="K89" s="65"/>
      <c r="L89" s="65"/>
      <c r="M89" s="80"/>
      <c r="N89" s="80"/>
    </row>
    <row r="90" spans="2:14" x14ac:dyDescent="0.25">
      <c r="C90" s="13" t="s">
        <v>86</v>
      </c>
      <c r="D90" s="14" t="str">
        <f>D71</f>
        <v>₽ M</v>
      </c>
      <c r="E90" s="75"/>
      <c r="F90" s="81">
        <v>184</v>
      </c>
      <c r="G90" s="81">
        <v>2629</v>
      </c>
      <c r="H90" s="82">
        <f>G90*(1+H91)</f>
        <v>7887</v>
      </c>
      <c r="I90" s="82">
        <f t="shared" ref="I90:L90" si="39">H90*(1+I91)</f>
        <v>15774</v>
      </c>
      <c r="J90" s="82">
        <f t="shared" si="39"/>
        <v>23661</v>
      </c>
      <c r="K90" s="82">
        <f t="shared" si="39"/>
        <v>27210.149999999998</v>
      </c>
      <c r="L90" s="82">
        <f t="shared" si="39"/>
        <v>29931.165000000001</v>
      </c>
      <c r="M90" s="80"/>
      <c r="N90" s="80"/>
    </row>
    <row r="91" spans="2:14" x14ac:dyDescent="0.25">
      <c r="C91" s="13" t="s">
        <v>87</v>
      </c>
      <c r="D91" s="14" t="s">
        <v>11</v>
      </c>
      <c r="E91" s="75"/>
      <c r="F91" s="75"/>
      <c r="G91" s="75">
        <f>G90/F90</f>
        <v>14.288043478260869</v>
      </c>
      <c r="H91" s="64">
        <v>2</v>
      </c>
      <c r="I91" s="64">
        <v>1</v>
      </c>
      <c r="J91" s="64">
        <v>0.5</v>
      </c>
      <c r="K91" s="64">
        <v>0.15</v>
      </c>
      <c r="L91" s="64">
        <v>0.1</v>
      </c>
      <c r="M91" s="80"/>
      <c r="N91" s="80"/>
    </row>
    <row r="92" spans="2:14" x14ac:dyDescent="0.25">
      <c r="C92" s="13"/>
      <c r="D92" s="14"/>
      <c r="E92" s="75"/>
      <c r="F92" s="75"/>
      <c r="G92" s="75"/>
      <c r="H92" s="65"/>
      <c r="I92" s="65"/>
      <c r="J92" s="65"/>
      <c r="K92" s="65"/>
      <c r="L92" s="65"/>
      <c r="M92" s="80"/>
      <c r="N92" s="80"/>
    </row>
    <row r="93" spans="2:14" x14ac:dyDescent="0.25">
      <c r="B93" s="46" t="s">
        <v>88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80"/>
      <c r="N93" s="80"/>
    </row>
    <row r="94" spans="2:14" x14ac:dyDescent="0.25">
      <c r="C94" s="13" t="str">
        <f>C177</f>
        <v>Deposits:</v>
      </c>
      <c r="D94" s="14" t="s">
        <v>3</v>
      </c>
      <c r="E94" s="15">
        <f>Deposits!E14</f>
        <v>280916</v>
      </c>
      <c r="F94" s="15">
        <f>Deposits!F14</f>
        <v>411614</v>
      </c>
      <c r="G94" s="15">
        <f>Deposits!G14</f>
        <v>626837</v>
      </c>
      <c r="H94" s="15">
        <f>Deposits!H14</f>
        <v>793690.99675747077</v>
      </c>
      <c r="I94" s="15">
        <f>Deposits!I14</f>
        <v>953067.36159005295</v>
      </c>
      <c r="J94" s="15">
        <f>Deposits!J14</f>
        <v>1126150.5929918028</v>
      </c>
      <c r="K94" s="15">
        <f>Deposits!K14</f>
        <v>1287325.1704002582</v>
      </c>
      <c r="L94" s="15">
        <f>Deposits!L14</f>
        <v>1450205.2712246871</v>
      </c>
      <c r="M94" s="80"/>
      <c r="N94" s="80"/>
    </row>
    <row r="95" spans="2:14" x14ac:dyDescent="0.25">
      <c r="C95" s="13" t="str">
        <f t="shared" ref="C95:C97" si="40">C178</f>
        <v>Due to Banks:</v>
      </c>
      <c r="D95" s="14" t="s">
        <v>3</v>
      </c>
      <c r="E95" s="19">
        <f>E178</f>
        <v>2708</v>
      </c>
      <c r="F95" s="19">
        <f t="shared" ref="F95:L97" si="41">F178</f>
        <v>23</v>
      </c>
      <c r="G95" s="19">
        <f t="shared" si="41"/>
        <v>4819</v>
      </c>
      <c r="H95" s="19">
        <f t="shared" ca="1" si="41"/>
        <v>30844.081303574611</v>
      </c>
      <c r="I95" s="19">
        <f t="shared" ca="1" si="41"/>
        <v>30844.081303574611</v>
      </c>
      <c r="J95" s="19">
        <f t="shared" ca="1" si="41"/>
        <v>30844.081303574611</v>
      </c>
      <c r="K95" s="19">
        <f t="shared" ca="1" si="41"/>
        <v>51127.412750455085</v>
      </c>
      <c r="L95" s="19">
        <f t="shared" ca="1" si="41"/>
        <v>69157.860490894644</v>
      </c>
      <c r="M95" s="80"/>
      <c r="N95" s="80"/>
    </row>
    <row r="96" spans="2:14" x14ac:dyDescent="0.25">
      <c r="C96" s="13" t="str">
        <f t="shared" si="40"/>
        <v>Subordinated Notes:</v>
      </c>
      <c r="D96" s="14" t="s">
        <v>3</v>
      </c>
      <c r="E96" s="19">
        <f t="shared" ref="E96:G97" si="42">E179</f>
        <v>20644</v>
      </c>
      <c r="F96" s="19">
        <f t="shared" si="42"/>
        <v>18487</v>
      </c>
      <c r="G96" s="19">
        <f t="shared" si="42"/>
        <v>20755</v>
      </c>
      <c r="H96" s="19">
        <f t="shared" si="41"/>
        <v>20755</v>
      </c>
      <c r="I96" s="19">
        <f t="shared" si="41"/>
        <v>20755</v>
      </c>
      <c r="J96" s="19">
        <f t="shared" si="41"/>
        <v>20755</v>
      </c>
      <c r="K96" s="19">
        <f t="shared" si="41"/>
        <v>20755</v>
      </c>
      <c r="L96" s="19">
        <f t="shared" si="41"/>
        <v>20755</v>
      </c>
      <c r="M96" s="80"/>
      <c r="N96" s="80"/>
    </row>
    <row r="97" spans="3:14" x14ac:dyDescent="0.25">
      <c r="C97" s="60" t="str">
        <f t="shared" si="40"/>
        <v>Debt securities</v>
      </c>
      <c r="D97" s="16" t="s">
        <v>3</v>
      </c>
      <c r="E97" s="61">
        <f t="shared" si="42"/>
        <v>9605</v>
      </c>
      <c r="F97" s="61">
        <f t="shared" si="42"/>
        <v>26078</v>
      </c>
      <c r="G97" s="61">
        <f t="shared" si="42"/>
        <v>23910</v>
      </c>
      <c r="H97" s="61">
        <f t="shared" si="41"/>
        <v>23910</v>
      </c>
      <c r="I97" s="61">
        <f t="shared" si="41"/>
        <v>23910</v>
      </c>
      <c r="J97" s="61">
        <f t="shared" si="41"/>
        <v>23910</v>
      </c>
      <c r="K97" s="61">
        <f t="shared" si="41"/>
        <v>23910</v>
      </c>
      <c r="L97" s="61">
        <f t="shared" si="41"/>
        <v>23910</v>
      </c>
      <c r="M97" s="80"/>
      <c r="N97" s="80"/>
    </row>
    <row r="98" spans="3:14" x14ac:dyDescent="0.25">
      <c r="C98" s="1" t="s">
        <v>89</v>
      </c>
      <c r="D98" s="58" t="s">
        <v>3</v>
      </c>
      <c r="E98" s="62">
        <f>SUM(E94:E97)</f>
        <v>313873</v>
      </c>
      <c r="F98" s="62">
        <f t="shared" ref="F98:L98" si="43">SUM(F94:F97)</f>
        <v>456202</v>
      </c>
      <c r="G98" s="62">
        <f t="shared" si="43"/>
        <v>676321</v>
      </c>
      <c r="H98" s="62">
        <f t="shared" ca="1" si="43"/>
        <v>869200.07806104538</v>
      </c>
      <c r="I98" s="62">
        <f t="shared" ca="1" si="43"/>
        <v>1028576.4428936276</v>
      </c>
      <c r="J98" s="62">
        <f t="shared" ca="1" si="43"/>
        <v>1201659.6742953775</v>
      </c>
      <c r="K98" s="62">
        <f t="shared" ca="1" si="43"/>
        <v>1383117.5831507132</v>
      </c>
      <c r="L98" s="62">
        <f t="shared" ca="1" si="43"/>
        <v>1564028.1317155818</v>
      </c>
      <c r="M98" s="80"/>
      <c r="N98" s="80"/>
    </row>
    <row r="99" spans="3:14" x14ac:dyDescent="0.25">
      <c r="C99" s="1" t="s">
        <v>90</v>
      </c>
      <c r="D99" s="58" t="s">
        <v>3</v>
      </c>
      <c r="E99" s="62"/>
      <c r="F99" s="62">
        <f>AVERAGE(E98:F98)</f>
        <v>385037.5</v>
      </c>
      <c r="G99" s="62">
        <f t="shared" ref="G99:L99" si="44">AVERAGE(F98:G98)</f>
        <v>566261.5</v>
      </c>
      <c r="H99" s="62">
        <f t="shared" ca="1" si="44"/>
        <v>772760.53903052269</v>
      </c>
      <c r="I99" s="62">
        <f t="shared" ca="1" si="44"/>
        <v>948888.26047733647</v>
      </c>
      <c r="J99" s="62">
        <f t="shared" ca="1" si="44"/>
        <v>1115118.0585945025</v>
      </c>
      <c r="K99" s="62">
        <f t="shared" ca="1" si="44"/>
        <v>1292388.6287230453</v>
      </c>
      <c r="L99" s="62">
        <f t="shared" ca="1" si="44"/>
        <v>1473572.8574331475</v>
      </c>
      <c r="M99" s="80"/>
      <c r="N99" s="80"/>
    </row>
    <row r="100" spans="3:14" x14ac:dyDescent="0.25">
      <c r="C100" s="13"/>
      <c r="D100" s="14"/>
      <c r="E100" s="75"/>
      <c r="F100" s="75"/>
      <c r="G100" s="75"/>
      <c r="H100" s="65"/>
      <c r="I100" s="65"/>
      <c r="J100" s="65"/>
      <c r="K100" s="65"/>
      <c r="L100" s="65"/>
      <c r="M100" s="80"/>
      <c r="N100" s="80"/>
    </row>
    <row r="101" spans="3:14" x14ac:dyDescent="0.25">
      <c r="C101" s="1" t="s">
        <v>91</v>
      </c>
      <c r="D101" s="27"/>
    </row>
    <row r="102" spans="3:14" x14ac:dyDescent="0.25">
      <c r="C102" s="13" t="str">
        <f t="shared" ref="C102:C105" si="45">C94</f>
        <v>Deposits:</v>
      </c>
      <c r="D102" s="14" t="s">
        <v>3</v>
      </c>
      <c r="E102" s="15">
        <f>-Deposits!E51</f>
        <v>-12548</v>
      </c>
      <c r="F102" s="15">
        <f>-Deposits!F51</f>
        <v>-17455</v>
      </c>
      <c r="G102" s="15">
        <f>-Deposits!G51</f>
        <v>-17135</v>
      </c>
      <c r="H102" s="15">
        <f>-Deposits!H51</f>
        <v>-25984.765430855914</v>
      </c>
      <c r="I102" s="15">
        <f>-Deposits!I51</f>
        <v>-50117.824160003358</v>
      </c>
      <c r="J102" s="15">
        <f>-Deposits!J51</f>
        <v>-41386.247926357188</v>
      </c>
      <c r="K102" s="15">
        <f>-Deposits!K51</f>
        <v>-42774.722073162833</v>
      </c>
      <c r="L102" s="15">
        <f>-Deposits!L51</f>
        <v>-49633.64303513433</v>
      </c>
    </row>
    <row r="103" spans="3:14" x14ac:dyDescent="0.25">
      <c r="C103" s="13" t="str">
        <f t="shared" si="45"/>
        <v>Due to Banks:</v>
      </c>
      <c r="D103" s="14" t="s">
        <v>3</v>
      </c>
      <c r="E103" s="67">
        <v>-92</v>
      </c>
      <c r="F103" s="67">
        <v>-634</v>
      </c>
      <c r="G103" s="68">
        <v>-439</v>
      </c>
      <c r="H103" s="19">
        <f t="shared" ref="H103:L105" ca="1" si="46">H110*-AVERAGE(G95:H95)</f>
        <v>-196.44899442986471</v>
      </c>
      <c r="I103" s="19">
        <f t="shared" ca="1" si="46"/>
        <v>-972.11102686817435</v>
      </c>
      <c r="J103" s="19">
        <f t="shared" ca="1" si="46"/>
        <v>-489.16597690619835</v>
      </c>
      <c r="K103" s="19">
        <f t="shared" ca="1" si="46"/>
        <v>-381.07443804630753</v>
      </c>
      <c r="L103" s="19">
        <f t="shared" ca="1" si="46"/>
        <v>-574.84299672382815</v>
      </c>
    </row>
    <row r="104" spans="3:14" x14ac:dyDescent="0.25">
      <c r="C104" s="13" t="str">
        <f t="shared" si="45"/>
        <v>Subordinated Notes:</v>
      </c>
      <c r="D104" s="14" t="s">
        <v>3</v>
      </c>
      <c r="E104" s="67">
        <v>-2089</v>
      </c>
      <c r="F104" s="67">
        <v>-1846</v>
      </c>
      <c r="G104" s="68">
        <v>-1948</v>
      </c>
      <c r="H104" s="19">
        <f t="shared" si="46"/>
        <v>-1919.8374999999999</v>
      </c>
      <c r="I104" s="19">
        <f t="shared" si="46"/>
        <v>-1919.8374999999999</v>
      </c>
      <c r="J104" s="19">
        <f t="shared" si="46"/>
        <v>-1919.8374999999999</v>
      </c>
      <c r="K104" s="19">
        <f t="shared" si="46"/>
        <v>-1919.8374999999999</v>
      </c>
      <c r="L104" s="19">
        <f t="shared" si="46"/>
        <v>-1919.8374999999999</v>
      </c>
    </row>
    <row r="105" spans="3:14" x14ac:dyDescent="0.25">
      <c r="C105" s="13" t="str">
        <f t="shared" si="45"/>
        <v>Debt securities</v>
      </c>
      <c r="D105" s="16" t="s">
        <v>3</v>
      </c>
      <c r="E105" s="67">
        <f>-706-124</f>
        <v>-830</v>
      </c>
      <c r="F105" s="67">
        <v>-1382</v>
      </c>
      <c r="G105" s="68">
        <v>-2059</v>
      </c>
      <c r="H105" s="61">
        <f t="shared" si="46"/>
        <v>-2043.2499999999998</v>
      </c>
      <c r="I105" s="61">
        <f t="shared" si="46"/>
        <v>-2123.4050000000002</v>
      </c>
      <c r="J105" s="61">
        <f t="shared" si="46"/>
        <v>-2053.0250000000001</v>
      </c>
      <c r="K105" s="61">
        <f t="shared" si="46"/>
        <v>-2033.4749999999999</v>
      </c>
      <c r="L105" s="61">
        <f t="shared" si="46"/>
        <v>-2033.4749999999999</v>
      </c>
    </row>
    <row r="106" spans="3:14" x14ac:dyDescent="0.25">
      <c r="C106" s="83" t="s">
        <v>89</v>
      </c>
      <c r="D106" s="14" t="s">
        <v>3</v>
      </c>
      <c r="E106" s="74">
        <f>SUM(E102:E105)</f>
        <v>-15559</v>
      </c>
      <c r="F106" s="74">
        <f t="shared" ref="F106:L106" si="47">SUM(F102:F105)</f>
        <v>-21317</v>
      </c>
      <c r="G106" s="74">
        <f t="shared" si="47"/>
        <v>-21581</v>
      </c>
      <c r="H106" s="74">
        <f t="shared" ca="1" si="47"/>
        <v>-30144.301925285781</v>
      </c>
      <c r="I106" s="74">
        <f t="shared" ca="1" si="47"/>
        <v>-55133.177686871531</v>
      </c>
      <c r="J106" s="74">
        <f t="shared" ca="1" si="47"/>
        <v>-45848.276403263386</v>
      </c>
      <c r="K106" s="74">
        <f t="shared" ca="1" si="47"/>
        <v>-47109.109011209141</v>
      </c>
      <c r="L106" s="74">
        <f t="shared" ca="1" si="47"/>
        <v>-54161.798531858156</v>
      </c>
    </row>
    <row r="107" spans="3:14" x14ac:dyDescent="0.25">
      <c r="D107" s="27"/>
    </row>
    <row r="108" spans="3:14" x14ac:dyDescent="0.25">
      <c r="C108" s="1" t="s">
        <v>92</v>
      </c>
      <c r="D108" s="27"/>
    </row>
    <row r="109" spans="3:14" x14ac:dyDescent="0.25">
      <c r="C109" s="13" t="str">
        <f t="shared" ref="C109:C112" si="48">C102</f>
        <v>Deposits:</v>
      </c>
      <c r="D109" s="14" t="s">
        <v>11</v>
      </c>
      <c r="E109" s="75">
        <f t="shared" ref="E109:E113" si="49">-E102/E94</f>
        <v>4.4668157029147504E-2</v>
      </c>
      <c r="F109" s="75">
        <f t="shared" ref="F109:G113" si="50">-F102/AVERAGE(E94:F94)</f>
        <v>5.0409368547210953E-2</v>
      </c>
      <c r="G109" s="75">
        <f t="shared" si="50"/>
        <v>3.3001075640545392E-2</v>
      </c>
      <c r="H109" s="75">
        <f>-H102/AVERAGE(G94:H94)</f>
        <v>3.658465794432679E-2</v>
      </c>
      <c r="I109" s="75">
        <f t="shared" ref="I109:L109" si="51">-I102/AVERAGE(H94:I94)</f>
        <v>5.7383809180585284E-2</v>
      </c>
      <c r="J109" s="75">
        <f t="shared" si="51"/>
        <v>3.9809436846345657E-2</v>
      </c>
      <c r="K109" s="75">
        <f t="shared" si="51"/>
        <v>3.5446572716391705E-2</v>
      </c>
      <c r="L109" s="75">
        <f t="shared" si="51"/>
        <v>3.626161907129169E-2</v>
      </c>
    </row>
    <row r="110" spans="3:14" x14ac:dyDescent="0.25">
      <c r="C110" s="13" t="str">
        <f t="shared" si="48"/>
        <v>Due to Banks:</v>
      </c>
      <c r="D110" s="14" t="s">
        <v>11</v>
      </c>
      <c r="E110" s="75">
        <f t="shared" si="49"/>
        <v>3.3973412112259974E-2</v>
      </c>
      <c r="F110" s="75">
        <f t="shared" si="50"/>
        <v>0.46429879165140975</v>
      </c>
      <c r="G110" s="75">
        <f t="shared" si="50"/>
        <v>0.18133002891367203</v>
      </c>
      <c r="H110" s="75">
        <f>+H$24+H117</f>
        <v>1.1016938932316769E-2</v>
      </c>
      <c r="I110" s="75">
        <f t="shared" ref="I110:L110" si="52">+I$24+I117</f>
        <v>3.1516938932316767E-2</v>
      </c>
      <c r="J110" s="75">
        <f t="shared" si="52"/>
        <v>1.5859314209806193E-2</v>
      </c>
      <c r="K110" s="75">
        <f t="shared" si="52"/>
        <v>9.2977306914799121E-3</v>
      </c>
      <c r="L110" s="75">
        <f t="shared" si="52"/>
        <v>9.5579946112009651E-3</v>
      </c>
    </row>
    <row r="111" spans="3:14" x14ac:dyDescent="0.25">
      <c r="C111" s="13" t="str">
        <f t="shared" si="48"/>
        <v>Subordinated Notes:</v>
      </c>
      <c r="D111" s="14" t="s">
        <v>11</v>
      </c>
      <c r="E111" s="75">
        <f t="shared" si="49"/>
        <v>0.10119162952916101</v>
      </c>
      <c r="F111" s="75">
        <f t="shared" si="50"/>
        <v>9.4349748281413709E-2</v>
      </c>
      <c r="G111" s="75">
        <f t="shared" si="50"/>
        <v>9.9281382192548798E-2</v>
      </c>
      <c r="H111" s="80">
        <v>9.2499999999999999E-2</v>
      </c>
      <c r="I111" s="80">
        <v>9.2499999999999999E-2</v>
      </c>
      <c r="J111" s="80">
        <v>9.2499999999999999E-2</v>
      </c>
      <c r="K111" s="80">
        <v>9.2499999999999999E-2</v>
      </c>
      <c r="L111" s="80">
        <v>9.2499999999999999E-2</v>
      </c>
      <c r="N111" s="44" t="s">
        <v>93</v>
      </c>
    </row>
    <row r="112" spans="3:14" x14ac:dyDescent="0.25">
      <c r="C112" s="13" t="str">
        <f t="shared" si="48"/>
        <v>Debt securities</v>
      </c>
      <c r="D112" s="16" t="s">
        <v>11</v>
      </c>
      <c r="E112" s="76">
        <f t="shared" si="49"/>
        <v>8.6413326392503903E-2</v>
      </c>
      <c r="F112" s="76">
        <f t="shared" si="50"/>
        <v>7.7459854832833561E-2</v>
      </c>
      <c r="G112" s="76">
        <f t="shared" si="50"/>
        <v>8.2379771145074818E-2</v>
      </c>
      <c r="H112" s="76">
        <f>(9.25%*10000+8.25%*10000+(H119+H24)*(H97-20000))/H97</f>
        <v>8.5455876202425757E-2</v>
      </c>
      <c r="I112" s="76">
        <f>(9.25%*10000+8.25%*10000+(I119+I24)*(I97-20000))/I97</f>
        <v>8.8808239230447519E-2</v>
      </c>
      <c r="J112" s="76">
        <f>(9.25%*10000+8.25%*10000+(J119+J24)*(J97-20000))/J97</f>
        <v>8.5864700961940613E-2</v>
      </c>
      <c r="K112" s="76">
        <f>(9.25%*10000+8.25%*10000+(K119+K24)*(K97-20000))/K97</f>
        <v>8.5047051442910915E-2</v>
      </c>
      <c r="L112" s="76">
        <f>(9.25%*10000+8.25%*10000+(L119+L24)*(L97-20000))/L97</f>
        <v>8.5047051442910915E-2</v>
      </c>
      <c r="N112" s="44" t="s">
        <v>94</v>
      </c>
    </row>
    <row r="113" spans="3:14" x14ac:dyDescent="0.25">
      <c r="C113" s="83" t="s">
        <v>89</v>
      </c>
      <c r="D113" s="14" t="s">
        <v>11</v>
      </c>
      <c r="E113" s="77">
        <f t="shared" si="49"/>
        <v>4.9571004833165004E-2</v>
      </c>
      <c r="F113" s="77">
        <f t="shared" si="50"/>
        <v>5.5363438626107847E-2</v>
      </c>
      <c r="G113" s="77">
        <f t="shared" si="50"/>
        <v>3.8111367274660204E-2</v>
      </c>
      <c r="H113" s="77">
        <f ca="1">-H106/H99</f>
        <v>3.900859373992327E-2</v>
      </c>
      <c r="I113" s="77">
        <f t="shared" ref="I113:L113" ca="1" si="53">-I106/I99</f>
        <v>5.8102918945521456E-2</v>
      </c>
      <c r="J113" s="77">
        <f t="shared" ca="1" si="53"/>
        <v>4.111517704327259E-2</v>
      </c>
      <c r="K113" s="77">
        <f t="shared" ca="1" si="53"/>
        <v>3.6451194295755808E-2</v>
      </c>
      <c r="L113" s="77">
        <f t="shared" ca="1" si="53"/>
        <v>3.6755426281537183E-2</v>
      </c>
    </row>
    <row r="114" spans="3:14" x14ac:dyDescent="0.25">
      <c r="D114" s="27"/>
    </row>
    <row r="115" spans="3:14" x14ac:dyDescent="0.25">
      <c r="C115" s="38" t="s">
        <v>95</v>
      </c>
      <c r="D115" s="27"/>
    </row>
    <row r="116" spans="3:14" x14ac:dyDescent="0.25">
      <c r="C116" s="13" t="str">
        <f t="shared" ref="C116:C119" si="54">C109</f>
        <v>Deposits:</v>
      </c>
      <c r="D116" s="14" t="s">
        <v>11</v>
      </c>
      <c r="E116" s="75">
        <f t="shared" ref="E116:G120" si="55">E109-E$24</f>
        <v>-2.9331842970852492E-2</v>
      </c>
      <c r="F116" s="75">
        <f t="shared" si="55"/>
        <v>-2.2590631452789042E-2</v>
      </c>
      <c r="G116" s="75">
        <f t="shared" si="55"/>
        <v>-1.7998924359454604E-2</v>
      </c>
      <c r="H116" s="84" t="s">
        <v>96</v>
      </c>
      <c r="I116" s="84" t="s">
        <v>96</v>
      </c>
      <c r="J116" s="84" t="s">
        <v>96</v>
      </c>
      <c r="K116" s="84" t="s">
        <v>96</v>
      </c>
      <c r="L116" s="84" t="s">
        <v>96</v>
      </c>
    </row>
    <row r="117" spans="3:14" x14ac:dyDescent="0.25">
      <c r="C117" s="13" t="str">
        <f t="shared" si="54"/>
        <v>Due to Banks:</v>
      </c>
      <c r="D117" s="14" t="s">
        <v>11</v>
      </c>
      <c r="E117" s="75">
        <f t="shared" si="55"/>
        <v>-4.0026587887740023E-2</v>
      </c>
      <c r="F117" s="75">
        <f t="shared" si="55"/>
        <v>0.39129879165140974</v>
      </c>
      <c r="G117" s="77">
        <f t="shared" si="55"/>
        <v>0.13033002891367204</v>
      </c>
      <c r="H117" s="84">
        <f>H87</f>
        <v>-4.6483061067683233E-2</v>
      </c>
      <c r="I117" s="84">
        <f t="shared" ref="I117:L117" si="56">I87</f>
        <v>-4.6483061067683233E-2</v>
      </c>
      <c r="J117" s="84">
        <f t="shared" si="56"/>
        <v>-4.4140685790193805E-2</v>
      </c>
      <c r="K117" s="84">
        <f t="shared" si="56"/>
        <v>-4.5702269308520088E-2</v>
      </c>
      <c r="L117" s="84">
        <f t="shared" si="56"/>
        <v>-4.5442005388799035E-2</v>
      </c>
    </row>
    <row r="118" spans="3:14" x14ac:dyDescent="0.25">
      <c r="C118" s="13" t="str">
        <f t="shared" si="54"/>
        <v>Subordinated Notes:</v>
      </c>
      <c r="D118" s="14" t="s">
        <v>11</v>
      </c>
      <c r="E118" s="75">
        <f t="shared" si="55"/>
        <v>2.7191629529161015E-2</v>
      </c>
      <c r="F118" s="75">
        <f t="shared" si="55"/>
        <v>2.1349748281413714E-2</v>
      </c>
      <c r="G118" s="77">
        <f t="shared" si="55"/>
        <v>4.8281382192548801E-2</v>
      </c>
      <c r="H118" s="84" t="s">
        <v>96</v>
      </c>
      <c r="I118" s="84" t="s">
        <v>96</v>
      </c>
      <c r="J118" s="84" t="s">
        <v>96</v>
      </c>
      <c r="K118" s="84" t="s">
        <v>96</v>
      </c>
      <c r="L118" s="84" t="s">
        <v>96</v>
      </c>
    </row>
    <row r="119" spans="3:14" x14ac:dyDescent="0.25">
      <c r="C119" s="13" t="str">
        <f t="shared" si="54"/>
        <v>Debt securities</v>
      </c>
      <c r="D119" s="16" t="s">
        <v>11</v>
      </c>
      <c r="E119" s="76">
        <f t="shared" si="55"/>
        <v>1.2413326392503907E-2</v>
      </c>
      <c r="F119" s="76">
        <f t="shared" si="55"/>
        <v>4.4598548328335652E-3</v>
      </c>
      <c r="G119" s="85">
        <f t="shared" si="55"/>
        <v>3.1379771145074821E-2</v>
      </c>
      <c r="H119" s="86">
        <v>1.7500000000000002E-2</v>
      </c>
      <c r="I119" s="86">
        <v>1.7500000000000002E-2</v>
      </c>
      <c r="J119" s="86">
        <v>1.7500000000000002E-2</v>
      </c>
      <c r="K119" s="86">
        <v>1.7500000000000002E-2</v>
      </c>
      <c r="L119" s="86">
        <v>1.7500000000000002E-2</v>
      </c>
    </row>
    <row r="120" spans="3:14" x14ac:dyDescent="0.25">
      <c r="C120" s="83" t="s">
        <v>89</v>
      </c>
      <c r="D120" s="14" t="s">
        <v>11</v>
      </c>
      <c r="E120" s="77">
        <f t="shared" si="55"/>
        <v>-2.4428995166834992E-2</v>
      </c>
      <c r="F120" s="77">
        <f t="shared" si="55"/>
        <v>-1.7636561373892148E-2</v>
      </c>
      <c r="G120" s="77">
        <f t="shared" si="55"/>
        <v>-1.2888632725339792E-2</v>
      </c>
      <c r="H120" s="77">
        <f ca="1">IFERROR(+H113-J$24,"N/A")</f>
        <v>-2.0991406260076728E-2</v>
      </c>
      <c r="I120" s="77">
        <f ca="1">IFERROR(+I113-K$24,"N/A")</f>
        <v>3.1029189455214559E-3</v>
      </c>
      <c r="J120" s="77">
        <f ca="1">IFERROR(+J113-L$24,"N/A")</f>
        <v>-1.3884822956727411E-2</v>
      </c>
      <c r="K120" s="77">
        <f ca="1">IFERROR(+K113-M$24,"N/A")</f>
        <v>3.6451194295755808E-2</v>
      </c>
      <c r="L120" s="77">
        <f ca="1">IFERROR(+L113-N$24,"N/A")</f>
        <v>3.6755426281537183E-2</v>
      </c>
    </row>
    <row r="121" spans="3:14" x14ac:dyDescent="0.25">
      <c r="C121" s="1"/>
      <c r="D121" s="14"/>
      <c r="E121" s="77"/>
      <c r="F121" s="77"/>
      <c r="G121" s="77"/>
      <c r="H121" s="77"/>
      <c r="I121" s="77"/>
      <c r="J121" s="77"/>
      <c r="K121" s="77"/>
      <c r="L121" s="77"/>
    </row>
    <row r="122" spans="3:14" x14ac:dyDescent="0.25">
      <c r="C122" s="38" t="s">
        <v>97</v>
      </c>
      <c r="D122" s="14"/>
      <c r="E122" s="75"/>
      <c r="F122" s="75"/>
      <c r="G122" s="75"/>
      <c r="H122" s="65"/>
      <c r="I122" s="65"/>
      <c r="J122" s="65"/>
      <c r="K122" s="65"/>
      <c r="L122" s="65"/>
      <c r="M122" s="80"/>
      <c r="N122" s="80"/>
    </row>
    <row r="123" spans="3:14" x14ac:dyDescent="0.25">
      <c r="C123" s="13" t="s">
        <v>98</v>
      </c>
      <c r="D123" s="14" t="s">
        <v>3</v>
      </c>
      <c r="E123" s="87">
        <v>1665</v>
      </c>
      <c r="F123" s="87">
        <v>1694</v>
      </c>
      <c r="G123" s="87">
        <v>1340</v>
      </c>
      <c r="H123" s="88">
        <f>G123+H124-H126</f>
        <v>1525.3068919275979</v>
      </c>
      <c r="I123" s="88">
        <f>H123+I124-I126</f>
        <v>1686.573894606046</v>
      </c>
      <c r="J123" s="88">
        <f>I123+J124-J126</f>
        <v>1853.8279577222361</v>
      </c>
      <c r="K123" s="88">
        <f>J123+K124-K126</f>
        <v>2126.6393617635258</v>
      </c>
      <c r="L123" s="88">
        <f>K123+L124-L126</f>
        <v>2462.1928021216322</v>
      </c>
      <c r="M123" s="80"/>
      <c r="N123" s="80"/>
    </row>
    <row r="124" spans="3:14" x14ac:dyDescent="0.25">
      <c r="C124" s="13" t="s">
        <v>99</v>
      </c>
      <c r="D124" s="14" t="s">
        <v>3</v>
      </c>
      <c r="E124" s="89">
        <f>'PPE &amp; Intangibles'!E27</f>
        <v>0</v>
      </c>
      <c r="F124" s="89">
        <f>'PPE &amp; Intangibles'!F27</f>
        <v>664</v>
      </c>
      <c r="G124" s="89">
        <f>'PPE &amp; Intangibles'!G27</f>
        <v>234</v>
      </c>
      <c r="H124" s="89">
        <f>'PPE &amp; Intangibles'!H27</f>
        <v>682.13940351686881</v>
      </c>
      <c r="I124" s="89">
        <f>'PPE &amp; Intangibles'!I27</f>
        <v>738.85959192665757</v>
      </c>
      <c r="J124" s="89">
        <f>'PPE &amp; Intangibles'!J27</f>
        <v>815.12971374791482</v>
      </c>
      <c r="K124" s="89">
        <f>'PPE &amp; Intangibles'!K27</f>
        <v>993.57938471821342</v>
      </c>
      <c r="L124" s="89">
        <f>'PPE &amp; Intangibles'!L27</f>
        <v>1175.2175395087402</v>
      </c>
      <c r="M124" s="80"/>
      <c r="N124" s="80"/>
    </row>
    <row r="125" spans="3:14" x14ac:dyDescent="0.25">
      <c r="C125" s="13" t="s">
        <v>100</v>
      </c>
      <c r="D125" s="14" t="s">
        <v>3</v>
      </c>
      <c r="E125" s="87"/>
      <c r="F125" s="87">
        <v>1087</v>
      </c>
      <c r="G125" s="87">
        <v>758</v>
      </c>
      <c r="H125" s="88">
        <f>H126+H129</f>
        <v>613.17390260582783</v>
      </c>
      <c r="I125" s="88">
        <f>I126+I129</f>
        <v>740.92785967898192</v>
      </c>
      <c r="J125" s="88">
        <f>J126+J129</f>
        <v>796.05373924701621</v>
      </c>
      <c r="K125" s="88">
        <f>K126+K129</f>
        <v>877.41316606872363</v>
      </c>
      <c r="L125" s="88">
        <f>L126+L129</f>
        <v>1020.2505497728458</v>
      </c>
      <c r="M125" s="80"/>
      <c r="N125" s="80"/>
    </row>
    <row r="126" spans="3:14" x14ac:dyDescent="0.25">
      <c r="C126" s="13" t="s">
        <v>101</v>
      </c>
      <c r="D126" s="14" t="s">
        <v>3</v>
      </c>
      <c r="E126" s="87"/>
      <c r="F126" s="87">
        <f>F125-F129</f>
        <v>953</v>
      </c>
      <c r="G126" s="87">
        <f>G125-G129</f>
        <v>619</v>
      </c>
      <c r="H126" s="89">
        <f>-'PPE &amp; Intangibles'!H28</f>
        <v>496.83251158927089</v>
      </c>
      <c r="I126" s="89">
        <f>-'PPE &amp; Intangibles'!I28</f>
        <v>577.59258924820961</v>
      </c>
      <c r="J126" s="89">
        <f>-'PPE &amp; Intangibles'!J28</f>
        <v>647.87565063172451</v>
      </c>
      <c r="K126" s="89">
        <f>-'PPE &amp; Intangibles'!K28</f>
        <v>720.7679806769238</v>
      </c>
      <c r="L126" s="89">
        <f>-'PPE &amp; Intangibles'!L28</f>
        <v>839.66409915063377</v>
      </c>
      <c r="M126" s="80"/>
      <c r="N126" s="80"/>
    </row>
    <row r="127" spans="3:14" x14ac:dyDescent="0.25">
      <c r="C127" s="13" t="s">
        <v>102</v>
      </c>
      <c r="D127" s="14" t="s">
        <v>11</v>
      </c>
      <c r="E127" s="75"/>
      <c r="F127" s="90">
        <f>F129/AVERAGE(E123:F123)</f>
        <v>7.9785650491217622E-2</v>
      </c>
      <c r="G127" s="90">
        <f>G129/AVERAGE(F123:G123)</f>
        <v>9.1628213579433085E-2</v>
      </c>
      <c r="H127" s="90">
        <f>H24+H128</f>
        <v>8.1206932035325363E-2</v>
      </c>
      <c r="I127" s="90">
        <f>I24+I128</f>
        <v>0.10170693203532535</v>
      </c>
      <c r="J127" s="90">
        <f>J24+J128</f>
        <v>8.3706932035325352E-2</v>
      </c>
      <c r="K127" s="90">
        <f>K24+K128</f>
        <v>7.8706932035325361E-2</v>
      </c>
      <c r="L127" s="90">
        <f>L24+L128</f>
        <v>7.8706932035325361E-2</v>
      </c>
      <c r="M127" s="80"/>
      <c r="N127" s="80"/>
    </row>
    <row r="128" spans="3:14" x14ac:dyDescent="0.25">
      <c r="C128" s="60" t="s">
        <v>103</v>
      </c>
      <c r="D128" s="16" t="s">
        <v>11</v>
      </c>
      <c r="E128" s="76"/>
      <c r="F128" s="76">
        <f>F127-F24</f>
        <v>6.7856504912176263E-3</v>
      </c>
      <c r="G128" s="76">
        <f>G127-G24</f>
        <v>4.0628213579433088E-2</v>
      </c>
      <c r="H128" s="86">
        <f>AVERAGE(F128:G128)</f>
        <v>2.3706932035325357E-2</v>
      </c>
      <c r="I128" s="86">
        <f>H128</f>
        <v>2.3706932035325357E-2</v>
      </c>
      <c r="J128" s="86">
        <f t="shared" ref="J128:L128" si="57">I128</f>
        <v>2.3706932035325357E-2</v>
      </c>
      <c r="K128" s="86">
        <f t="shared" si="57"/>
        <v>2.3706932035325357E-2</v>
      </c>
      <c r="L128" s="86">
        <f t="shared" si="57"/>
        <v>2.3706932035325357E-2</v>
      </c>
      <c r="M128" s="80"/>
      <c r="N128" s="80"/>
    </row>
    <row r="129" spans="2:14" x14ac:dyDescent="0.25">
      <c r="C129" s="72" t="s">
        <v>104</v>
      </c>
      <c r="D129" s="58" t="s">
        <v>3</v>
      </c>
      <c r="E129" s="91"/>
      <c r="F129" s="91">
        <v>134</v>
      </c>
      <c r="G129" s="91">
        <v>139</v>
      </c>
      <c r="H129" s="92">
        <f>H127*AVERAGE(G123:H123)</f>
        <v>116.3413910165569</v>
      </c>
      <c r="I129" s="92">
        <f>I127*AVERAGE(H123:I123)</f>
        <v>163.33527043077234</v>
      </c>
      <c r="J129" s="92">
        <f>J127*AVERAGE(I123:J123)</f>
        <v>148.17808861529176</v>
      </c>
      <c r="K129" s="92">
        <f>K127*AVERAGE(J123:K123)</f>
        <v>156.6451853917998</v>
      </c>
      <c r="L129" s="92">
        <f>L127*AVERAGE(K123:L123)</f>
        <v>180.58645062221206</v>
      </c>
      <c r="M129" s="80"/>
      <c r="N129" s="80"/>
    </row>
    <row r="130" spans="2:14" x14ac:dyDescent="0.25">
      <c r="C130" s="72" t="s">
        <v>105</v>
      </c>
      <c r="D130" s="58" t="s">
        <v>3</v>
      </c>
      <c r="E130" s="93">
        <f>-Deposits!E70</f>
        <v>-1174</v>
      </c>
      <c r="F130" s="93">
        <f>-Deposits!F70</f>
        <v>-1870</v>
      </c>
      <c r="G130" s="93">
        <f>-Deposits!G70</f>
        <v>-1745</v>
      </c>
      <c r="H130" s="93">
        <f>-Deposits!H70</f>
        <v>-3010.8806006108266</v>
      </c>
      <c r="I130" s="93">
        <f>-Deposits!I70</f>
        <v>-3568.5686848667115</v>
      </c>
      <c r="J130" s="93">
        <f>-Deposits!J70</f>
        <v>-4115.254281828833</v>
      </c>
      <c r="K130" s="93">
        <f>-Deposits!K70</f>
        <v>-4679.6497376850184</v>
      </c>
      <c r="L130" s="93">
        <f>-Deposits!L70</f>
        <v>-5251.7981888210734</v>
      </c>
      <c r="M130" s="80"/>
      <c r="N130" s="80"/>
    </row>
    <row r="131" spans="2:14" x14ac:dyDescent="0.25">
      <c r="C131" s="13"/>
      <c r="D131" s="14"/>
      <c r="E131" s="75"/>
      <c r="F131" s="75"/>
      <c r="G131" s="75"/>
      <c r="H131" s="65"/>
      <c r="I131" s="65"/>
      <c r="J131" s="65"/>
      <c r="K131" s="65"/>
      <c r="L131" s="65"/>
      <c r="M131" s="80"/>
      <c r="N131" s="80"/>
    </row>
    <row r="132" spans="2:14" x14ac:dyDescent="0.25">
      <c r="B132" s="46" t="s">
        <v>106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80"/>
      <c r="N132" s="80"/>
    </row>
    <row r="133" spans="2:14" x14ac:dyDescent="0.25">
      <c r="C133" s="13" t="s">
        <v>107</v>
      </c>
      <c r="D133" s="14" t="s">
        <v>3</v>
      </c>
      <c r="E133" s="19">
        <v>5601</v>
      </c>
      <c r="F133" s="19">
        <v>5500</v>
      </c>
      <c r="G133" s="19">
        <v>4657</v>
      </c>
      <c r="H133" s="19">
        <f>H138*AVERAGE(G54:H54)</f>
        <v>5343.4202209749128</v>
      </c>
      <c r="I133" s="19">
        <f t="shared" ref="I133:L133" si="58">I138*AVERAGE(H54:I54)</f>
        <v>5795.9783712435892</v>
      </c>
      <c r="J133" s="19">
        <f t="shared" si="58"/>
        <v>5745.7620162585117</v>
      </c>
      <c r="K133" s="19">
        <f t="shared" si="58"/>
        <v>5969.4361125811611</v>
      </c>
      <c r="L133" s="19">
        <f t="shared" si="58"/>
        <v>7324.5104263520652</v>
      </c>
      <c r="M133" s="80"/>
      <c r="N133" s="80"/>
    </row>
    <row r="134" spans="2:14" x14ac:dyDescent="0.25">
      <c r="C134" s="13" t="s">
        <v>108</v>
      </c>
      <c r="D134" s="14" t="s">
        <v>3</v>
      </c>
      <c r="E134" s="19">
        <f>27423-E133</f>
        <v>21822</v>
      </c>
      <c r="F134" s="19">
        <f>35858-F133</f>
        <v>30358</v>
      </c>
      <c r="G134" s="19">
        <f>47609-G133</f>
        <v>42952</v>
      </c>
      <c r="H134" s="19">
        <f>H139*AVERAGE(G94:H94)</f>
        <v>57334.789795537865</v>
      </c>
      <c r="I134" s="19">
        <f t="shared" ref="I134:L134" si="59">I139*AVERAGE(H94:I94)</f>
        <v>68755.212407493615</v>
      </c>
      <c r="J134" s="19">
        <f t="shared" si="59"/>
        <v>79762.137734702381</v>
      </c>
      <c r="K134" s="19">
        <f t="shared" si="59"/>
        <v>90171.327977280394</v>
      </c>
      <c r="L134" s="19">
        <f t="shared" si="59"/>
        <v>99541.00039914767</v>
      </c>
      <c r="M134" s="80"/>
      <c r="N134" s="80"/>
    </row>
    <row r="135" spans="2:14" x14ac:dyDescent="0.25">
      <c r="C135" s="60" t="s">
        <v>109</v>
      </c>
      <c r="D135" s="16" t="s">
        <v>3</v>
      </c>
      <c r="E135" s="61">
        <v>-11720</v>
      </c>
      <c r="F135" s="61">
        <v>-15123</v>
      </c>
      <c r="G135" s="61">
        <v>-21599</v>
      </c>
      <c r="H135" s="61">
        <f>SUM(H133:H134)*H140</f>
        <v>-27219.059296235126</v>
      </c>
      <c r="I135" s="61">
        <f t="shared" ref="I135:L135" si="60">SUM(I133:I134)*I140</f>
        <v>-32375.099446470831</v>
      </c>
      <c r="J135" s="61">
        <f t="shared" si="60"/>
        <v>-37133.233272053563</v>
      </c>
      <c r="K135" s="61">
        <f t="shared" si="60"/>
        <v>-41750.732158079714</v>
      </c>
      <c r="L135" s="61">
        <f t="shared" si="60"/>
        <v>-46408.132509135263</v>
      </c>
      <c r="M135" s="80"/>
      <c r="N135" s="80"/>
    </row>
    <row r="136" spans="2:14" x14ac:dyDescent="0.25">
      <c r="C136" s="1" t="s">
        <v>110</v>
      </c>
      <c r="D136" s="58" t="str">
        <f>D135</f>
        <v>₽ M</v>
      </c>
      <c r="E136" s="62">
        <f>SUM(E133:E135)</f>
        <v>15703</v>
      </c>
      <c r="F136" s="62">
        <f t="shared" ref="F136:L136" si="61">SUM(F133:F135)</f>
        <v>20735</v>
      </c>
      <c r="G136" s="62">
        <f t="shared" si="61"/>
        <v>26010</v>
      </c>
      <c r="H136" s="62">
        <f t="shared" si="61"/>
        <v>35459.150720277656</v>
      </c>
      <c r="I136" s="62">
        <f t="shared" si="61"/>
        <v>42176.091332266369</v>
      </c>
      <c r="J136" s="62">
        <f t="shared" si="61"/>
        <v>48374.666478907326</v>
      </c>
      <c r="K136" s="62">
        <f t="shared" si="61"/>
        <v>54390.031931781836</v>
      </c>
      <c r="L136" s="62">
        <f t="shared" si="61"/>
        <v>60457.378316364469</v>
      </c>
      <c r="M136" s="80"/>
      <c r="N136" s="80"/>
    </row>
    <row r="137" spans="2:14" x14ac:dyDescent="0.25">
      <c r="C137" s="13"/>
      <c r="D137" s="14"/>
      <c r="E137" s="75"/>
      <c r="F137" s="75"/>
      <c r="G137" s="75"/>
      <c r="H137" s="65"/>
      <c r="I137" s="65"/>
      <c r="J137" s="65"/>
      <c r="K137" s="65"/>
      <c r="L137" s="65"/>
      <c r="M137" s="80"/>
      <c r="N137" s="80"/>
    </row>
    <row r="138" spans="2:14" x14ac:dyDescent="0.25">
      <c r="C138" s="13" t="s">
        <v>111</v>
      </c>
      <c r="D138" s="14" t="s">
        <v>11</v>
      </c>
      <c r="E138" s="75">
        <f>E133/E54</f>
        <v>2.3863491116697201E-2</v>
      </c>
      <c r="F138" s="75">
        <f>F133/AVERAGE(E54:F54)</f>
        <v>1.778145620427337E-2</v>
      </c>
      <c r="G138" s="75">
        <f>G133/AVERAGE(F54:G54)</f>
        <v>1.1203693345506555E-2</v>
      </c>
      <c r="H138" s="84">
        <f>G138-0.1%</f>
        <v>1.0203693345506554E-2</v>
      </c>
      <c r="I138" s="84">
        <f t="shared" ref="I138:K138" si="62">H138-0.1%</f>
        <v>9.2036933455065528E-3</v>
      </c>
      <c r="J138" s="84">
        <f t="shared" si="62"/>
        <v>8.2036933455065519E-3</v>
      </c>
      <c r="K138" s="84">
        <f t="shared" si="62"/>
        <v>7.2036933455065519E-3</v>
      </c>
      <c r="L138" s="84">
        <f>K138</f>
        <v>7.2036933455065519E-3</v>
      </c>
      <c r="M138" s="80"/>
      <c r="N138" s="80"/>
    </row>
    <row r="139" spans="2:14" x14ac:dyDescent="0.25">
      <c r="C139" s="13" t="s">
        <v>112</v>
      </c>
      <c r="D139" s="14" t="s">
        <v>11</v>
      </c>
      <c r="E139" s="75">
        <f>E134/E94</f>
        <v>7.7681584530607015E-2</v>
      </c>
      <c r="F139" s="75">
        <f>F134/AVERAGE(E94:F94)</f>
        <v>8.7672736199153833E-2</v>
      </c>
      <c r="G139" s="75">
        <f t="shared" ref="G139" si="63">G134/AVERAGE(F94:G94)</f>
        <v>8.27232098577593E-2</v>
      </c>
      <c r="H139" s="84">
        <f>G139-0.2%</f>
        <v>8.0723209857759298E-2</v>
      </c>
      <c r="I139" s="84">
        <f t="shared" ref="I139:L139" si="64">H139-0.2%</f>
        <v>7.8723209857759296E-2</v>
      </c>
      <c r="J139" s="84">
        <f t="shared" si="64"/>
        <v>7.6723209857759295E-2</v>
      </c>
      <c r="K139" s="84">
        <f t="shared" si="64"/>
        <v>7.4723209857759293E-2</v>
      </c>
      <c r="L139" s="84">
        <f t="shared" si="64"/>
        <v>7.2723209857759291E-2</v>
      </c>
      <c r="M139" s="80"/>
      <c r="N139" s="80"/>
    </row>
    <row r="140" spans="2:14" x14ac:dyDescent="0.25">
      <c r="C140" s="13" t="s">
        <v>113</v>
      </c>
      <c r="D140" s="14" t="s">
        <v>11</v>
      </c>
      <c r="E140" s="75">
        <f>E135/(E134+E133)</f>
        <v>-0.42737847791999417</v>
      </c>
      <c r="F140" s="75">
        <f t="shared" ref="F140:G140" si="65">F135/(F134+F133)</f>
        <v>-0.42174689051257741</v>
      </c>
      <c r="G140" s="75">
        <f t="shared" si="65"/>
        <v>-0.45367472536705244</v>
      </c>
      <c r="H140" s="45">
        <f>AVERAGE(E140:G140)</f>
        <v>-0.43426669793320799</v>
      </c>
      <c r="I140" s="45">
        <f>H140</f>
        <v>-0.43426669793320799</v>
      </c>
      <c r="J140" s="45">
        <f t="shared" ref="J140:L140" si="66">I140</f>
        <v>-0.43426669793320799</v>
      </c>
      <c r="K140" s="45">
        <f t="shared" si="66"/>
        <v>-0.43426669793320799</v>
      </c>
      <c r="L140" s="45">
        <f t="shared" si="66"/>
        <v>-0.43426669793320799</v>
      </c>
      <c r="M140" s="80"/>
      <c r="N140" s="80"/>
    </row>
    <row r="141" spans="2:14" x14ac:dyDescent="0.25">
      <c r="C141" s="13"/>
      <c r="D141" s="14"/>
      <c r="E141" s="75"/>
      <c r="F141" s="75"/>
      <c r="G141" s="75"/>
      <c r="H141" s="65"/>
      <c r="I141" s="65"/>
      <c r="J141" s="65"/>
      <c r="K141" s="65"/>
      <c r="L141" s="65"/>
      <c r="M141" s="80"/>
      <c r="N141" s="80"/>
    </row>
    <row r="142" spans="2:14" x14ac:dyDescent="0.25">
      <c r="B142" s="46" t="s">
        <v>114</v>
      </c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80"/>
      <c r="N142" s="80"/>
    </row>
    <row r="143" spans="2:14" x14ac:dyDescent="0.25">
      <c r="C143" s="13" t="s">
        <v>115</v>
      </c>
      <c r="D143" s="14" t="s">
        <v>3</v>
      </c>
      <c r="E143" s="19">
        <f>E220</f>
        <v>-192</v>
      </c>
      <c r="F143" s="19">
        <f t="shared" ref="F143:G143" si="67">F220</f>
        <v>-121</v>
      </c>
      <c r="G143" s="19">
        <f t="shared" si="67"/>
        <v>-1575</v>
      </c>
      <c r="H143" s="19">
        <f ca="1">H144*-AVERAGE(G61:H61)</f>
        <v>-886.86249937618436</v>
      </c>
      <c r="I143" s="19">
        <f t="shared" ref="I143:L143" ca="1" si="68">I144*-AVERAGE(H61:I61)</f>
        <v>-1066.1653985590692</v>
      </c>
      <c r="J143" s="19">
        <f t="shared" ca="1" si="68"/>
        <v>-1260.3828974539433</v>
      </c>
      <c r="K143" s="19">
        <f t="shared" ca="1" si="68"/>
        <v>-1481.1946509433394</v>
      </c>
      <c r="L143" s="19">
        <f t="shared" ca="1" si="68"/>
        <v>-1730.5821168320815</v>
      </c>
      <c r="M143" s="80"/>
      <c r="N143" s="80"/>
    </row>
    <row r="144" spans="2:14" x14ac:dyDescent="0.25">
      <c r="C144" s="13" t="s">
        <v>116</v>
      </c>
      <c r="D144" s="14" t="s">
        <v>11</v>
      </c>
      <c r="E144" s="94">
        <f>-E143/E61</f>
        <v>4.8815338186052542E-4</v>
      </c>
      <c r="F144" s="94">
        <f>-F143/AVERAGE(E61:F61)</f>
        <v>2.4919911318067655E-4</v>
      </c>
      <c r="G144" s="94">
        <f>-G143/AVERAGE(F61:G61)</f>
        <v>2.308367061140949E-3</v>
      </c>
      <c r="H144" s="45">
        <f>AVERAGE(E144:G144)</f>
        <v>1.0152398520607171E-3</v>
      </c>
      <c r="I144" s="45">
        <f>H144</f>
        <v>1.0152398520607171E-3</v>
      </c>
      <c r="J144" s="45">
        <f t="shared" ref="J144:L144" si="69">I144</f>
        <v>1.0152398520607171E-3</v>
      </c>
      <c r="K144" s="45">
        <f t="shared" si="69"/>
        <v>1.0152398520607171E-3</v>
      </c>
      <c r="L144" s="45">
        <f t="shared" si="69"/>
        <v>1.0152398520607171E-3</v>
      </c>
      <c r="M144" s="80"/>
      <c r="N144" s="80"/>
    </row>
    <row r="145" spans="2:14" x14ac:dyDescent="0.25">
      <c r="C145" s="13"/>
      <c r="D145" s="14"/>
      <c r="E145" s="94"/>
      <c r="F145" s="94"/>
      <c r="G145" s="94"/>
      <c r="H145" s="80"/>
      <c r="I145" s="80"/>
      <c r="J145" s="80"/>
      <c r="K145" s="80"/>
      <c r="L145" s="80"/>
      <c r="M145" s="80"/>
      <c r="N145" s="80"/>
    </row>
    <row r="146" spans="2:14" x14ac:dyDescent="0.25">
      <c r="C146" s="13" t="s">
        <v>117</v>
      </c>
      <c r="D146" s="14" t="s">
        <v>3</v>
      </c>
      <c r="E146" s="19">
        <f>E223</f>
        <v>-14222</v>
      </c>
      <c r="F146" s="19">
        <f t="shared" ref="F146:G147" si="70">F223</f>
        <v>-18177</v>
      </c>
      <c r="G146" s="19">
        <f t="shared" si="70"/>
        <v>-22588</v>
      </c>
      <c r="H146" s="19">
        <f ca="1">H152*(H$204+H$209)</f>
        <v>-33340.827699285845</v>
      </c>
      <c r="I146" s="19">
        <f t="shared" ref="I146:L149" ca="1" si="71">I152*(I$204+I$209)</f>
        <v>-38137.128178978084</v>
      </c>
      <c r="J146" s="19">
        <f t="shared" ca="1" si="71"/>
        <v>-42247.42624706537</v>
      </c>
      <c r="K146" s="19">
        <f t="shared" ca="1" si="71"/>
        <v>-51321.70778436392</v>
      </c>
      <c r="L146" s="19">
        <f t="shared" ca="1" si="71"/>
        <v>-62143.332877730674</v>
      </c>
      <c r="M146" s="80"/>
      <c r="N146" s="80"/>
    </row>
    <row r="147" spans="2:14" x14ac:dyDescent="0.25">
      <c r="C147" s="13" t="s">
        <v>118</v>
      </c>
      <c r="D147" s="14" t="s">
        <v>3</v>
      </c>
      <c r="E147" s="19">
        <f>E224</f>
        <v>-15602</v>
      </c>
      <c r="F147" s="19">
        <f t="shared" si="70"/>
        <v>-19204</v>
      </c>
      <c r="G147" s="19">
        <f t="shared" si="70"/>
        <v>-24335</v>
      </c>
      <c r="H147" s="19">
        <f ca="1">H153*(H$204+H$209)</f>
        <v>-35545.39635016938</v>
      </c>
      <c r="I147" s="19">
        <f t="shared" ca="1" si="71"/>
        <v>-40983.810205435067</v>
      </c>
      <c r="J147" s="19">
        <f t="shared" ca="1" si="71"/>
        <v>-45760.910442398788</v>
      </c>
      <c r="K147" s="19">
        <f t="shared" ca="1" si="71"/>
        <v>-56027.168661509277</v>
      </c>
      <c r="L147" s="19">
        <f t="shared" ca="1" si="71"/>
        <v>-68370.512283932607</v>
      </c>
      <c r="M147" s="80"/>
      <c r="N147" s="80"/>
    </row>
    <row r="148" spans="2:14" x14ac:dyDescent="0.25">
      <c r="C148" s="13" t="s">
        <v>119</v>
      </c>
      <c r="D148" s="14" t="s">
        <v>3</v>
      </c>
      <c r="E148" s="19">
        <f>E228</f>
        <v>-4175</v>
      </c>
      <c r="F148" s="19">
        <f t="shared" ref="F148:G148" si="72">F228</f>
        <v>-5043</v>
      </c>
      <c r="G148" s="19">
        <f t="shared" si="72"/>
        <v>-5800</v>
      </c>
      <c r="H148" s="19">
        <f ca="1">H154*(H$204+H$209)</f>
        <v>-8593.5723906804942</v>
      </c>
      <c r="I148" s="19">
        <f t="shared" ca="1" si="71"/>
        <v>-10046.462752122568</v>
      </c>
      <c r="J148" s="19">
        <f t="shared" ca="1" si="71"/>
        <v>-11369.235710751856</v>
      </c>
      <c r="K148" s="19">
        <f t="shared" ca="1" si="71"/>
        <v>-14102.768237753333</v>
      </c>
      <c r="L148" s="19">
        <f t="shared" ca="1" si="71"/>
        <v>-17429.479645744286</v>
      </c>
      <c r="M148" s="80"/>
      <c r="N148" s="80"/>
    </row>
    <row r="149" spans="2:14" x14ac:dyDescent="0.25">
      <c r="C149" s="13" t="s">
        <v>120</v>
      </c>
      <c r="D149" s="14" t="s">
        <v>3</v>
      </c>
      <c r="E149" s="19">
        <f>E214</f>
        <v>2971</v>
      </c>
      <c r="F149" s="19">
        <f t="shared" ref="F149:G149" si="73">F214</f>
        <v>722</v>
      </c>
      <c r="G149" s="19">
        <f t="shared" si="73"/>
        <v>1613</v>
      </c>
      <c r="H149" s="19">
        <f ca="1">H155*(H$204+H$209)</f>
        <v>1797.8538591051779</v>
      </c>
      <c r="I149" s="19">
        <f t="shared" ca="1" si="71"/>
        <v>2056.4871301390408</v>
      </c>
      <c r="J149" s="19">
        <f t="shared" ca="1" si="71"/>
        <v>2278.1287555490053</v>
      </c>
      <c r="K149" s="19">
        <f t="shared" ca="1" si="71"/>
        <v>2767.4457043537436</v>
      </c>
      <c r="L149" s="19">
        <f t="shared" ca="1" si="71"/>
        <v>3350.9855196030094</v>
      </c>
      <c r="M149" s="80"/>
      <c r="N149" s="80"/>
    </row>
    <row r="150" spans="2:14" x14ac:dyDescent="0.25">
      <c r="C150" s="13" t="s">
        <v>121</v>
      </c>
      <c r="D150" s="14" t="s">
        <v>3</v>
      </c>
      <c r="E150" s="19">
        <f>E213</f>
        <v>4548</v>
      </c>
      <c r="F150" s="19">
        <f t="shared" ref="F150:G150" si="74">F213</f>
        <v>9219</v>
      </c>
      <c r="G150" s="19">
        <f t="shared" si="74"/>
        <v>14753</v>
      </c>
      <c r="H150" s="19">
        <f>H156*AVERAGE(G54:H54)</f>
        <v>19633.834519876033</v>
      </c>
      <c r="I150" s="19">
        <f t="shared" ref="I150:L150" si="75">I156*AVERAGE(H54:I54)</f>
        <v>24240.387634864259</v>
      </c>
      <c r="J150" s="19">
        <f t="shared" si="75"/>
        <v>27659.969602463792</v>
      </c>
      <c r="K150" s="19">
        <f t="shared" si="75"/>
        <v>33146.530960009375</v>
      </c>
      <c r="L150" s="19">
        <f t="shared" si="75"/>
        <v>40670.861876267263</v>
      </c>
      <c r="M150" s="80"/>
      <c r="N150" s="80"/>
    </row>
    <row r="151" spans="2:14" x14ac:dyDescent="0.25">
      <c r="C151" s="13"/>
      <c r="D151" s="14"/>
      <c r="E151" s="94"/>
      <c r="F151" s="94"/>
      <c r="G151" s="94"/>
      <c r="H151" s="80"/>
      <c r="I151" s="80"/>
      <c r="J151" s="80"/>
      <c r="K151" s="80"/>
      <c r="L151" s="80"/>
      <c r="M151" s="80"/>
      <c r="N151" s="80"/>
    </row>
    <row r="152" spans="2:14" x14ac:dyDescent="0.25">
      <c r="C152" s="13" t="s">
        <v>122</v>
      </c>
      <c r="D152" s="14" t="s">
        <v>11</v>
      </c>
      <c r="E152" s="75">
        <f>E146/(E$204+E$209)</f>
        <v>-0.18800978253684975</v>
      </c>
      <c r="F152" s="75">
        <f t="shared" ref="F152:G155" si="76">F146/(F$204+F$209)</f>
        <v>-0.16728172941533762</v>
      </c>
      <c r="G152" s="75">
        <f t="shared" si="76"/>
        <v>-0.1728073933533264</v>
      </c>
      <c r="H152" s="45">
        <f>AVERAGE(E152:G152)</f>
        <v>-0.17603296843517124</v>
      </c>
      <c r="I152" s="45">
        <f>H152</f>
        <v>-0.17603296843517124</v>
      </c>
      <c r="J152" s="45">
        <f t="shared" ref="J152:L152" si="77">I152</f>
        <v>-0.17603296843517124</v>
      </c>
      <c r="K152" s="45">
        <f t="shared" si="77"/>
        <v>-0.17603296843517124</v>
      </c>
      <c r="L152" s="45">
        <f t="shared" si="77"/>
        <v>-0.17603296843517124</v>
      </c>
      <c r="M152" s="80"/>
      <c r="N152" s="80"/>
    </row>
    <row r="153" spans="2:14" x14ac:dyDescent="0.25">
      <c r="C153" s="13" t="s">
        <v>123</v>
      </c>
      <c r="D153" s="14" t="s">
        <v>11</v>
      </c>
      <c r="E153" s="75">
        <f>E147/(E$204+E$209)</f>
        <v>-0.20625289179721065</v>
      </c>
      <c r="F153" s="75">
        <f t="shared" si="76"/>
        <v>-0.17673314252583724</v>
      </c>
      <c r="G153" s="75">
        <f t="shared" si="76"/>
        <v>-0.1861726543852133</v>
      </c>
      <c r="H153" s="45">
        <f>G153-0.15%</f>
        <v>-0.1876726543852133</v>
      </c>
      <c r="I153" s="45">
        <f t="shared" ref="I153:L153" si="78">H153-0.15%</f>
        <v>-0.1891726543852133</v>
      </c>
      <c r="J153" s="45">
        <f t="shared" si="78"/>
        <v>-0.1906726543852133</v>
      </c>
      <c r="K153" s="45">
        <f t="shared" si="78"/>
        <v>-0.1921726543852133</v>
      </c>
      <c r="L153" s="45">
        <f t="shared" si="78"/>
        <v>-0.19367265438521331</v>
      </c>
      <c r="M153" s="80"/>
      <c r="N153" s="80"/>
    </row>
    <row r="154" spans="2:14" x14ac:dyDescent="0.25">
      <c r="C154" s="13" t="s">
        <v>124</v>
      </c>
      <c r="D154" s="14" t="s">
        <v>11</v>
      </c>
      <c r="E154" s="75">
        <f>E148/(E$204+E$209)</f>
        <v>-5.5192015334787493E-2</v>
      </c>
      <c r="F154" s="75">
        <f t="shared" si="76"/>
        <v>-4.641039563412816E-2</v>
      </c>
      <c r="G154" s="75">
        <f t="shared" si="76"/>
        <v>-4.4372360609584431E-2</v>
      </c>
      <c r="H154" s="45">
        <f>G154-0.1%</f>
        <v>-4.5372360609584432E-2</v>
      </c>
      <c r="I154" s="45">
        <f t="shared" ref="I154:L154" si="79">H154-0.1%</f>
        <v>-4.6372360609584433E-2</v>
      </c>
      <c r="J154" s="45">
        <f t="shared" si="79"/>
        <v>-4.7372360609584434E-2</v>
      </c>
      <c r="K154" s="45">
        <f t="shared" si="79"/>
        <v>-4.8372360609584435E-2</v>
      </c>
      <c r="L154" s="45">
        <f t="shared" si="79"/>
        <v>-4.9372360609584436E-2</v>
      </c>
      <c r="M154" s="80"/>
      <c r="N154" s="80"/>
    </row>
    <row r="155" spans="2:14" x14ac:dyDescent="0.25">
      <c r="C155" s="13" t="s">
        <v>125</v>
      </c>
      <c r="D155" s="14" t="s">
        <v>11</v>
      </c>
      <c r="E155" s="75">
        <f>E149/(E$204+E$209)</f>
        <v>3.9275563487342194E-2</v>
      </c>
      <c r="F155" s="75">
        <f t="shared" si="76"/>
        <v>6.6445182724252493E-3</v>
      </c>
      <c r="G155" s="75">
        <f t="shared" si="76"/>
        <v>1.2340106493665463E-2</v>
      </c>
      <c r="H155" s="45">
        <f>AVERAGE(F155:G155)</f>
        <v>9.4923123830453551E-3</v>
      </c>
      <c r="I155" s="45">
        <f>H155</f>
        <v>9.4923123830453551E-3</v>
      </c>
      <c r="J155" s="45">
        <f t="shared" ref="J155:L155" si="80">I155</f>
        <v>9.4923123830453551E-3</v>
      </c>
      <c r="K155" s="45">
        <f t="shared" si="80"/>
        <v>9.4923123830453551E-3</v>
      </c>
      <c r="L155" s="45">
        <f t="shared" si="80"/>
        <v>9.4923123830453551E-3</v>
      </c>
      <c r="M155" s="80"/>
      <c r="N155" s="80"/>
    </row>
    <row r="156" spans="2:14" x14ac:dyDescent="0.25">
      <c r="C156" s="13" t="s">
        <v>126</v>
      </c>
      <c r="D156" s="14" t="s">
        <v>11</v>
      </c>
      <c r="E156" s="75">
        <f>E150/(E54)</f>
        <v>1.937710365983554E-2</v>
      </c>
      <c r="F156" s="75">
        <f>F150/AVERAGE(E54:F54)</f>
        <v>2.9804953590399308E-2</v>
      </c>
      <c r="G156" s="75">
        <f>G150/AVERAGE(F54:G54)</f>
        <v>3.5492395947231734E-2</v>
      </c>
      <c r="H156" s="45">
        <f>G156+0.2%</f>
        <v>3.7492395947231735E-2</v>
      </c>
      <c r="I156" s="45">
        <f>H156+0.1%</f>
        <v>3.8492395947231736E-2</v>
      </c>
      <c r="J156" s="45">
        <f t="shared" ref="J156" si="81">I156+0.1%</f>
        <v>3.9492395947231737E-2</v>
      </c>
      <c r="K156" s="45">
        <v>0.04</v>
      </c>
      <c r="L156" s="45">
        <v>0.04</v>
      </c>
      <c r="M156" s="80"/>
      <c r="N156" s="80"/>
    </row>
    <row r="157" spans="2:14" x14ac:dyDescent="0.25">
      <c r="C157" s="13"/>
      <c r="D157" s="14"/>
      <c r="E157" s="75"/>
      <c r="F157" s="75"/>
      <c r="G157" s="75"/>
      <c r="H157" s="65"/>
      <c r="I157" s="65"/>
      <c r="J157" s="65"/>
      <c r="K157" s="65"/>
      <c r="L157" s="65"/>
      <c r="M157" s="80"/>
      <c r="N157" s="80"/>
    </row>
    <row r="158" spans="2:14" x14ac:dyDescent="0.25">
      <c r="B158" s="2"/>
      <c r="C158" s="2"/>
      <c r="D158" s="3"/>
      <c r="E158" s="4" t="s">
        <v>55</v>
      </c>
      <c r="F158" s="4"/>
      <c r="G158" s="4"/>
      <c r="H158" s="5" t="s">
        <v>0</v>
      </c>
      <c r="I158" s="4"/>
      <c r="J158" s="4"/>
      <c r="K158" s="4"/>
      <c r="L158" s="4"/>
    </row>
    <row r="159" spans="2:14" x14ac:dyDescent="0.25">
      <c r="B159" s="6" t="s">
        <v>56</v>
      </c>
      <c r="C159" s="6"/>
      <c r="D159" s="7" t="s">
        <v>1</v>
      </c>
      <c r="E159" s="8">
        <f t="shared" ref="E159:L159" si="82">E23</f>
        <v>43465</v>
      </c>
      <c r="F159" s="8">
        <f t="shared" si="82"/>
        <v>43830</v>
      </c>
      <c r="G159" s="9">
        <f t="shared" si="82"/>
        <v>44196</v>
      </c>
      <c r="H159" s="8">
        <f t="shared" si="82"/>
        <v>44561</v>
      </c>
      <c r="I159" s="8">
        <f t="shared" si="82"/>
        <v>44926</v>
      </c>
      <c r="J159" s="8">
        <f t="shared" si="82"/>
        <v>45291</v>
      </c>
      <c r="K159" s="8">
        <f t="shared" si="82"/>
        <v>45657</v>
      </c>
      <c r="L159" s="8">
        <f t="shared" si="82"/>
        <v>46022</v>
      </c>
    </row>
    <row r="160" spans="2:14" x14ac:dyDescent="0.25">
      <c r="B160" s="46" t="s">
        <v>57</v>
      </c>
      <c r="C160" s="47"/>
      <c r="D160" s="47"/>
      <c r="E160" s="47"/>
      <c r="F160" s="47"/>
      <c r="G160" s="47"/>
      <c r="H160" s="47"/>
      <c r="I160" s="47"/>
      <c r="J160" s="47"/>
      <c r="K160" s="47"/>
      <c r="L160" s="47"/>
    </row>
    <row r="161" spans="2:17" x14ac:dyDescent="0.25">
      <c r="C161" s="13" t="s">
        <v>127</v>
      </c>
      <c r="D161" s="14" t="s">
        <v>3</v>
      </c>
      <c r="E161" s="67">
        <f>33802-(1130+761+1317+360+114+12137+986)</f>
        <v>16997</v>
      </c>
      <c r="F161" s="67">
        <f>55564-(2302+599+1430+503+67+2+20088+2856)</f>
        <v>27717</v>
      </c>
      <c r="G161" s="68">
        <f>136351-(6404+1328+1276+646+499+53764+12719)</f>
        <v>59715</v>
      </c>
      <c r="H161" s="19">
        <f>H34*H177</f>
        <v>59026.003459205276</v>
      </c>
      <c r="I161" s="19">
        <f>I34*I177</f>
        <v>70878.663877877218</v>
      </c>
      <c r="J161" s="19">
        <f>J34*J177</f>
        <v>83750.690217079813</v>
      </c>
      <c r="K161" s="19">
        <f>K34*K177</f>
        <v>95737.081901644269</v>
      </c>
      <c r="L161" s="19">
        <f>L34*L177</f>
        <v>107850.3116522348</v>
      </c>
      <c r="P161" s="95"/>
    </row>
    <row r="162" spans="2:17" x14ac:dyDescent="0.25">
      <c r="C162" s="13" t="s">
        <v>61</v>
      </c>
      <c r="D162" s="14" t="s">
        <v>3</v>
      </c>
      <c r="E162" s="67">
        <v>2435</v>
      </c>
      <c r="F162" s="67">
        <v>3448</v>
      </c>
      <c r="G162" s="68">
        <v>5379</v>
      </c>
      <c r="H162" s="19">
        <f>H177*H35</f>
        <v>6779.7164266220916</v>
      </c>
      <c r="I162" s="19">
        <f>I177*I35</f>
        <v>8141.1109278639278</v>
      </c>
      <c r="J162" s="19">
        <f>J177*J35</f>
        <v>9619.5896203289885</v>
      </c>
      <c r="K162" s="19">
        <f>K177*K35</f>
        <v>10996.344471365659</v>
      </c>
      <c r="L162" s="19">
        <f>L177*L35</f>
        <v>12387.667920466947</v>
      </c>
    </row>
    <row r="163" spans="2:17" x14ac:dyDescent="0.25">
      <c r="C163" s="13" t="s">
        <v>128</v>
      </c>
      <c r="D163" s="14" t="s">
        <v>3</v>
      </c>
      <c r="E163" s="67">
        <f>776+1130+761+1317+360+114+12137+986</f>
        <v>17581</v>
      </c>
      <c r="F163" s="67">
        <f>2084+2302+599+1430+503+67+2+20088+2856</f>
        <v>29931</v>
      </c>
      <c r="G163" s="68">
        <f>1887+6404+1328+1276+646+499+53764+12719</f>
        <v>78523</v>
      </c>
      <c r="H163" s="19">
        <f ca="1">G163+H40</f>
        <v>78523</v>
      </c>
      <c r="I163" s="19">
        <f ca="1">H163+I40</f>
        <v>142038.77368970425</v>
      </c>
      <c r="J163" s="19">
        <f ca="1">I163+J40</f>
        <v>201786.58813418425</v>
      </c>
      <c r="K163" s="19">
        <f ca="1">J163+K40</f>
        <v>201786.58813418425</v>
      </c>
      <c r="L163" s="19">
        <f ca="1">K163+L40</f>
        <v>201786.58813418425</v>
      </c>
    </row>
    <row r="164" spans="2:17" x14ac:dyDescent="0.25">
      <c r="C164" s="38" t="s">
        <v>79</v>
      </c>
      <c r="D164" s="14" t="s">
        <v>3</v>
      </c>
      <c r="E164" s="67">
        <f>-E165+E166</f>
        <v>234710</v>
      </c>
      <c r="F164" s="67">
        <f>-F165+F166</f>
        <v>383912</v>
      </c>
      <c r="G164" s="68">
        <f>-G165+G166</f>
        <v>447421</v>
      </c>
      <c r="H164" s="15">
        <f>Loans!H77</f>
        <v>599929.21722855268</v>
      </c>
      <c r="I164" s="15">
        <f>Loans!I77</f>
        <v>659560.45798391278</v>
      </c>
      <c r="J164" s="15">
        <f>Loans!J77</f>
        <v>741213.99183280696</v>
      </c>
      <c r="K164" s="15">
        <f>Loans!K77</f>
        <v>916112.55616766191</v>
      </c>
      <c r="L164" s="15">
        <f>Loans!L77</f>
        <v>1117430.5376457013</v>
      </c>
      <c r="N164" s="54"/>
    </row>
    <row r="165" spans="2:17" ht="15.75" x14ac:dyDescent="0.25">
      <c r="C165" s="96" t="s">
        <v>129</v>
      </c>
      <c r="D165" s="14" t="s">
        <v>3</v>
      </c>
      <c r="E165" s="67">
        <v>-36221</v>
      </c>
      <c r="F165" s="67">
        <v>-54737</v>
      </c>
      <c r="G165" s="68">
        <v>-70900</v>
      </c>
      <c r="H165" s="15">
        <f>-Loans!H58</f>
        <v>-82891.255312979411</v>
      </c>
      <c r="I165" s="15">
        <f>-Loans!I58</f>
        <v>-99530.564413801549</v>
      </c>
      <c r="J165" s="15">
        <f>-Loans!J58</f>
        <v>-123373.99648847651</v>
      </c>
      <c r="K165" s="15">
        <f>-Loans!K58</f>
        <v>-163013.91177403028</v>
      </c>
      <c r="L165" s="15">
        <f>-Loans!L58</f>
        <v>-226656.48427435488</v>
      </c>
      <c r="N165" s="97"/>
    </row>
    <row r="166" spans="2:17" x14ac:dyDescent="0.25">
      <c r="C166" s="38" t="s">
        <v>130</v>
      </c>
      <c r="D166" s="14" t="s">
        <v>3</v>
      </c>
      <c r="E166" s="67">
        <v>198489</v>
      </c>
      <c r="F166" s="67">
        <v>329175</v>
      </c>
      <c r="G166" s="68">
        <v>376521</v>
      </c>
      <c r="H166" s="19">
        <f>SUM(H164:H165)</f>
        <v>517037.96191557328</v>
      </c>
      <c r="I166" s="19">
        <f t="shared" ref="I166:L166" si="83">SUM(I164:I165)</f>
        <v>560029.89357011125</v>
      </c>
      <c r="J166" s="19">
        <f t="shared" si="83"/>
        <v>617839.99534433044</v>
      </c>
      <c r="K166" s="19">
        <f t="shared" si="83"/>
        <v>753098.64439363161</v>
      </c>
      <c r="L166" s="19">
        <f t="shared" si="83"/>
        <v>890774.05337134644</v>
      </c>
      <c r="N166" s="98"/>
      <c r="Q166" s="95"/>
    </row>
    <row r="167" spans="2:17" x14ac:dyDescent="0.25">
      <c r="C167" s="13" t="s">
        <v>82</v>
      </c>
      <c r="D167" s="14" t="s">
        <v>3</v>
      </c>
      <c r="E167" s="67">
        <v>100140</v>
      </c>
      <c r="F167" s="67">
        <v>135178</v>
      </c>
      <c r="G167" s="68">
        <v>238454</v>
      </c>
      <c r="H167" s="19">
        <f>H33*H177</f>
        <v>281838.2441963419</v>
      </c>
      <c r="I167" s="19">
        <f>I33*I177</f>
        <v>338432.50444915961</v>
      </c>
      <c r="J167" s="19">
        <f>J33*J177</f>
        <v>399894.04834645614</v>
      </c>
      <c r="K167" s="19">
        <f>K33*K177</f>
        <v>457126.85064793803</v>
      </c>
      <c r="L167" s="19">
        <f>L33*L177</f>
        <v>514965.28124425706</v>
      </c>
      <c r="N167" s="54"/>
    </row>
    <row r="168" spans="2:17" x14ac:dyDescent="0.25">
      <c r="C168" s="13" t="s">
        <v>131</v>
      </c>
      <c r="D168" s="14" t="s">
        <v>3</v>
      </c>
      <c r="E168" s="67">
        <v>4603</v>
      </c>
      <c r="F168" s="67">
        <v>8877</v>
      </c>
      <c r="G168" s="68">
        <v>15475</v>
      </c>
      <c r="H168" s="19">
        <f>H177*H32</f>
        <v>16572.120294319764</v>
      </c>
      <c r="I168" s="19">
        <f>I177*I32</f>
        <v>19899.869129656527</v>
      </c>
      <c r="J168" s="19">
        <f>J177*J32</f>
        <v>23513.814787900992</v>
      </c>
      <c r="K168" s="19">
        <f>K177*K32</f>
        <v>26879.109967147248</v>
      </c>
      <c r="L168" s="19">
        <f>L177*L32</f>
        <v>30280.016157895167</v>
      </c>
    </row>
    <row r="169" spans="2:17" x14ac:dyDescent="0.25">
      <c r="C169" s="13" t="s">
        <v>132</v>
      </c>
      <c r="D169" s="14" t="s">
        <v>3</v>
      </c>
      <c r="E169" s="67">
        <v>8369</v>
      </c>
      <c r="F169" s="67">
        <v>10560</v>
      </c>
      <c r="G169" s="68">
        <v>10481</v>
      </c>
      <c r="H169" s="15">
        <f>'PPE &amp; Intangibles'!H13+'PPE &amp; Intangibles'!H19+'PPE &amp; Intangibles'!H25+'PPE &amp; Intangibles'!H29</f>
        <v>11337.970683538853</v>
      </c>
      <c r="I169" s="15">
        <f>'PPE &amp; Intangibles'!I13+'PPE &amp; Intangibles'!I19+'PPE &amp; Intangibles'!I25+'PPE &amp; Intangibles'!I29</f>
        <v>11837.796471759151</v>
      </c>
      <c r="J169" s="15">
        <f>'PPE &amp; Intangibles'!J13+'PPE &amp; Intangibles'!J19+'PPE &amp; Intangibles'!J25+'PPE &amp; Intangibles'!J29</f>
        <v>12045.389115247943</v>
      </c>
      <c r="K169" s="15">
        <f>'PPE &amp; Intangibles'!K13+'PPE &amp; Intangibles'!K19+'PPE &amp; Intangibles'!K25+'PPE &amp; Intangibles'!K29</f>
        <v>12399.865613312122</v>
      </c>
      <c r="L169" s="15">
        <f>'PPE &amp; Intangibles'!L13+'PPE &amp; Intangibles'!L19+'PPE &amp; Intangibles'!L25+'PPE &amp; Intangibles'!L29</f>
        <v>12726.568788611035</v>
      </c>
    </row>
    <row r="170" spans="2:17" x14ac:dyDescent="0.25">
      <c r="C170" s="13" t="s">
        <v>133</v>
      </c>
      <c r="D170" s="14" t="s">
        <v>3</v>
      </c>
      <c r="E170" s="67">
        <v>4223</v>
      </c>
      <c r="F170" s="67">
        <v>5435</v>
      </c>
      <c r="G170" s="68">
        <v>7082</v>
      </c>
      <c r="H170" s="15">
        <f>'PPE &amp; Intangibles'!H35</f>
        <v>8863.8196578537991</v>
      </c>
      <c r="I170" s="15">
        <f>'PPE &amp; Intangibles'!I35</f>
        <v>10093.044682092152</v>
      </c>
      <c r="J170" s="15">
        <f>'PPE &amp; Intangibles'!J35</f>
        <v>10819.9756868447</v>
      </c>
      <c r="K170" s="15">
        <f>'PPE &amp; Intangibles'!K35</f>
        <v>11604.676850926873</v>
      </c>
      <c r="L170" s="15">
        <f>'PPE &amp; Intangibles'!L35</f>
        <v>12226.997939333771</v>
      </c>
    </row>
    <row r="171" spans="2:17" x14ac:dyDescent="0.25">
      <c r="C171" s="13" t="s">
        <v>134</v>
      </c>
      <c r="D171" s="14" t="s">
        <v>3</v>
      </c>
      <c r="E171" s="67">
        <v>1104</v>
      </c>
      <c r="F171" s="67">
        <f>815+1517</f>
        <v>2332</v>
      </c>
      <c r="G171" s="68">
        <f>3133+947</f>
        <v>4080</v>
      </c>
      <c r="H171" s="19">
        <f ca="1">G171-H45</f>
        <v>5281.2478483592204</v>
      </c>
      <c r="I171" s="19">
        <f t="shared" ref="I171:L171" ca="1" si="84">H171-I45</f>
        <v>5833.9860480847365</v>
      </c>
      <c r="J171" s="19">
        <f t="shared" ca="1" si="84"/>
        <v>5833.9860480847365</v>
      </c>
      <c r="K171" s="19">
        <f t="shared" ca="1" si="84"/>
        <v>5427.4704986437646</v>
      </c>
      <c r="L171" s="19">
        <f t="shared" ca="1" si="84"/>
        <v>4590.9643618775608</v>
      </c>
    </row>
    <row r="172" spans="2:17" x14ac:dyDescent="0.25">
      <c r="C172" s="60" t="s">
        <v>135</v>
      </c>
      <c r="D172" s="16" t="s">
        <v>3</v>
      </c>
      <c r="E172" s="70">
        <f>3024+15642+1182+1710</f>
        <v>21558</v>
      </c>
      <c r="F172" s="70">
        <f>21673+2510+2799+390</f>
        <v>27372</v>
      </c>
      <c r="G172" s="71">
        <f>3386+31070+24064+29+5035</f>
        <v>63584</v>
      </c>
      <c r="H172" s="61">
        <f>G172*(1+Loans!H22)</f>
        <v>68448.176000000007</v>
      </c>
      <c r="I172" s="61">
        <f>H172*(1+Loans!I22)</f>
        <v>71357.223480000001</v>
      </c>
      <c r="J172" s="61">
        <f>I172*(1+Loans!J22)</f>
        <v>74211.512419200008</v>
      </c>
      <c r="K172" s="61">
        <f>J172*(1+Loans!K22)</f>
        <v>77179.972915968014</v>
      </c>
      <c r="L172" s="61">
        <f>K172*(1+Loans!L22)</f>
        <v>80267.171832606735</v>
      </c>
    </row>
    <row r="173" spans="2:17" x14ac:dyDescent="0.25">
      <c r="C173" s="1" t="s">
        <v>7</v>
      </c>
      <c r="D173" s="14" t="s">
        <v>3</v>
      </c>
      <c r="E173" s="20">
        <f>SUM(E166:E172,E161:E163)</f>
        <v>375499</v>
      </c>
      <c r="F173" s="20">
        <f t="shared" ref="F173:L173" si="85">SUM(F166:F172,F161:F163)</f>
        <v>580025</v>
      </c>
      <c r="G173" s="20">
        <f t="shared" si="85"/>
        <v>859294</v>
      </c>
      <c r="H173" s="20">
        <f t="shared" ca="1" si="85"/>
        <v>1053708.2604818142</v>
      </c>
      <c r="I173" s="20">
        <f t="shared" ca="1" si="85"/>
        <v>1238542.8663263088</v>
      </c>
      <c r="J173" s="20">
        <f t="shared" ca="1" si="85"/>
        <v>1439315.589719658</v>
      </c>
      <c r="K173" s="20">
        <f t="shared" ca="1" si="85"/>
        <v>1652236.605394762</v>
      </c>
      <c r="L173" s="20">
        <f t="shared" ca="1" si="85"/>
        <v>1867855.6214028138</v>
      </c>
    </row>
    <row r="174" spans="2:17" x14ac:dyDescent="0.25">
      <c r="C174" s="1"/>
      <c r="D174" s="27"/>
      <c r="E174" s="99"/>
      <c r="F174" s="99"/>
      <c r="G174" s="99"/>
      <c r="H174" s="99"/>
      <c r="I174" s="99"/>
      <c r="J174" s="99"/>
      <c r="K174" s="99"/>
      <c r="L174" s="99"/>
    </row>
    <row r="175" spans="2:17" x14ac:dyDescent="0.25">
      <c r="B175" s="46" t="s">
        <v>136</v>
      </c>
      <c r="C175" s="47"/>
      <c r="D175" s="47"/>
      <c r="E175" s="47"/>
      <c r="F175" s="47"/>
      <c r="G175" s="47"/>
      <c r="H175" s="47"/>
      <c r="I175" s="47"/>
      <c r="J175" s="47"/>
      <c r="K175" s="47"/>
      <c r="L175" s="47"/>
    </row>
    <row r="176" spans="2:17" x14ac:dyDescent="0.25">
      <c r="C176" s="1" t="s">
        <v>137</v>
      </c>
      <c r="D176" s="27"/>
    </row>
    <row r="177" spans="3:14" x14ac:dyDescent="0.25">
      <c r="C177" s="13" t="s">
        <v>8</v>
      </c>
      <c r="D177" s="14" t="s">
        <v>3</v>
      </c>
      <c r="E177" s="67">
        <v>280916</v>
      </c>
      <c r="F177" s="67">
        <v>411614</v>
      </c>
      <c r="G177" s="68">
        <v>626837</v>
      </c>
      <c r="H177" s="15">
        <f>Deposits!H14</f>
        <v>793690.99675747077</v>
      </c>
      <c r="I177" s="15">
        <f>Deposits!I14</f>
        <v>953067.36159005295</v>
      </c>
      <c r="J177" s="15">
        <f>Deposits!J14</f>
        <v>1126150.5929918028</v>
      </c>
      <c r="K177" s="15">
        <f>Deposits!K14</f>
        <v>1287325.1704002582</v>
      </c>
      <c r="L177" s="15">
        <f>Deposits!L14</f>
        <v>1450205.2712246871</v>
      </c>
    </row>
    <row r="178" spans="3:14" x14ac:dyDescent="0.25">
      <c r="C178" s="13" t="s">
        <v>138</v>
      </c>
      <c r="D178" s="14" t="s">
        <v>3</v>
      </c>
      <c r="E178" s="67">
        <v>2708</v>
      </c>
      <c r="F178" s="67">
        <v>23</v>
      </c>
      <c r="G178" s="68">
        <v>4819</v>
      </c>
      <c r="H178" s="19">
        <f ca="1">G178+H41</f>
        <v>30844.081303574611</v>
      </c>
      <c r="I178" s="19">
        <f ca="1">H178+I41</f>
        <v>30844.081303574611</v>
      </c>
      <c r="J178" s="19">
        <f ca="1">I178+J41</f>
        <v>30844.081303574611</v>
      </c>
      <c r="K178" s="19">
        <f ca="1">J178+K41</f>
        <v>51127.412750455085</v>
      </c>
      <c r="L178" s="19">
        <f ca="1">K178+L41</f>
        <v>69157.860490894644</v>
      </c>
    </row>
    <row r="179" spans="3:14" x14ac:dyDescent="0.25">
      <c r="C179" s="13" t="s">
        <v>139</v>
      </c>
      <c r="D179" s="14" t="s">
        <v>3</v>
      </c>
      <c r="E179" s="67">
        <v>20644</v>
      </c>
      <c r="F179" s="67">
        <v>18487</v>
      </c>
      <c r="G179" s="68">
        <v>20755</v>
      </c>
      <c r="H179" s="19">
        <f>G179</f>
        <v>20755</v>
      </c>
      <c r="I179" s="19">
        <f t="shared" ref="I179:L180" si="86">H179</f>
        <v>20755</v>
      </c>
      <c r="J179" s="19">
        <f t="shared" si="86"/>
        <v>20755</v>
      </c>
      <c r="K179" s="19">
        <f t="shared" si="86"/>
        <v>20755</v>
      </c>
      <c r="L179" s="19">
        <f t="shared" si="86"/>
        <v>20755</v>
      </c>
    </row>
    <row r="180" spans="3:14" x14ac:dyDescent="0.25">
      <c r="C180" s="13" t="s">
        <v>140</v>
      </c>
      <c r="D180" s="14" t="s">
        <v>3</v>
      </c>
      <c r="E180" s="67">
        <v>9605</v>
      </c>
      <c r="F180" s="67">
        <v>26078</v>
      </c>
      <c r="G180" s="68">
        <v>23910</v>
      </c>
      <c r="H180" s="54">
        <f>G180</f>
        <v>23910</v>
      </c>
      <c r="I180" s="54">
        <f t="shared" si="86"/>
        <v>23910</v>
      </c>
      <c r="J180" s="54">
        <f t="shared" si="86"/>
        <v>23910</v>
      </c>
      <c r="K180" s="54">
        <f t="shared" si="86"/>
        <v>23910</v>
      </c>
      <c r="L180" s="54">
        <f t="shared" si="86"/>
        <v>23910</v>
      </c>
    </row>
    <row r="181" spans="3:14" x14ac:dyDescent="0.25">
      <c r="C181" s="13" t="s">
        <v>141</v>
      </c>
      <c r="D181" s="14" t="s">
        <v>3</v>
      </c>
      <c r="E181" s="67">
        <f>E123</f>
        <v>1665</v>
      </c>
      <c r="F181" s="67">
        <f t="shared" ref="F181:L181" si="87">F123</f>
        <v>1694</v>
      </c>
      <c r="G181" s="67">
        <f t="shared" si="87"/>
        <v>1340</v>
      </c>
      <c r="H181" s="67">
        <f t="shared" si="87"/>
        <v>1525.3068919275979</v>
      </c>
      <c r="I181" s="67">
        <f t="shared" si="87"/>
        <v>1686.573894606046</v>
      </c>
      <c r="J181" s="67">
        <f t="shared" si="87"/>
        <v>1853.8279577222361</v>
      </c>
      <c r="K181" s="67">
        <f t="shared" si="87"/>
        <v>2126.6393617635258</v>
      </c>
      <c r="L181" s="67">
        <f t="shared" si="87"/>
        <v>2462.1928021216322</v>
      </c>
    </row>
    <row r="182" spans="3:14" x14ac:dyDescent="0.25">
      <c r="C182" s="13" t="s">
        <v>142</v>
      </c>
      <c r="D182" s="16" t="s">
        <v>3</v>
      </c>
      <c r="E182" s="67">
        <f>3+51+1821+2859+11201+3441-E181</f>
        <v>17711</v>
      </c>
      <c r="F182" s="67">
        <f>4874+14648+6280+142+1207+590-F181</f>
        <v>26047</v>
      </c>
      <c r="G182" s="68">
        <f>109+5905+34337+6067+333+9206-G181</f>
        <v>54617</v>
      </c>
      <c r="H182" s="19">
        <f>G182*(1+Loans!H22)</f>
        <v>58795.200499999999</v>
      </c>
      <c r="I182" s="19">
        <f>H182*(1+Loans!I22)</f>
        <v>61293.996521249996</v>
      </c>
      <c r="J182" s="19">
        <f>I182*(1+Loans!J22)</f>
        <v>63745.7563821</v>
      </c>
      <c r="K182" s="19">
        <f>J182*(1+Loans!K22)</f>
        <v>66295.586637383996</v>
      </c>
      <c r="L182" s="19">
        <f>K182*(1+Loans!L22)</f>
        <v>68947.410102879352</v>
      </c>
    </row>
    <row r="183" spans="3:14" x14ac:dyDescent="0.25">
      <c r="C183" s="83" t="s">
        <v>143</v>
      </c>
      <c r="D183" s="14" t="s">
        <v>3</v>
      </c>
      <c r="E183" s="74">
        <f t="shared" ref="E183:H183" si="88">SUM(E177:E182)</f>
        <v>333249</v>
      </c>
      <c r="F183" s="74">
        <f t="shared" si="88"/>
        <v>483943</v>
      </c>
      <c r="G183" s="74">
        <f t="shared" si="88"/>
        <v>732278</v>
      </c>
      <c r="H183" s="74">
        <f t="shared" ca="1" si="88"/>
        <v>929520.58545297303</v>
      </c>
      <c r="I183" s="74">
        <f t="shared" ref="I183:L183" ca="1" si="89">SUM(I177:I182)</f>
        <v>1091557.0133094836</v>
      </c>
      <c r="J183" s="74">
        <f t="shared" ca="1" si="89"/>
        <v>1267259.2586351996</v>
      </c>
      <c r="K183" s="74">
        <f t="shared" ca="1" si="89"/>
        <v>1451539.8091498609</v>
      </c>
      <c r="L183" s="74">
        <f t="shared" ca="1" si="89"/>
        <v>1635437.7346205828</v>
      </c>
    </row>
    <row r="184" spans="3:14" x14ac:dyDescent="0.25">
      <c r="C184" s="1"/>
      <c r="D184" s="27"/>
      <c r="G184" s="51"/>
      <c r="H184" s="100"/>
      <c r="I184" s="100"/>
      <c r="J184" s="100"/>
      <c r="K184" s="100"/>
      <c r="L184" s="100"/>
    </row>
    <row r="185" spans="3:14" x14ac:dyDescent="0.25">
      <c r="C185" s="1" t="s">
        <v>144</v>
      </c>
      <c r="D185" s="27"/>
      <c r="H185" s="100"/>
      <c r="I185" s="100"/>
      <c r="J185" s="100"/>
      <c r="K185" s="100"/>
      <c r="L185" s="100"/>
    </row>
    <row r="186" spans="3:14" x14ac:dyDescent="0.25">
      <c r="C186" s="13" t="s">
        <v>145</v>
      </c>
      <c r="D186" s="14" t="s">
        <v>3</v>
      </c>
      <c r="E186" s="67">
        <f>188+8623</f>
        <v>8811</v>
      </c>
      <c r="F186" s="68">
        <f>230+26998</f>
        <v>27228</v>
      </c>
      <c r="G186" s="68">
        <f>230+26998</f>
        <v>27228</v>
      </c>
      <c r="H186" s="19">
        <f ca="1">+G186+H277</f>
        <v>27228</v>
      </c>
      <c r="I186" s="19">
        <f t="shared" ref="I186:L186" ca="1" si="90">+H186+I277</f>
        <v>27228</v>
      </c>
      <c r="J186" s="19">
        <f t="shared" ca="1" si="90"/>
        <v>27228</v>
      </c>
      <c r="K186" s="19">
        <f t="shared" ca="1" si="90"/>
        <v>27228</v>
      </c>
      <c r="L186" s="19">
        <f t="shared" ca="1" si="90"/>
        <v>27228</v>
      </c>
    </row>
    <row r="187" spans="3:14" x14ac:dyDescent="0.25">
      <c r="C187" s="13" t="s">
        <v>146</v>
      </c>
      <c r="D187" s="14"/>
      <c r="E187" s="67">
        <v>-3670</v>
      </c>
      <c r="F187" s="67">
        <v>-3164</v>
      </c>
      <c r="G187" s="68">
        <v>-3238</v>
      </c>
      <c r="H187" s="19">
        <f>G187</f>
        <v>-3238</v>
      </c>
      <c r="I187" s="19">
        <f t="shared" ref="I187:L188" si="91">H187</f>
        <v>-3238</v>
      </c>
      <c r="J187" s="19">
        <f t="shared" si="91"/>
        <v>-3238</v>
      </c>
      <c r="K187" s="19">
        <f t="shared" si="91"/>
        <v>-3238</v>
      </c>
      <c r="L187" s="19">
        <f t="shared" si="91"/>
        <v>-3238</v>
      </c>
    </row>
    <row r="188" spans="3:14" x14ac:dyDescent="0.25">
      <c r="C188" s="13" t="s">
        <v>147</v>
      </c>
      <c r="D188" s="14" t="s">
        <v>3</v>
      </c>
      <c r="E188" s="67">
        <v>1232</v>
      </c>
      <c r="F188" s="67">
        <v>3996</v>
      </c>
      <c r="G188" s="68">
        <v>1849</v>
      </c>
      <c r="H188" s="19">
        <f>G188</f>
        <v>1849</v>
      </c>
      <c r="I188" s="19">
        <f t="shared" si="91"/>
        <v>1849</v>
      </c>
      <c r="J188" s="19">
        <f t="shared" si="91"/>
        <v>1849</v>
      </c>
      <c r="K188" s="19">
        <f t="shared" si="91"/>
        <v>1849</v>
      </c>
      <c r="L188" s="19">
        <f t="shared" si="91"/>
        <v>1849</v>
      </c>
    </row>
    <row r="189" spans="3:14" x14ac:dyDescent="0.25">
      <c r="C189" s="13" t="s">
        <v>148</v>
      </c>
      <c r="D189" s="14" t="s">
        <v>3</v>
      </c>
      <c r="E189" s="67">
        <v>36785</v>
      </c>
      <c r="F189" s="67">
        <v>66880</v>
      </c>
      <c r="G189" s="68">
        <v>99540</v>
      </c>
      <c r="H189" s="19">
        <f ca="1">G189+H235+H280</f>
        <v>96711.675028841157</v>
      </c>
      <c r="I189" s="19">
        <f t="shared" ref="I189:L189" ca="1" si="92">H189+I235+I280</f>
        <v>119509.85301682536</v>
      </c>
      <c r="J189" s="19">
        <f t="shared" ca="1" si="92"/>
        <v>144580.33108445839</v>
      </c>
      <c r="K189" s="19">
        <f t="shared" ca="1" si="92"/>
        <v>173220.79624490096</v>
      </c>
      <c r="L189" s="19">
        <f t="shared" ca="1" si="92"/>
        <v>204941.88678223093</v>
      </c>
    </row>
    <row r="190" spans="3:14" x14ac:dyDescent="0.25">
      <c r="C190" s="13" t="s">
        <v>149</v>
      </c>
      <c r="D190" s="14" t="s">
        <v>3</v>
      </c>
      <c r="E190" s="67">
        <v>-1144</v>
      </c>
      <c r="F190" s="67">
        <v>1039</v>
      </c>
      <c r="G190" s="68">
        <v>1548</v>
      </c>
      <c r="H190" s="19">
        <f>G190</f>
        <v>1548</v>
      </c>
      <c r="I190" s="19">
        <f t="shared" ref="I190:L190" si="93">H190</f>
        <v>1548</v>
      </c>
      <c r="J190" s="19">
        <f t="shared" si="93"/>
        <v>1548</v>
      </c>
      <c r="K190" s="19">
        <f t="shared" si="93"/>
        <v>1548</v>
      </c>
      <c r="L190" s="19">
        <f t="shared" si="93"/>
        <v>1548</v>
      </c>
      <c r="N190" s="101"/>
    </row>
    <row r="191" spans="3:14" x14ac:dyDescent="0.25">
      <c r="C191" s="83" t="s">
        <v>150</v>
      </c>
      <c r="D191" s="83"/>
      <c r="E191" s="102">
        <f>SUM(E186:E190)</f>
        <v>42014</v>
      </c>
      <c r="F191" s="102">
        <f t="shared" ref="F191:L191" si="94">SUM(F186:F190)</f>
        <v>95979</v>
      </c>
      <c r="G191" s="102">
        <f t="shared" si="94"/>
        <v>126927</v>
      </c>
      <c r="H191" s="102">
        <f t="shared" ca="1" si="94"/>
        <v>124098.67502884116</v>
      </c>
      <c r="I191" s="102">
        <f t="shared" ca="1" si="94"/>
        <v>146896.85301682536</v>
      </c>
      <c r="J191" s="102">
        <f t="shared" ca="1" si="94"/>
        <v>171967.33108445839</v>
      </c>
      <c r="K191" s="102">
        <f t="shared" ca="1" si="94"/>
        <v>200607.79624490096</v>
      </c>
      <c r="L191" s="102">
        <f t="shared" ca="1" si="94"/>
        <v>232328.88678223093</v>
      </c>
    </row>
    <row r="192" spans="3:14" x14ac:dyDescent="0.25">
      <c r="C192" s="13" t="s">
        <v>151</v>
      </c>
      <c r="D192" s="16" t="s">
        <v>3</v>
      </c>
      <c r="E192" s="67">
        <v>236</v>
      </c>
      <c r="F192" s="67">
        <v>103</v>
      </c>
      <c r="G192" s="68">
        <v>89</v>
      </c>
      <c r="H192" s="19">
        <f>G192</f>
        <v>89</v>
      </c>
      <c r="I192" s="19">
        <f t="shared" ref="I192:L192" si="95">H192</f>
        <v>89</v>
      </c>
      <c r="J192" s="19">
        <f t="shared" si="95"/>
        <v>89</v>
      </c>
      <c r="K192" s="19">
        <f t="shared" si="95"/>
        <v>89</v>
      </c>
      <c r="L192" s="19">
        <f t="shared" si="95"/>
        <v>89</v>
      </c>
    </row>
    <row r="193" spans="2:12" x14ac:dyDescent="0.25">
      <c r="C193" s="83" t="s">
        <v>152</v>
      </c>
      <c r="D193" s="14" t="s">
        <v>3</v>
      </c>
      <c r="E193" s="74">
        <f>SUM(E191:E192)</f>
        <v>42250</v>
      </c>
      <c r="F193" s="74">
        <f t="shared" ref="F193:L193" si="96">SUM(F191:F192)</f>
        <v>96082</v>
      </c>
      <c r="G193" s="74">
        <f t="shared" si="96"/>
        <v>127016</v>
      </c>
      <c r="H193" s="74">
        <f t="shared" ca="1" si="96"/>
        <v>124187.67502884116</v>
      </c>
      <c r="I193" s="74">
        <f t="shared" ca="1" si="96"/>
        <v>146985.85301682536</v>
      </c>
      <c r="J193" s="74">
        <f t="shared" ca="1" si="96"/>
        <v>172056.33108445839</v>
      </c>
      <c r="K193" s="74">
        <f t="shared" ca="1" si="96"/>
        <v>200696.79624490096</v>
      </c>
      <c r="L193" s="74">
        <f t="shared" ca="1" si="96"/>
        <v>232417.88678223093</v>
      </c>
    </row>
    <row r="194" spans="2:12" x14ac:dyDescent="0.25">
      <c r="C194" s="56"/>
      <c r="D194" s="103"/>
      <c r="E194" s="56"/>
      <c r="F194" s="56"/>
      <c r="G194" s="56"/>
      <c r="H194" s="104"/>
      <c r="I194" s="100"/>
      <c r="J194" s="100"/>
      <c r="K194" s="100"/>
      <c r="L194" s="100"/>
    </row>
    <row r="195" spans="2:12" x14ac:dyDescent="0.25">
      <c r="C195" s="1" t="s">
        <v>153</v>
      </c>
      <c r="D195" s="14" t="s">
        <v>3</v>
      </c>
      <c r="E195" s="20">
        <f t="shared" ref="E195:L195" si="97">E193+E183</f>
        <v>375499</v>
      </c>
      <c r="F195" s="20">
        <f t="shared" si="97"/>
        <v>580025</v>
      </c>
      <c r="G195" s="20">
        <f t="shared" si="97"/>
        <v>859294</v>
      </c>
      <c r="H195" s="20">
        <f t="shared" ca="1" si="97"/>
        <v>1053708.2604818142</v>
      </c>
      <c r="I195" s="74">
        <f t="shared" ca="1" si="97"/>
        <v>1238542.866326309</v>
      </c>
      <c r="J195" s="74">
        <f t="shared" ca="1" si="97"/>
        <v>1439315.589719658</v>
      </c>
      <c r="K195" s="74">
        <f t="shared" ca="1" si="97"/>
        <v>1652236.6053947618</v>
      </c>
      <c r="L195" s="74">
        <f t="shared" ca="1" si="97"/>
        <v>1867855.6214028136</v>
      </c>
    </row>
    <row r="196" spans="2:12" x14ac:dyDescent="0.25">
      <c r="D196" s="27"/>
    </row>
    <row r="197" spans="2:12" x14ac:dyDescent="0.25">
      <c r="C197" t="s">
        <v>154</v>
      </c>
      <c r="D197" s="14"/>
      <c r="E197" s="105">
        <f t="shared" ref="E197:L197" si="98">+E173-E195</f>
        <v>0</v>
      </c>
      <c r="F197" s="105">
        <f t="shared" si="98"/>
        <v>0</v>
      </c>
      <c r="G197" s="106">
        <f t="shared" si="98"/>
        <v>0</v>
      </c>
      <c r="H197" s="105">
        <f t="shared" ca="1" si="98"/>
        <v>0</v>
      </c>
      <c r="I197" s="105">
        <f t="shared" ca="1" si="98"/>
        <v>0</v>
      </c>
      <c r="J197" s="105">
        <f t="shared" ca="1" si="98"/>
        <v>0</v>
      </c>
      <c r="K197" s="105">
        <f t="shared" ca="1" si="98"/>
        <v>0</v>
      </c>
      <c r="L197" s="105">
        <f t="shared" ca="1" si="98"/>
        <v>0</v>
      </c>
    </row>
    <row r="199" spans="2:12" x14ac:dyDescent="0.25">
      <c r="B199" s="2"/>
      <c r="C199" s="2"/>
      <c r="D199" s="3"/>
      <c r="E199" s="4" t="s">
        <v>55</v>
      </c>
      <c r="F199" s="4"/>
      <c r="G199" s="4"/>
      <c r="H199" s="5" t="s">
        <v>0</v>
      </c>
      <c r="I199" s="4"/>
      <c r="J199" s="4"/>
      <c r="K199" s="4"/>
      <c r="L199" s="4"/>
    </row>
    <row r="200" spans="2:12" x14ac:dyDescent="0.25">
      <c r="B200" s="6" t="s">
        <v>155</v>
      </c>
      <c r="C200" s="6"/>
      <c r="D200" s="7" t="s">
        <v>1</v>
      </c>
      <c r="E200" s="8">
        <f t="shared" ref="E200:L200" si="99">E23</f>
        <v>43465</v>
      </c>
      <c r="F200" s="8">
        <f t="shared" si="99"/>
        <v>43830</v>
      </c>
      <c r="G200" s="8">
        <f t="shared" si="99"/>
        <v>44196</v>
      </c>
      <c r="H200" s="8">
        <f t="shared" si="99"/>
        <v>44561</v>
      </c>
      <c r="I200" s="8">
        <f t="shared" si="99"/>
        <v>44926</v>
      </c>
      <c r="J200" s="8">
        <f t="shared" si="99"/>
        <v>45291</v>
      </c>
      <c r="K200" s="8">
        <f t="shared" si="99"/>
        <v>45657</v>
      </c>
      <c r="L200" s="8">
        <f t="shared" si="99"/>
        <v>46022</v>
      </c>
    </row>
    <row r="201" spans="2:12" x14ac:dyDescent="0.25">
      <c r="C201" s="107" t="s">
        <v>2</v>
      </c>
      <c r="D201" s="79"/>
      <c r="E201" s="23"/>
      <c r="F201" s="23"/>
      <c r="G201" s="108"/>
      <c r="H201" s="23"/>
      <c r="I201" s="23"/>
      <c r="J201" s="23"/>
      <c r="K201" s="23"/>
      <c r="L201" s="23"/>
    </row>
    <row r="202" spans="2:12" x14ac:dyDescent="0.25">
      <c r="C202" s="109" t="s">
        <v>156</v>
      </c>
      <c r="D202" s="14" t="s">
        <v>3</v>
      </c>
      <c r="E202" s="67">
        <f>76269+456</f>
        <v>76725</v>
      </c>
      <c r="F202" s="67">
        <f>111129+118</f>
        <v>111247</v>
      </c>
      <c r="G202" s="68">
        <f>128084+83</f>
        <v>128167</v>
      </c>
      <c r="H202" s="110">
        <f ca="1">H71</f>
        <v>187213.41548812238</v>
      </c>
      <c r="I202" s="110">
        <f t="shared" ref="I202:L202" ca="1" si="100">I71</f>
        <v>233336.63602078595</v>
      </c>
      <c r="J202" s="110">
        <f t="shared" ca="1" si="100"/>
        <v>241734.28044069948</v>
      </c>
      <c r="K202" s="110">
        <f t="shared" ca="1" si="100"/>
        <v>289101.3718261933</v>
      </c>
      <c r="L202" s="110">
        <f t="shared" ca="1" si="100"/>
        <v>352157.79535545554</v>
      </c>
    </row>
    <row r="203" spans="2:12" x14ac:dyDescent="0.25">
      <c r="C203" s="111" t="s">
        <v>157</v>
      </c>
      <c r="D203" s="16" t="s">
        <v>3</v>
      </c>
      <c r="E203" s="70">
        <f>-15559-1174</f>
        <v>-16733</v>
      </c>
      <c r="F203" s="70">
        <f>-21317-134-1870</f>
        <v>-23321</v>
      </c>
      <c r="G203" s="71">
        <f>-21581-139-1745</f>
        <v>-23465</v>
      </c>
      <c r="H203" s="61">
        <f ca="1">H106-H129+H130</f>
        <v>-33271.523916913167</v>
      </c>
      <c r="I203" s="61">
        <f t="shared" ref="I203:L203" ca="1" si="101">I106-I129+I130</f>
        <v>-58865.081642169011</v>
      </c>
      <c r="J203" s="61">
        <f t="shared" ca="1" si="101"/>
        <v>-50111.708773707513</v>
      </c>
      <c r="K203" s="61">
        <f t="shared" ca="1" si="101"/>
        <v>-51945.403934285954</v>
      </c>
      <c r="L203" s="61">
        <f t="shared" ca="1" si="101"/>
        <v>-59594.18317130144</v>
      </c>
    </row>
    <row r="204" spans="2:12" x14ac:dyDescent="0.25">
      <c r="C204" s="107" t="s">
        <v>158</v>
      </c>
      <c r="D204" s="14" t="s">
        <v>3</v>
      </c>
      <c r="E204" s="20">
        <f t="shared" ref="E204:L204" si="102">SUM(E202:E203)</f>
        <v>59992</v>
      </c>
      <c r="F204" s="20">
        <f t="shared" si="102"/>
        <v>87926</v>
      </c>
      <c r="G204" s="20">
        <f t="shared" si="102"/>
        <v>104702</v>
      </c>
      <c r="H204" s="20">
        <f t="shared" ca="1" si="102"/>
        <v>153941.89157120921</v>
      </c>
      <c r="I204" s="20">
        <f t="shared" ca="1" si="102"/>
        <v>174471.55437861694</v>
      </c>
      <c r="J204" s="20">
        <f t="shared" ca="1" si="102"/>
        <v>191622.57166699198</v>
      </c>
      <c r="K204" s="20">
        <f t="shared" ca="1" si="102"/>
        <v>237155.96789190735</v>
      </c>
      <c r="L204" s="20">
        <f t="shared" ca="1" si="102"/>
        <v>292563.6121841541</v>
      </c>
    </row>
    <row r="205" spans="2:12" x14ac:dyDescent="0.25">
      <c r="C205" s="1"/>
      <c r="D205" s="27"/>
      <c r="E205" s="112"/>
      <c r="F205" s="112"/>
      <c r="G205" s="112"/>
    </row>
    <row r="206" spans="2:12" x14ac:dyDescent="0.25">
      <c r="C206" s="38" t="s">
        <v>159</v>
      </c>
      <c r="D206" s="27"/>
      <c r="E206" s="112"/>
      <c r="F206" s="112"/>
      <c r="G206" s="112"/>
    </row>
    <row r="207" spans="2:12" x14ac:dyDescent="0.25">
      <c r="C207" s="13" t="s">
        <v>160</v>
      </c>
      <c r="D207" s="14" t="s">
        <v>3</v>
      </c>
      <c r="E207" s="67">
        <v>27423</v>
      </c>
      <c r="F207" s="67">
        <v>35858</v>
      </c>
      <c r="G207" s="68">
        <v>47609</v>
      </c>
      <c r="H207" s="110">
        <f>SUM(H133:H134)</f>
        <v>62678.210016512778</v>
      </c>
      <c r="I207" s="110">
        <f t="shared" ref="I207:L207" si="103">SUM(I133:I134)</f>
        <v>74551.190778737204</v>
      </c>
      <c r="J207" s="110">
        <f t="shared" si="103"/>
        <v>85507.899750960889</v>
      </c>
      <c r="K207" s="110">
        <f t="shared" si="103"/>
        <v>96140.76408986155</v>
      </c>
      <c r="L207" s="110">
        <f t="shared" si="103"/>
        <v>106865.51082549973</v>
      </c>
    </row>
    <row r="208" spans="2:12" x14ac:dyDescent="0.25">
      <c r="C208" s="13" t="s">
        <v>161</v>
      </c>
      <c r="D208" s="16" t="s">
        <v>3</v>
      </c>
      <c r="E208" s="70">
        <v>-11770</v>
      </c>
      <c r="F208" s="70">
        <v>-15123</v>
      </c>
      <c r="G208" s="71">
        <v>-21599</v>
      </c>
      <c r="H208" s="113">
        <f>H135</f>
        <v>-27219.059296235126</v>
      </c>
      <c r="I208" s="113">
        <f t="shared" ref="I208:L208" si="104">I135</f>
        <v>-32375.099446470831</v>
      </c>
      <c r="J208" s="113">
        <f t="shared" si="104"/>
        <v>-37133.233272053563</v>
      </c>
      <c r="K208" s="113">
        <f t="shared" si="104"/>
        <v>-41750.732158079714</v>
      </c>
      <c r="L208" s="113">
        <f t="shared" si="104"/>
        <v>-46408.132509135263</v>
      </c>
    </row>
    <row r="209" spans="3:12" x14ac:dyDescent="0.25">
      <c r="C209" s="83" t="s">
        <v>159</v>
      </c>
      <c r="D209" s="14" t="s">
        <v>3</v>
      </c>
      <c r="E209" s="20">
        <f t="shared" ref="E209:G209" si="105">SUM(E207:E208)</f>
        <v>15653</v>
      </c>
      <c r="F209" s="20">
        <f t="shared" si="105"/>
        <v>20735</v>
      </c>
      <c r="G209" s="20">
        <f t="shared" si="105"/>
        <v>26010</v>
      </c>
      <c r="H209" s="20">
        <f>SUM(H207:H208)</f>
        <v>35459.150720277656</v>
      </c>
      <c r="I209" s="20">
        <f t="shared" ref="I209:L209" si="106">SUM(I207:I208)</f>
        <v>42176.091332266369</v>
      </c>
      <c r="J209" s="20">
        <f t="shared" si="106"/>
        <v>48374.666478907326</v>
      </c>
      <c r="K209" s="20">
        <f t="shared" si="106"/>
        <v>54390.031931781836</v>
      </c>
      <c r="L209" s="20">
        <f t="shared" si="106"/>
        <v>60457.378316364469</v>
      </c>
    </row>
    <row r="210" spans="3:12" x14ac:dyDescent="0.25">
      <c r="C210" s="1"/>
      <c r="D210" s="14"/>
      <c r="E210" s="20"/>
      <c r="F210" s="20"/>
      <c r="G210" s="20"/>
      <c r="H210" s="20"/>
      <c r="I210" s="20"/>
      <c r="J210" s="20"/>
      <c r="K210" s="20"/>
      <c r="L210" s="20"/>
    </row>
    <row r="211" spans="3:12" x14ac:dyDescent="0.25">
      <c r="C211" s="1" t="s">
        <v>162</v>
      </c>
      <c r="D211" s="27"/>
      <c r="E211" s="112"/>
      <c r="F211" s="112"/>
      <c r="G211" s="112"/>
    </row>
    <row r="212" spans="3:12" x14ac:dyDescent="0.25">
      <c r="C212" s="13" t="s">
        <v>163</v>
      </c>
      <c r="D212" s="14" t="s">
        <v>3</v>
      </c>
      <c r="E212" s="68">
        <f>1784-2155+381+378-808</f>
        <v>-420</v>
      </c>
      <c r="F212" s="68">
        <f>-2563+2216-968+301+389</f>
        <v>-625</v>
      </c>
      <c r="G212" s="68">
        <f>4163-6850+1595+7210+603</f>
        <v>6721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spans="3:12" x14ac:dyDescent="0.25">
      <c r="C213" s="13" t="s">
        <v>164</v>
      </c>
      <c r="D213" s="14" t="s">
        <v>3</v>
      </c>
      <c r="E213" s="68">
        <v>4548</v>
      </c>
      <c r="F213" s="68">
        <v>9219</v>
      </c>
      <c r="G213" s="68">
        <v>14753</v>
      </c>
      <c r="H213" s="19">
        <f>H150</f>
        <v>19633.834519876033</v>
      </c>
      <c r="I213" s="19">
        <f t="shared" ref="I213:L213" si="107">I150</f>
        <v>24240.387634864259</v>
      </c>
      <c r="J213" s="19">
        <f t="shared" si="107"/>
        <v>27659.969602463792</v>
      </c>
      <c r="K213" s="19">
        <f t="shared" si="107"/>
        <v>33146.530960009375</v>
      </c>
      <c r="L213" s="19">
        <f t="shared" si="107"/>
        <v>40670.861876267263</v>
      </c>
    </row>
    <row r="214" spans="3:12" x14ac:dyDescent="0.25">
      <c r="C214" s="60" t="s">
        <v>165</v>
      </c>
      <c r="D214" s="16" t="s">
        <v>3</v>
      </c>
      <c r="E214" s="71">
        <v>2971</v>
      </c>
      <c r="F214" s="71">
        <v>722</v>
      </c>
      <c r="G214" s="71">
        <f>1445+168</f>
        <v>1613</v>
      </c>
      <c r="H214" s="61">
        <f ca="1">H149</f>
        <v>1797.8538591051779</v>
      </c>
      <c r="I214" s="61">
        <f t="shared" ref="I214:L214" ca="1" si="108">I149</f>
        <v>2056.4871301390408</v>
      </c>
      <c r="J214" s="61">
        <f t="shared" ca="1" si="108"/>
        <v>2278.1287555490053</v>
      </c>
      <c r="K214" s="61">
        <f t="shared" ca="1" si="108"/>
        <v>2767.4457043537436</v>
      </c>
      <c r="L214" s="61">
        <f t="shared" ca="1" si="108"/>
        <v>3350.9855196030094</v>
      </c>
    </row>
    <row r="215" spans="3:12" x14ac:dyDescent="0.25">
      <c r="C215" s="1" t="s">
        <v>162</v>
      </c>
      <c r="D215" s="14" t="s">
        <v>3</v>
      </c>
      <c r="E215" s="20">
        <f>SUM(E212:E214)</f>
        <v>7099</v>
      </c>
      <c r="F215" s="20">
        <f>SUM(F212:F214)</f>
        <v>9316</v>
      </c>
      <c r="G215" s="20">
        <f>SUM(G212:G214)</f>
        <v>23087</v>
      </c>
      <c r="H215" s="20">
        <f t="shared" ref="H215:L215" ca="1" si="109">SUM(H212:H214)</f>
        <v>21431.688378981209</v>
      </c>
      <c r="I215" s="20">
        <f t="shared" ca="1" si="109"/>
        <v>26296.8747650033</v>
      </c>
      <c r="J215" s="20">
        <f t="shared" ca="1" si="109"/>
        <v>29938.098358012798</v>
      </c>
      <c r="K215" s="20">
        <f t="shared" ca="1" si="109"/>
        <v>35913.976664363116</v>
      </c>
      <c r="L215" s="20">
        <f t="shared" ca="1" si="109"/>
        <v>44021.847395870274</v>
      </c>
    </row>
    <row r="216" spans="3:12" x14ac:dyDescent="0.25">
      <c r="C216" s="1"/>
      <c r="D216" s="27"/>
      <c r="E216" s="112"/>
      <c r="F216" s="112"/>
      <c r="G216" s="112"/>
    </row>
    <row r="217" spans="3:12" x14ac:dyDescent="0.25">
      <c r="C217" s="1" t="s">
        <v>166</v>
      </c>
      <c r="D217" s="14" t="s">
        <v>3</v>
      </c>
      <c r="E217" s="20">
        <f t="shared" ref="E217:L217" si="110">E204+E209+E215</f>
        <v>82744</v>
      </c>
      <c r="F217" s="20">
        <f t="shared" si="110"/>
        <v>117977</v>
      </c>
      <c r="G217" s="20">
        <f t="shared" si="110"/>
        <v>153799</v>
      </c>
      <c r="H217" s="20">
        <f t="shared" ca="1" si="110"/>
        <v>210832.73067046807</v>
      </c>
      <c r="I217" s="20">
        <f t="shared" ca="1" si="110"/>
        <v>242944.52047588662</v>
      </c>
      <c r="J217" s="20">
        <f t="shared" ca="1" si="110"/>
        <v>269935.33650391211</v>
      </c>
      <c r="K217" s="20">
        <f t="shared" ca="1" si="110"/>
        <v>327459.97648805229</v>
      </c>
      <c r="L217" s="20">
        <f t="shared" ca="1" si="110"/>
        <v>397042.83789638884</v>
      </c>
    </row>
    <row r="218" spans="3:12" x14ac:dyDescent="0.25">
      <c r="C218" s="1"/>
      <c r="D218" s="27"/>
    </row>
    <row r="219" spans="3:12" x14ac:dyDescent="0.25">
      <c r="C219" t="s">
        <v>167</v>
      </c>
      <c r="D219" s="14" t="s">
        <v>3</v>
      </c>
      <c r="E219" s="67">
        <v>-11607</v>
      </c>
      <c r="F219" s="67">
        <f>-26551</f>
        <v>-26551</v>
      </c>
      <c r="G219" s="68">
        <f>-38972</f>
        <v>-38972</v>
      </c>
      <c r="H219" s="15">
        <f>-Loans!H57</f>
        <v>-41553.504860190602</v>
      </c>
      <c r="I219" s="15">
        <f>-Loans!I57</f>
        <v>-53925.544585858435</v>
      </c>
      <c r="J219" s="15">
        <f>-Loans!J57</f>
        <v>-67233.427284474004</v>
      </c>
      <c r="K219" s="15">
        <f>-Loans!K57</f>
        <v>-92738.255327883322</v>
      </c>
      <c r="L219" s="15">
        <f>-Loans!L57</f>
        <v>-130382.03175128622</v>
      </c>
    </row>
    <row r="220" spans="3:12" x14ac:dyDescent="0.25">
      <c r="C220" t="s">
        <v>168</v>
      </c>
      <c r="D220" s="14" t="s">
        <v>3</v>
      </c>
      <c r="E220" s="67">
        <v>-192</v>
      </c>
      <c r="F220" s="67">
        <v>-121</v>
      </c>
      <c r="G220" s="68">
        <v>-1575</v>
      </c>
      <c r="H220" s="114">
        <f ca="1">H143</f>
        <v>-886.86249937618436</v>
      </c>
      <c r="I220" s="114">
        <f t="shared" ref="I220:L220" ca="1" si="111">I143</f>
        <v>-1066.1653985590692</v>
      </c>
      <c r="J220" s="114">
        <f t="shared" ca="1" si="111"/>
        <v>-1260.3828974539433</v>
      </c>
      <c r="K220" s="114">
        <f t="shared" ca="1" si="111"/>
        <v>-1481.1946509433394</v>
      </c>
      <c r="L220" s="114">
        <f t="shared" ca="1" si="111"/>
        <v>-1730.5821168320815</v>
      </c>
    </row>
    <row r="221" spans="3:12" x14ac:dyDescent="0.25">
      <c r="D221" s="27"/>
    </row>
    <row r="222" spans="3:12" x14ac:dyDescent="0.25">
      <c r="C222" s="1" t="s">
        <v>169</v>
      </c>
      <c r="D222" s="27"/>
      <c r="F222" s="54"/>
    </row>
    <row r="223" spans="3:12" x14ac:dyDescent="0.25">
      <c r="C223" s="13" t="s">
        <v>170</v>
      </c>
      <c r="D223" s="14" t="s">
        <v>3</v>
      </c>
      <c r="E223" s="67">
        <v>-14222</v>
      </c>
      <c r="F223" s="67">
        <v>-18177</v>
      </c>
      <c r="G223" s="68">
        <v>-22588</v>
      </c>
      <c r="H223" s="19">
        <f ca="1">H146</f>
        <v>-33340.827699285845</v>
      </c>
      <c r="I223" s="19">
        <f t="shared" ref="I223:L224" ca="1" si="112">I146</f>
        <v>-38137.128178978084</v>
      </c>
      <c r="J223" s="19">
        <f t="shared" ca="1" si="112"/>
        <v>-42247.42624706537</v>
      </c>
      <c r="K223" s="19">
        <f t="shared" ca="1" si="112"/>
        <v>-51321.70778436392</v>
      </c>
      <c r="L223" s="19">
        <f t="shared" ca="1" si="112"/>
        <v>-62143.332877730674</v>
      </c>
    </row>
    <row r="224" spans="3:12" x14ac:dyDescent="0.25">
      <c r="C224" s="13" t="s">
        <v>171</v>
      </c>
      <c r="D224" s="14" t="s">
        <v>3</v>
      </c>
      <c r="E224" s="67">
        <v>-15602</v>
      </c>
      <c r="F224" s="67">
        <v>-19204</v>
      </c>
      <c r="G224" s="68">
        <v>-24335</v>
      </c>
      <c r="H224" s="19">
        <f ca="1">H147</f>
        <v>-35545.39635016938</v>
      </c>
      <c r="I224" s="19">
        <f t="shared" ca="1" si="112"/>
        <v>-40983.810205435067</v>
      </c>
      <c r="J224" s="19">
        <f t="shared" ca="1" si="112"/>
        <v>-45760.910442398788</v>
      </c>
      <c r="K224" s="19">
        <f t="shared" ca="1" si="112"/>
        <v>-56027.168661509277</v>
      </c>
      <c r="L224" s="19">
        <f t="shared" ca="1" si="112"/>
        <v>-68370.512283932607</v>
      </c>
    </row>
    <row r="225" spans="3:12" x14ac:dyDescent="0.25">
      <c r="C225" s="13" t="s">
        <v>172</v>
      </c>
      <c r="D225" s="14" t="s">
        <v>3</v>
      </c>
      <c r="E225" s="67"/>
      <c r="F225" s="67">
        <v>-727</v>
      </c>
      <c r="G225" s="68">
        <v>-702</v>
      </c>
      <c r="H225" s="15">
        <f>'PPE &amp; Intangibles'!H28</f>
        <v>-496.83251158927089</v>
      </c>
      <c r="I225" s="15">
        <f>'PPE &amp; Intangibles'!I28</f>
        <v>-577.59258924820961</v>
      </c>
      <c r="J225" s="15">
        <f>'PPE &amp; Intangibles'!J28</f>
        <v>-647.87565063172451</v>
      </c>
      <c r="K225" s="15">
        <f>'PPE &amp; Intangibles'!K28</f>
        <v>-720.7679806769238</v>
      </c>
      <c r="L225" s="15">
        <f>'PPE &amp; Intangibles'!L28</f>
        <v>-839.66409915063377</v>
      </c>
    </row>
    <row r="226" spans="3:12" x14ac:dyDescent="0.25">
      <c r="C226" s="13" t="s">
        <v>173</v>
      </c>
      <c r="D226" s="14" t="s">
        <v>3</v>
      </c>
      <c r="E226" s="67">
        <v>-823</v>
      </c>
      <c r="F226" s="67">
        <v>-1287</v>
      </c>
      <c r="G226" s="68">
        <v>-1617</v>
      </c>
      <c r="H226" s="15">
        <f>'PPE &amp; Intangibles'!H23</f>
        <v>-1968.0231432168332</v>
      </c>
      <c r="I226" s="15">
        <f>'PPE &amp; Intangibles'!I23</f>
        <v>-2519.8621342326651</v>
      </c>
      <c r="J226" s="15">
        <f>'PPE &amp; Intangibles'!J23</f>
        <v>-3117.5867776252862</v>
      </c>
      <c r="K226" s="15">
        <f>'PPE &amp; Intangibles'!K23</f>
        <v>-3777.012631728654</v>
      </c>
      <c r="L226" s="15">
        <f>'PPE &amp; Intangibles'!L23</f>
        <v>-4580.801186282476</v>
      </c>
    </row>
    <row r="227" spans="3:12" x14ac:dyDescent="0.25">
      <c r="C227" s="13" t="s">
        <v>174</v>
      </c>
      <c r="D227" s="14" t="s">
        <v>3</v>
      </c>
      <c r="E227" s="67">
        <v>-899</v>
      </c>
      <c r="F227" s="67">
        <v>-1331</v>
      </c>
      <c r="G227" s="68">
        <v>-1961</v>
      </c>
      <c r="H227" s="15">
        <f>+'PPE &amp; Intangibles'!H33</f>
        <v>-2644.293476015157</v>
      </c>
      <c r="I227" s="15">
        <f>+'PPE &amp; Intangibles'!I33</f>
        <v>-3564.9213438665438</v>
      </c>
      <c r="J227" s="15">
        <f>+'PPE &amp; Intangibles'!J33</f>
        <v>-4562.0998197763638</v>
      </c>
      <c r="K227" s="15">
        <f>+'PPE &amp; Intangibles'!K33</f>
        <v>-5662.2138529506637</v>
      </c>
      <c r="L227" s="15">
        <f>+'PPE &amp; Intangibles'!L33</f>
        <v>-7003.1668396543582</v>
      </c>
    </row>
    <row r="228" spans="3:12" x14ac:dyDescent="0.25">
      <c r="C228" s="13" t="s">
        <v>175</v>
      </c>
      <c r="D228" s="16" t="s">
        <v>3</v>
      </c>
      <c r="E228" s="71">
        <f>-21499-SUM(E224:E227)</f>
        <v>-4175</v>
      </c>
      <c r="F228" s="71">
        <f>-27852-SUM(F224:F227)+260</f>
        <v>-5043</v>
      </c>
      <c r="G228" s="71">
        <f>-35621-SUM(G224:G227)+1206</f>
        <v>-5800</v>
      </c>
      <c r="H228" s="61">
        <f ca="1">H148</f>
        <v>-8593.5723906804942</v>
      </c>
      <c r="I228" s="61">
        <f t="shared" ref="I228:L228" ca="1" si="113">I148</f>
        <v>-10046.462752122568</v>
      </c>
      <c r="J228" s="61">
        <f t="shared" ca="1" si="113"/>
        <v>-11369.235710751856</v>
      </c>
      <c r="K228" s="61">
        <f t="shared" ca="1" si="113"/>
        <v>-14102.768237753333</v>
      </c>
      <c r="L228" s="61">
        <f t="shared" ca="1" si="113"/>
        <v>-17429.479645744286</v>
      </c>
    </row>
    <row r="229" spans="3:12" x14ac:dyDescent="0.25">
      <c r="C229" s="73" t="s">
        <v>176</v>
      </c>
      <c r="D229" s="14" t="s">
        <v>3</v>
      </c>
      <c r="E229" s="20">
        <f t="shared" ref="E229:L229" si="114">SUM(E223:E228)</f>
        <v>-35721</v>
      </c>
      <c r="F229" s="20">
        <f t="shared" si="114"/>
        <v>-45769</v>
      </c>
      <c r="G229" s="20">
        <f t="shared" si="114"/>
        <v>-57003</v>
      </c>
      <c r="H229" s="20">
        <f t="shared" ca="1" si="114"/>
        <v>-82588.945570956974</v>
      </c>
      <c r="I229" s="20">
        <f t="shared" ca="1" si="114"/>
        <v>-95829.777203883132</v>
      </c>
      <c r="J229" s="20">
        <f t="shared" ca="1" si="114"/>
        <v>-107705.13464824941</v>
      </c>
      <c r="K229" s="20">
        <f t="shared" ca="1" si="114"/>
        <v>-131611.63914898277</v>
      </c>
      <c r="L229" s="20">
        <f t="shared" ca="1" si="114"/>
        <v>-160366.95693249503</v>
      </c>
    </row>
    <row r="230" spans="3:12" x14ac:dyDescent="0.25">
      <c r="D230" s="27"/>
      <c r="E230" s="54"/>
      <c r="G230" s="112"/>
    </row>
    <row r="231" spans="3:12" x14ac:dyDescent="0.25">
      <c r="C231" s="1" t="s">
        <v>177</v>
      </c>
      <c r="D231" s="14" t="s">
        <v>3</v>
      </c>
      <c r="E231" s="20">
        <f t="shared" ref="E231:L231" si="115">+E217+E219+E220+E229</f>
        <v>35224</v>
      </c>
      <c r="F231" s="20">
        <f t="shared" si="115"/>
        <v>45536</v>
      </c>
      <c r="G231" s="20">
        <f t="shared" si="115"/>
        <v>56249</v>
      </c>
      <c r="H231" s="20">
        <f t="shared" ca="1" si="115"/>
        <v>85803.4177399443</v>
      </c>
      <c r="I231" s="20">
        <f t="shared" ca="1" si="115"/>
        <v>92123.033287585975</v>
      </c>
      <c r="J231" s="20">
        <f t="shared" ca="1" si="115"/>
        <v>93736.391673734746</v>
      </c>
      <c r="K231" s="20">
        <f t="shared" ca="1" si="115"/>
        <v>101628.88736024286</v>
      </c>
      <c r="L231" s="20">
        <f t="shared" ca="1" si="115"/>
        <v>104563.26709577549</v>
      </c>
    </row>
    <row r="232" spans="3:12" x14ac:dyDescent="0.25">
      <c r="C232" s="13" t="s">
        <v>178</v>
      </c>
      <c r="D232" s="16" t="s">
        <v>3</v>
      </c>
      <c r="E232" s="70">
        <v>-8102</v>
      </c>
      <c r="F232" s="70">
        <v>-9413</v>
      </c>
      <c r="G232" s="71">
        <v>-12036</v>
      </c>
      <c r="H232" s="61">
        <f ca="1">H231*-$D$15</f>
        <v>-17160.683547988861</v>
      </c>
      <c r="I232" s="61">
        <f t="shared" ref="I232:L232" ca="1" si="116">I231*-$D$15</f>
        <v>-18424.606657517197</v>
      </c>
      <c r="J232" s="61">
        <f t="shared" ca="1" si="116"/>
        <v>-18747.278334746949</v>
      </c>
      <c r="K232" s="61">
        <f t="shared" ca="1" si="116"/>
        <v>-20325.777472048576</v>
      </c>
      <c r="L232" s="61">
        <f t="shared" ca="1" si="116"/>
        <v>-20912.6534191551</v>
      </c>
    </row>
    <row r="233" spans="3:12" x14ac:dyDescent="0.25">
      <c r="C233" s="83" t="s">
        <v>179</v>
      </c>
      <c r="D233" s="14" t="s">
        <v>3</v>
      </c>
      <c r="E233" s="20">
        <f t="shared" ref="E233:G233" si="117">SUM(E231:E232)</f>
        <v>27122</v>
      </c>
      <c r="F233" s="20">
        <f t="shared" si="117"/>
        <v>36123</v>
      </c>
      <c r="G233" s="20">
        <f t="shared" si="117"/>
        <v>44213</v>
      </c>
      <c r="H233" s="20">
        <f ca="1">SUM(H231:H232)</f>
        <v>68642.734191955446</v>
      </c>
      <c r="I233" s="20">
        <f t="shared" ref="I233:L233" ca="1" si="118">SUM(I231:I232)</f>
        <v>73698.426630068774</v>
      </c>
      <c r="J233" s="20">
        <f t="shared" ca="1" si="118"/>
        <v>74989.113338987794</v>
      </c>
      <c r="K233" s="20">
        <f t="shared" ca="1" si="118"/>
        <v>81303.109888194289</v>
      </c>
      <c r="L233" s="20">
        <f t="shared" ca="1" si="118"/>
        <v>83650.613676620385</v>
      </c>
    </row>
    <row r="234" spans="3:12" x14ac:dyDescent="0.25">
      <c r="C234" t="s">
        <v>180</v>
      </c>
      <c r="D234" s="14"/>
      <c r="E234" s="68">
        <v>-34</v>
      </c>
      <c r="F234" s="68">
        <v>-1</v>
      </c>
      <c r="G234" s="68">
        <v>-4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</row>
    <row r="235" spans="3:12" x14ac:dyDescent="0.25">
      <c r="C235" s="1" t="s">
        <v>181</v>
      </c>
      <c r="D235" s="14"/>
      <c r="E235" s="20">
        <f>SUM(E233:E234)</f>
        <v>27088</v>
      </c>
      <c r="F235" s="20">
        <f>SUM(F233:F234)</f>
        <v>36122</v>
      </c>
      <c r="G235" s="20">
        <f>SUM(G233:G234)</f>
        <v>44209</v>
      </c>
      <c r="H235" s="20">
        <f t="shared" ref="H235:L235" ca="1" si="119">SUM(H233:H234)</f>
        <v>68642.734191955446</v>
      </c>
      <c r="I235" s="20">
        <f t="shared" ca="1" si="119"/>
        <v>73698.426630068774</v>
      </c>
      <c r="J235" s="20">
        <f t="shared" ca="1" si="119"/>
        <v>74989.113338987794</v>
      </c>
      <c r="K235" s="20">
        <f t="shared" ca="1" si="119"/>
        <v>81303.109888194289</v>
      </c>
      <c r="L235" s="20">
        <f t="shared" ca="1" si="119"/>
        <v>83650.613676620385</v>
      </c>
    </row>
    <row r="236" spans="3:12" x14ac:dyDescent="0.25">
      <c r="C236" s="1"/>
      <c r="D236" s="14"/>
      <c r="E236" s="115"/>
      <c r="F236" s="115"/>
      <c r="G236" s="115"/>
      <c r="H236" s="20"/>
      <c r="I236" s="20"/>
      <c r="J236" s="20"/>
      <c r="K236" s="20"/>
      <c r="L236" s="20"/>
    </row>
    <row r="237" spans="3:12" x14ac:dyDescent="0.25">
      <c r="D237" s="27"/>
      <c r="F237" s="51"/>
      <c r="G237" s="51"/>
    </row>
    <row r="238" spans="3:12" x14ac:dyDescent="0.25">
      <c r="C238" t="s">
        <v>182</v>
      </c>
      <c r="D238" s="14" t="s">
        <v>183</v>
      </c>
      <c r="E238" s="116">
        <v>193.62</v>
      </c>
      <c r="F238" s="117">
        <v>186.559</v>
      </c>
      <c r="G238" s="118">
        <v>195.96199999999999</v>
      </c>
      <c r="H238" s="119">
        <f ca="1">G238+H277/$J$9</f>
        <v>195.96199999999999</v>
      </c>
      <c r="I238" s="119">
        <f t="shared" ref="I238:L238" ca="1" si="120">H238+I277/$J$9</f>
        <v>195.96199999999999</v>
      </c>
      <c r="J238" s="119">
        <f t="shared" ca="1" si="120"/>
        <v>195.96199999999999</v>
      </c>
      <c r="K238" s="119">
        <f t="shared" ca="1" si="120"/>
        <v>195.96199999999999</v>
      </c>
      <c r="L238" s="119">
        <f t="shared" ca="1" si="120"/>
        <v>195.96199999999999</v>
      </c>
    </row>
    <row r="239" spans="3:12" x14ac:dyDescent="0.25">
      <c r="C239" t="s">
        <v>184</v>
      </c>
      <c r="D239" s="14" t="s">
        <v>183</v>
      </c>
      <c r="E239" s="116"/>
      <c r="F239" s="117"/>
      <c r="G239" s="118">
        <v>199.30549199999999</v>
      </c>
      <c r="H239" s="119">
        <f ca="1">G239+'Capital &amp; Dividends'!H27</f>
        <v>199.30549199999999</v>
      </c>
      <c r="I239" s="119">
        <f ca="1">H239+'Capital &amp; Dividends'!I27</f>
        <v>199.30549199999999</v>
      </c>
      <c r="J239" s="119">
        <f ca="1">I239+'Capital &amp; Dividends'!J27</f>
        <v>199.30549199999999</v>
      </c>
      <c r="K239" s="119">
        <f ca="1">J239+'Capital &amp; Dividends'!K27</f>
        <v>199.30549199999999</v>
      </c>
      <c r="L239" s="119">
        <f ca="1">K239+'Capital &amp; Dividends'!L27</f>
        <v>199.30549199999999</v>
      </c>
    </row>
    <row r="240" spans="3:12" x14ac:dyDescent="0.25">
      <c r="C240" t="s">
        <v>185</v>
      </c>
      <c r="D240" s="14" t="s">
        <v>183</v>
      </c>
      <c r="E240" s="117">
        <v>190.05</v>
      </c>
      <c r="F240" s="117">
        <v>190.07</v>
      </c>
      <c r="G240" s="118">
        <v>197.60400000000001</v>
      </c>
      <c r="H240" s="116">
        <f ca="1">$G$240-$G$238+H238</f>
        <v>197.60400000000001</v>
      </c>
      <c r="I240" s="116">
        <f t="shared" ref="I240:L240" ca="1" si="121">$G$240-$G$238+I238</f>
        <v>197.60400000000001</v>
      </c>
      <c r="J240" s="116">
        <f t="shared" ca="1" si="121"/>
        <v>197.60400000000001</v>
      </c>
      <c r="K240" s="116">
        <f t="shared" ca="1" si="121"/>
        <v>197.60400000000001</v>
      </c>
      <c r="L240" s="116">
        <f t="shared" ca="1" si="121"/>
        <v>197.60400000000001</v>
      </c>
    </row>
    <row r="241" spans="2:12" x14ac:dyDescent="0.25">
      <c r="D241" s="27"/>
    </row>
    <row r="242" spans="2:12" x14ac:dyDescent="0.25">
      <c r="C242" s="1" t="s">
        <v>186</v>
      </c>
      <c r="D242" s="14" t="s">
        <v>6</v>
      </c>
      <c r="E242" s="20">
        <v>148.78</v>
      </c>
      <c r="F242" s="20">
        <v>190.05</v>
      </c>
      <c r="G242" s="20">
        <v>223.73</v>
      </c>
      <c r="H242" s="20">
        <f ca="1">IFERROR(+H233/H238,"N/A")</f>
        <v>350.28594417262252</v>
      </c>
      <c r="I242" s="20">
        <f ca="1">IFERROR(+I233/I238,"N/A")</f>
        <v>376.08529526167717</v>
      </c>
      <c r="J242" s="20">
        <f ca="1">IFERROR(+J233/J238,"N/A")</f>
        <v>382.67170848933876</v>
      </c>
      <c r="K242" s="20">
        <f ca="1">IFERROR(+K233/K238,"N/A")</f>
        <v>414.89222343206484</v>
      </c>
      <c r="L242" s="20">
        <f ca="1">IFERROR(+L233/L238,"N/A")</f>
        <v>426.87160611047238</v>
      </c>
    </row>
    <row r="244" spans="2:12" x14ac:dyDescent="0.25">
      <c r="B244" s="2"/>
      <c r="C244" s="2"/>
      <c r="D244" s="3"/>
      <c r="E244" s="4" t="s">
        <v>55</v>
      </c>
      <c r="F244" s="4"/>
      <c r="G244" s="4"/>
      <c r="H244" s="5" t="s">
        <v>0</v>
      </c>
      <c r="I244" s="4"/>
      <c r="J244" s="4"/>
      <c r="K244" s="4"/>
      <c r="L244" s="4"/>
    </row>
    <row r="245" spans="2:12" x14ac:dyDescent="0.25">
      <c r="B245" s="6" t="s">
        <v>187</v>
      </c>
      <c r="C245" s="6"/>
      <c r="D245" s="7" t="s">
        <v>1</v>
      </c>
      <c r="E245" s="8">
        <f t="shared" ref="E245:L245" si="122">E200</f>
        <v>43465</v>
      </c>
      <c r="F245" s="8">
        <f t="shared" si="122"/>
        <v>43830</v>
      </c>
      <c r="G245" s="8">
        <f t="shared" si="122"/>
        <v>44196</v>
      </c>
      <c r="H245" s="8">
        <f t="shared" si="122"/>
        <v>44561</v>
      </c>
      <c r="I245" s="8">
        <f t="shared" si="122"/>
        <v>44926</v>
      </c>
      <c r="J245" s="8">
        <f t="shared" si="122"/>
        <v>45291</v>
      </c>
      <c r="K245" s="8">
        <f t="shared" si="122"/>
        <v>45657</v>
      </c>
      <c r="L245" s="8">
        <f t="shared" si="122"/>
        <v>46022</v>
      </c>
    </row>
    <row r="246" spans="2:12" x14ac:dyDescent="0.25">
      <c r="C246" s="1" t="s">
        <v>188</v>
      </c>
      <c r="D246" s="27"/>
      <c r="H246" s="51"/>
      <c r="I246" s="51"/>
      <c r="J246" s="51"/>
      <c r="K246" s="51"/>
      <c r="L246" s="51"/>
    </row>
    <row r="247" spans="2:12" x14ac:dyDescent="0.25">
      <c r="C247" s="38" t="s">
        <v>189</v>
      </c>
      <c r="D247" s="14" t="s">
        <v>3</v>
      </c>
      <c r="E247" s="99"/>
      <c r="F247" s="20">
        <f>F231</f>
        <v>45536</v>
      </c>
      <c r="G247" s="20">
        <f>G231</f>
        <v>56249</v>
      </c>
      <c r="H247" s="20">
        <f t="shared" ref="H247:L247" ca="1" si="123">H231</f>
        <v>85803.4177399443</v>
      </c>
      <c r="I247" s="20">
        <f t="shared" ca="1" si="123"/>
        <v>92123.033287585975</v>
      </c>
      <c r="J247" s="20">
        <f t="shared" ca="1" si="123"/>
        <v>93736.391673734746</v>
      </c>
      <c r="K247" s="20">
        <f t="shared" ca="1" si="123"/>
        <v>101628.88736024286</v>
      </c>
      <c r="L247" s="20">
        <f t="shared" ca="1" si="123"/>
        <v>104563.26709577549</v>
      </c>
    </row>
    <row r="248" spans="2:12" x14ac:dyDescent="0.25">
      <c r="C248" s="38" t="s">
        <v>190</v>
      </c>
      <c r="D248" s="27"/>
      <c r="E248" s="54"/>
    </row>
    <row r="249" spans="2:12" x14ac:dyDescent="0.25">
      <c r="C249" s="13" t="s">
        <v>191</v>
      </c>
      <c r="D249" s="14" t="s">
        <v>3</v>
      </c>
      <c r="E249" s="114"/>
      <c r="F249" s="114">
        <f>-F225-F226</f>
        <v>2014</v>
      </c>
      <c r="G249" s="120">
        <f>-G225-G226</f>
        <v>2319</v>
      </c>
      <c r="H249" s="114">
        <f t="shared" ref="H249:L249" si="124">-H225-H226</f>
        <v>2464.8556548061042</v>
      </c>
      <c r="I249" s="114">
        <f t="shared" si="124"/>
        <v>3097.4547234808747</v>
      </c>
      <c r="J249" s="114">
        <f t="shared" si="124"/>
        <v>3765.4624282570107</v>
      </c>
      <c r="K249" s="114">
        <f t="shared" si="124"/>
        <v>4497.7806124055778</v>
      </c>
      <c r="L249" s="114">
        <f t="shared" si="124"/>
        <v>5420.4652854331098</v>
      </c>
    </row>
    <row r="250" spans="2:12" x14ac:dyDescent="0.25">
      <c r="C250" s="13" t="s">
        <v>192</v>
      </c>
      <c r="D250" s="14" t="s">
        <v>3</v>
      </c>
      <c r="E250" s="114"/>
      <c r="F250" s="114">
        <f>-F227</f>
        <v>1331</v>
      </c>
      <c r="G250" s="120">
        <f>-G227</f>
        <v>1961</v>
      </c>
      <c r="H250" s="114">
        <f t="shared" ref="H250:L250" si="125">-H227</f>
        <v>2644.293476015157</v>
      </c>
      <c r="I250" s="114">
        <f t="shared" si="125"/>
        <v>3564.9213438665438</v>
      </c>
      <c r="J250" s="114">
        <f t="shared" si="125"/>
        <v>4562.0998197763638</v>
      </c>
      <c r="K250" s="114">
        <f t="shared" si="125"/>
        <v>5662.2138529506637</v>
      </c>
      <c r="L250" s="114">
        <f t="shared" si="125"/>
        <v>7003.1668396543582</v>
      </c>
    </row>
    <row r="251" spans="2:12" x14ac:dyDescent="0.25">
      <c r="C251" s="13" t="s">
        <v>193</v>
      </c>
      <c r="D251" s="14" t="s">
        <v>3</v>
      </c>
      <c r="E251" s="114"/>
      <c r="F251" s="114">
        <f>-F219</f>
        <v>26551</v>
      </c>
      <c r="G251" s="120">
        <f>-G219</f>
        <v>38972</v>
      </c>
      <c r="H251" s="114">
        <f t="shared" ref="H251:L252" si="126">-H219</f>
        <v>41553.504860190602</v>
      </c>
      <c r="I251" s="114">
        <f t="shared" si="126"/>
        <v>53925.544585858435</v>
      </c>
      <c r="J251" s="114">
        <f t="shared" si="126"/>
        <v>67233.427284474004</v>
      </c>
      <c r="K251" s="114">
        <f t="shared" si="126"/>
        <v>92738.255327883322</v>
      </c>
      <c r="L251" s="114">
        <f t="shared" si="126"/>
        <v>130382.03175128622</v>
      </c>
    </row>
    <row r="252" spans="2:12" x14ac:dyDescent="0.25">
      <c r="C252" s="13" t="s">
        <v>194</v>
      </c>
      <c r="D252" s="14" t="s">
        <v>3</v>
      </c>
      <c r="E252" s="114"/>
      <c r="F252" s="19">
        <f>-F220</f>
        <v>121</v>
      </c>
      <c r="G252" s="20">
        <f>-G220</f>
        <v>1575</v>
      </c>
      <c r="H252" s="19">
        <f t="shared" ca="1" si="126"/>
        <v>886.86249937618436</v>
      </c>
      <c r="I252" s="19">
        <f t="shared" ca="1" si="126"/>
        <v>1066.1653985590692</v>
      </c>
      <c r="J252" s="19">
        <f t="shared" ca="1" si="126"/>
        <v>1260.3828974539433</v>
      </c>
      <c r="K252" s="19">
        <f t="shared" ca="1" si="126"/>
        <v>1481.1946509433394</v>
      </c>
      <c r="L252" s="19">
        <f t="shared" ca="1" si="126"/>
        <v>1730.5821168320815</v>
      </c>
    </row>
    <row r="253" spans="2:12" x14ac:dyDescent="0.25">
      <c r="C253" s="13" t="s">
        <v>195</v>
      </c>
      <c r="D253" s="14" t="s">
        <v>3</v>
      </c>
      <c r="E253" s="67"/>
      <c r="F253" s="19">
        <f>F190-E190</f>
        <v>2183</v>
      </c>
      <c r="G253" s="20">
        <f>G190-F190</f>
        <v>509</v>
      </c>
      <c r="H253" s="19">
        <f t="shared" ref="H253:L253" si="127">H190-G190</f>
        <v>0</v>
      </c>
      <c r="I253" s="19">
        <f t="shared" si="127"/>
        <v>0</v>
      </c>
      <c r="J253" s="19">
        <f t="shared" si="127"/>
        <v>0</v>
      </c>
      <c r="K253" s="19">
        <f t="shared" si="127"/>
        <v>0</v>
      </c>
      <c r="L253" s="19">
        <f t="shared" si="127"/>
        <v>0</v>
      </c>
    </row>
    <row r="254" spans="2:12" x14ac:dyDescent="0.25">
      <c r="C254" s="38" t="s">
        <v>196</v>
      </c>
      <c r="D254" s="27"/>
      <c r="F254" s="100"/>
      <c r="G254" s="121"/>
      <c r="H254" s="100"/>
      <c r="I254" s="100"/>
      <c r="J254" s="100"/>
      <c r="K254" s="100"/>
      <c r="L254" s="100"/>
    </row>
    <row r="255" spans="2:12" x14ac:dyDescent="0.25">
      <c r="C255" s="13" t="s">
        <v>197</v>
      </c>
      <c r="D255" s="27"/>
      <c r="F255" s="19">
        <f>F188-E188</f>
        <v>2764</v>
      </c>
      <c r="G255" s="20">
        <f>G188-F188</f>
        <v>-2147</v>
      </c>
      <c r="H255" s="19">
        <f t="shared" ref="H255:L255" si="128">H188-G188</f>
        <v>0</v>
      </c>
      <c r="I255" s="19">
        <f t="shared" si="128"/>
        <v>0</v>
      </c>
      <c r="J255" s="19">
        <f t="shared" si="128"/>
        <v>0</v>
      </c>
      <c r="K255" s="19">
        <f t="shared" si="128"/>
        <v>0</v>
      </c>
      <c r="L255" s="19">
        <f t="shared" si="128"/>
        <v>0</v>
      </c>
    </row>
    <row r="256" spans="2:12" x14ac:dyDescent="0.25">
      <c r="C256" s="13" t="s">
        <v>198</v>
      </c>
      <c r="D256" s="14" t="s">
        <v>3</v>
      </c>
      <c r="E256" s="67"/>
      <c r="F256" s="19">
        <f>E167-F167</f>
        <v>-35038</v>
      </c>
      <c r="G256" s="20">
        <f>F167-G167</f>
        <v>-103276</v>
      </c>
      <c r="H256" s="19">
        <f t="shared" ref="H256:L256" si="129">G167-H167</f>
        <v>-43384.244196341897</v>
      </c>
      <c r="I256" s="19">
        <f t="shared" si="129"/>
        <v>-56594.260252817709</v>
      </c>
      <c r="J256" s="19">
        <f t="shared" si="129"/>
        <v>-61461.543897296535</v>
      </c>
      <c r="K256" s="19">
        <f t="shared" si="129"/>
        <v>-57232.80230148189</v>
      </c>
      <c r="L256" s="19">
        <f t="shared" si="129"/>
        <v>-57838.430596319027</v>
      </c>
    </row>
    <row r="257" spans="3:15" x14ac:dyDescent="0.25">
      <c r="C257" s="13" t="s">
        <v>199</v>
      </c>
      <c r="D257" s="14" t="s">
        <v>3</v>
      </c>
      <c r="E257" s="67"/>
      <c r="F257" s="19">
        <f>E162-F162</f>
        <v>-1013</v>
      </c>
      <c r="G257" s="20">
        <f>F162-G162</f>
        <v>-1931</v>
      </c>
      <c r="H257" s="19">
        <f t="shared" ref="H257:L257" si="130">G162-H162</f>
        <v>-1400.7164266220916</v>
      </c>
      <c r="I257" s="19">
        <f t="shared" si="130"/>
        <v>-1361.3945012418362</v>
      </c>
      <c r="J257" s="19">
        <f t="shared" si="130"/>
        <v>-1478.4786924650607</v>
      </c>
      <c r="K257" s="19">
        <f t="shared" si="130"/>
        <v>-1376.7548510366705</v>
      </c>
      <c r="L257" s="19">
        <f t="shared" si="130"/>
        <v>-1391.3234491012881</v>
      </c>
    </row>
    <row r="258" spans="3:15" x14ac:dyDescent="0.25">
      <c r="C258" s="13" t="s">
        <v>200</v>
      </c>
      <c r="D258" s="14" t="s">
        <v>3</v>
      </c>
      <c r="E258" s="67"/>
      <c r="F258" s="19">
        <f>E166-F166+F219</f>
        <v>-157237</v>
      </c>
      <c r="G258" s="20">
        <f>F166-G166+G219</f>
        <v>-86318</v>
      </c>
      <c r="H258" s="19">
        <f t="shared" ref="H258:L258" si="131">G166-H166+H219</f>
        <v>-182070.4667757639</v>
      </c>
      <c r="I258" s="19">
        <f t="shared" si="131"/>
        <v>-96917.476240396412</v>
      </c>
      <c r="J258" s="19">
        <f t="shared" si="131"/>
        <v>-125043.5290586932</v>
      </c>
      <c r="K258" s="19">
        <f t="shared" si="131"/>
        <v>-227996.90437718449</v>
      </c>
      <c r="L258" s="19">
        <f t="shared" si="131"/>
        <v>-268057.44072900107</v>
      </c>
      <c r="O258" s="67"/>
    </row>
    <row r="259" spans="3:15" x14ac:dyDescent="0.25">
      <c r="C259" s="13" t="s">
        <v>201</v>
      </c>
      <c r="D259" s="14" t="s">
        <v>3</v>
      </c>
      <c r="E259" s="67"/>
      <c r="F259" s="19">
        <f>E168-F168</f>
        <v>-4274</v>
      </c>
      <c r="G259" s="20">
        <f>F168-G168</f>
        <v>-6598</v>
      </c>
      <c r="H259" s="19">
        <f t="shared" ref="H259:L259" si="132">G168-H168</f>
        <v>-1097.1202943197641</v>
      </c>
      <c r="I259" s="19">
        <f t="shared" si="132"/>
        <v>-3327.7488353367626</v>
      </c>
      <c r="J259" s="19">
        <f t="shared" si="132"/>
        <v>-3613.9456582444654</v>
      </c>
      <c r="K259" s="19">
        <f t="shared" si="132"/>
        <v>-3365.2951792462554</v>
      </c>
      <c r="L259" s="19">
        <f t="shared" si="132"/>
        <v>-3400.906190747919</v>
      </c>
    </row>
    <row r="260" spans="3:15" x14ac:dyDescent="0.25">
      <c r="C260" s="13" t="s">
        <v>202</v>
      </c>
      <c r="D260" s="14" t="s">
        <v>3</v>
      </c>
      <c r="E260" s="67"/>
      <c r="F260" s="19">
        <f>E172-F172</f>
        <v>-5814</v>
      </c>
      <c r="G260" s="20">
        <f>F172-G172</f>
        <v>-36212</v>
      </c>
      <c r="H260" s="19">
        <f t="shared" ref="H260:L260" si="133">G172-H172</f>
        <v>-4864.1760000000068</v>
      </c>
      <c r="I260" s="19">
        <f t="shared" si="133"/>
        <v>-2909.0474799999938</v>
      </c>
      <c r="J260" s="19">
        <f t="shared" si="133"/>
        <v>-2854.288939200007</v>
      </c>
      <c r="K260" s="19">
        <f t="shared" si="133"/>
        <v>-2968.4604967680061</v>
      </c>
      <c r="L260" s="19">
        <f t="shared" si="133"/>
        <v>-3087.1989166387211</v>
      </c>
    </row>
    <row r="261" spans="3:15" x14ac:dyDescent="0.25">
      <c r="C261" s="13" t="s">
        <v>203</v>
      </c>
      <c r="D261" s="14" t="s">
        <v>3</v>
      </c>
      <c r="E261" s="67"/>
      <c r="F261" s="19">
        <f>F177-E177</f>
        <v>130698</v>
      </c>
      <c r="G261" s="20">
        <f>G177-F177</f>
        <v>215223</v>
      </c>
      <c r="H261" s="19">
        <f t="shared" ref="H261:L261" si="134">H177-G177</f>
        <v>166853.99675747077</v>
      </c>
      <c r="I261" s="19">
        <f t="shared" si="134"/>
        <v>159376.36483258219</v>
      </c>
      <c r="J261" s="19">
        <f t="shared" si="134"/>
        <v>173083.23140174989</v>
      </c>
      <c r="K261" s="19">
        <f t="shared" si="134"/>
        <v>161174.57740845531</v>
      </c>
      <c r="L261" s="19">
        <f t="shared" si="134"/>
        <v>162880.10082442896</v>
      </c>
    </row>
    <row r="262" spans="3:15" x14ac:dyDescent="0.25">
      <c r="C262" s="13" t="s">
        <v>204</v>
      </c>
      <c r="D262" s="14" t="s">
        <v>3</v>
      </c>
      <c r="E262" s="67"/>
      <c r="F262" s="19">
        <f>F182-E182-F252</f>
        <v>8215</v>
      </c>
      <c r="G262" s="20">
        <f>G182-F182-G252</f>
        <v>26995</v>
      </c>
      <c r="H262" s="19">
        <f t="shared" ref="H262:L262" ca="1" si="135">H182-G182-H252</f>
        <v>3291.3380006238149</v>
      </c>
      <c r="I262" s="19">
        <f t="shared" ca="1" si="135"/>
        <v>1432.6306226909273</v>
      </c>
      <c r="J262" s="19">
        <f t="shared" ca="1" si="135"/>
        <v>1191.3769633960615</v>
      </c>
      <c r="K262" s="19">
        <f t="shared" ca="1" si="135"/>
        <v>1068.6356043406565</v>
      </c>
      <c r="L262" s="19">
        <f t="shared" ca="1" si="135"/>
        <v>921.24134866327427</v>
      </c>
    </row>
    <row r="263" spans="3:15" x14ac:dyDescent="0.25">
      <c r="C263" s="13" t="s">
        <v>205</v>
      </c>
      <c r="D263" s="16" t="s">
        <v>3</v>
      </c>
      <c r="E263" s="67"/>
      <c r="F263" s="19">
        <f>E171-F171+F232</f>
        <v>-10641</v>
      </c>
      <c r="G263" s="20">
        <f>F171-G171+G232</f>
        <v>-13784</v>
      </c>
      <c r="H263" s="19">
        <f ca="1">-H44</f>
        <v>-18361.931396348082</v>
      </c>
      <c r="I263" s="19">
        <f t="shared" ref="I263:L263" ca="1" si="136">-I44</f>
        <v>-18977.344857242711</v>
      </c>
      <c r="J263" s="19">
        <f t="shared" ca="1" si="136"/>
        <v>-18747.278334746949</v>
      </c>
      <c r="K263" s="19">
        <f t="shared" ca="1" si="136"/>
        <v>-19919.261922607606</v>
      </c>
      <c r="L263" s="19">
        <f t="shared" ca="1" si="136"/>
        <v>-20076.147282388894</v>
      </c>
    </row>
    <row r="264" spans="3:15" x14ac:dyDescent="0.25">
      <c r="C264" s="83" t="s">
        <v>206</v>
      </c>
      <c r="D264" s="14" t="s">
        <v>3</v>
      </c>
      <c r="E264" s="74"/>
      <c r="F264" s="74">
        <f>SUM(F247:F263)</f>
        <v>5396</v>
      </c>
      <c r="G264" s="74">
        <f t="shared" ref="G264:L264" si="137">SUM(G247:G263)</f>
        <v>93537</v>
      </c>
      <c r="H264" s="74">
        <f t="shared" ca="1" si="137"/>
        <v>52319.613899031174</v>
      </c>
      <c r="I264" s="74">
        <f t="shared" ca="1" si="137"/>
        <v>134498.84262758857</v>
      </c>
      <c r="J264" s="74">
        <f t="shared" ca="1" si="137"/>
        <v>131633.30788819582</v>
      </c>
      <c r="K264" s="74">
        <f t="shared" ca="1" si="137"/>
        <v>55392.065688896793</v>
      </c>
      <c r="L264" s="74">
        <f t="shared" ca="1" si="137"/>
        <v>59049.408097876571</v>
      </c>
    </row>
    <row r="265" spans="3:15" x14ac:dyDescent="0.25">
      <c r="D265" s="27"/>
      <c r="E265" s="122"/>
      <c r="F265" s="123"/>
      <c r="G265" s="123"/>
      <c r="H265" s="123"/>
      <c r="I265" s="123"/>
      <c r="J265" s="123"/>
      <c r="K265" s="123"/>
      <c r="L265" s="123"/>
    </row>
    <row r="266" spans="3:15" x14ac:dyDescent="0.25">
      <c r="C266" s="1" t="s">
        <v>207</v>
      </c>
      <c r="D266" s="27"/>
      <c r="E266" s="122"/>
      <c r="F266" s="123"/>
      <c r="G266" s="123"/>
      <c r="H266" s="123"/>
      <c r="I266" s="123"/>
      <c r="J266" s="123"/>
      <c r="K266" s="123"/>
      <c r="L266" s="123"/>
    </row>
    <row r="267" spans="3:15" x14ac:dyDescent="0.25">
      <c r="C267" s="13" t="s">
        <v>208</v>
      </c>
      <c r="D267" s="14" t="s">
        <v>3</v>
      </c>
      <c r="E267" s="67"/>
      <c r="F267" s="19">
        <f>E169-F169+F225+F226</f>
        <v>-4205</v>
      </c>
      <c r="G267" s="20">
        <f>F169-G169+G225+G226</f>
        <v>-2240</v>
      </c>
      <c r="H267" s="19">
        <f t="shared" ref="H267:L267" si="138">G169-H169+H225+H226</f>
        <v>-3321.8263383449575</v>
      </c>
      <c r="I267" s="19">
        <f t="shared" si="138"/>
        <v>-3597.2805117011726</v>
      </c>
      <c r="J267" s="19">
        <f t="shared" si="138"/>
        <v>-3973.0550717458023</v>
      </c>
      <c r="K267" s="19">
        <f t="shared" si="138"/>
        <v>-4852.2571104697572</v>
      </c>
      <c r="L267" s="19">
        <f t="shared" si="138"/>
        <v>-5747.168460732023</v>
      </c>
    </row>
    <row r="268" spans="3:15" x14ac:dyDescent="0.25">
      <c r="C268" s="13" t="s">
        <v>209</v>
      </c>
      <c r="D268" s="14" t="s">
        <v>3</v>
      </c>
      <c r="E268" s="67"/>
      <c r="F268" s="19">
        <f>E170-F170+F227</f>
        <v>-2543</v>
      </c>
      <c r="G268" s="20">
        <f>F170-G170+G227</f>
        <v>-3608</v>
      </c>
      <c r="H268" s="19">
        <f t="shared" ref="H268:L268" si="139">G170-H170+H227</f>
        <v>-4426.1131338689556</v>
      </c>
      <c r="I268" s="19">
        <f t="shared" si="139"/>
        <v>-4794.1463681048963</v>
      </c>
      <c r="J268" s="19">
        <f t="shared" si="139"/>
        <v>-5289.0308245289125</v>
      </c>
      <c r="K268" s="19">
        <f t="shared" si="139"/>
        <v>-6446.9150170328367</v>
      </c>
      <c r="L268" s="19">
        <f t="shared" si="139"/>
        <v>-7625.4879280612558</v>
      </c>
      <c r="N268" s="54"/>
      <c r="O268" s="54"/>
    </row>
    <row r="269" spans="3:15" x14ac:dyDescent="0.25">
      <c r="C269" s="13" t="s">
        <v>210</v>
      </c>
      <c r="D269" s="16" t="s">
        <v>3</v>
      </c>
      <c r="E269" s="67"/>
      <c r="F269" s="19"/>
      <c r="G269" s="20"/>
      <c r="H269" s="19"/>
      <c r="I269" s="19"/>
      <c r="J269" s="19"/>
      <c r="K269" s="19"/>
      <c r="L269" s="19"/>
    </row>
    <row r="270" spans="3:15" x14ac:dyDescent="0.25">
      <c r="C270" s="83" t="s">
        <v>211</v>
      </c>
      <c r="D270" s="14" t="s">
        <v>3</v>
      </c>
      <c r="E270" s="124"/>
      <c r="F270" s="74">
        <f>SUM(F267:F269)</f>
        <v>-6748</v>
      </c>
      <c r="G270" s="74">
        <f>SUM(G267:G269)</f>
        <v>-5848</v>
      </c>
      <c r="H270" s="74">
        <f t="shared" ref="H270:L270" si="140">SUM(H267:H269)</f>
        <v>-7747.9394722139132</v>
      </c>
      <c r="I270" s="74">
        <f t="shared" si="140"/>
        <v>-8391.4268798060693</v>
      </c>
      <c r="J270" s="74">
        <f t="shared" si="140"/>
        <v>-9262.0858962747152</v>
      </c>
      <c r="K270" s="74">
        <f t="shared" si="140"/>
        <v>-11299.172127502594</v>
      </c>
      <c r="L270" s="74">
        <f t="shared" si="140"/>
        <v>-13372.656388793279</v>
      </c>
    </row>
    <row r="271" spans="3:15" x14ac:dyDescent="0.25">
      <c r="D271" s="27"/>
      <c r="E271" s="122"/>
      <c r="F271" s="123"/>
      <c r="G271" s="125"/>
      <c r="H271" s="123"/>
      <c r="I271" s="123"/>
      <c r="J271" s="123"/>
      <c r="K271" s="123"/>
      <c r="L271" s="123"/>
    </row>
    <row r="272" spans="3:15" x14ac:dyDescent="0.25">
      <c r="C272" s="1" t="s">
        <v>212</v>
      </c>
      <c r="D272" s="27"/>
      <c r="E272" s="122"/>
      <c r="F272" s="123"/>
      <c r="G272" s="125"/>
      <c r="H272" s="123"/>
      <c r="I272" s="123"/>
      <c r="J272" s="123"/>
      <c r="K272" s="123"/>
      <c r="L272" s="123"/>
    </row>
    <row r="273" spans="3:13" x14ac:dyDescent="0.25">
      <c r="C273" s="13" t="s">
        <v>213</v>
      </c>
      <c r="D273" s="14" t="s">
        <v>3</v>
      </c>
      <c r="E273" s="67"/>
      <c r="F273" s="19">
        <f>E163-F163+F178-E178</f>
        <v>-15035</v>
      </c>
      <c r="G273" s="20">
        <f>F163-G163+G178-F178</f>
        <v>-43796</v>
      </c>
      <c r="H273" s="19">
        <f t="shared" ref="H273:L273" ca="1" si="141">G163-H163+H178-G178</f>
        <v>26025.081303574611</v>
      </c>
      <c r="I273" s="19">
        <f t="shared" ca="1" si="141"/>
        <v>-63515.773689704249</v>
      </c>
      <c r="J273" s="19">
        <f t="shared" ca="1" si="141"/>
        <v>-59747.814444479998</v>
      </c>
      <c r="K273" s="19">
        <f t="shared" ca="1" si="141"/>
        <v>20283.331446880475</v>
      </c>
      <c r="L273" s="19">
        <f t="shared" ca="1" si="141"/>
        <v>18030.447740439558</v>
      </c>
    </row>
    <row r="274" spans="3:13" x14ac:dyDescent="0.25">
      <c r="C274" s="13" t="s">
        <v>214</v>
      </c>
      <c r="D274" s="14" t="s">
        <v>3</v>
      </c>
      <c r="E274" s="67"/>
      <c r="F274" s="19">
        <f>F181-E181</f>
        <v>29</v>
      </c>
      <c r="G274" s="20">
        <f>G181-F181</f>
        <v>-354</v>
      </c>
      <c r="H274" s="19">
        <f t="shared" ref="H274:L274" si="142">H181-G181</f>
        <v>185.30689192759792</v>
      </c>
      <c r="I274" s="19">
        <f t="shared" si="142"/>
        <v>161.26700267844808</v>
      </c>
      <c r="J274" s="19">
        <f t="shared" si="142"/>
        <v>167.25406311619008</v>
      </c>
      <c r="K274" s="19">
        <f t="shared" si="142"/>
        <v>272.81140404128973</v>
      </c>
      <c r="L274" s="19">
        <f t="shared" si="142"/>
        <v>335.5534403581064</v>
      </c>
    </row>
    <row r="275" spans="3:13" x14ac:dyDescent="0.25">
      <c r="C275" s="13" t="s">
        <v>215</v>
      </c>
      <c r="D275" s="14" t="s">
        <v>3</v>
      </c>
      <c r="E275" s="67"/>
      <c r="F275" s="19">
        <f>F180-E180</f>
        <v>16473</v>
      </c>
      <c r="G275" s="20">
        <f>G180-F180</f>
        <v>-2168</v>
      </c>
      <c r="H275" s="19">
        <f t="shared" ref="H275:L275" si="143">H180-G180</f>
        <v>0</v>
      </c>
      <c r="I275" s="19">
        <f t="shared" si="143"/>
        <v>0</v>
      </c>
      <c r="J275" s="19">
        <f t="shared" si="143"/>
        <v>0</v>
      </c>
      <c r="K275" s="19">
        <f t="shared" si="143"/>
        <v>0</v>
      </c>
      <c r="L275" s="19">
        <f t="shared" si="143"/>
        <v>0</v>
      </c>
    </row>
    <row r="276" spans="3:13" x14ac:dyDescent="0.25">
      <c r="C276" s="13" t="s">
        <v>216</v>
      </c>
      <c r="D276" s="14" t="s">
        <v>3</v>
      </c>
      <c r="E276" s="67"/>
      <c r="F276" s="19">
        <f>F179-E179</f>
        <v>-2157</v>
      </c>
      <c r="G276" s="20">
        <f>G179-F179</f>
        <v>2268</v>
      </c>
      <c r="H276" s="19">
        <f t="shared" ref="H276:L276" si="144">H179-G179</f>
        <v>0</v>
      </c>
      <c r="I276" s="19">
        <f t="shared" si="144"/>
        <v>0</v>
      </c>
      <c r="J276" s="19">
        <f t="shared" si="144"/>
        <v>0</v>
      </c>
      <c r="K276" s="19">
        <f t="shared" si="144"/>
        <v>0</v>
      </c>
      <c r="L276" s="19">
        <f t="shared" si="144"/>
        <v>0</v>
      </c>
    </row>
    <row r="277" spans="3:13" x14ac:dyDescent="0.25">
      <c r="C277" s="13" t="s">
        <v>217</v>
      </c>
      <c r="D277" s="14" t="s">
        <v>3</v>
      </c>
      <c r="E277" s="67"/>
      <c r="F277" s="19">
        <f>SUM(F186)-SUM(E186)</f>
        <v>18417</v>
      </c>
      <c r="G277" s="20">
        <f>SUM(G186)-SUM(F186)</f>
        <v>0</v>
      </c>
      <c r="H277" s="19">
        <f ca="1">'Capital &amp; Dividends'!H26</f>
        <v>0</v>
      </c>
      <c r="I277" s="19">
        <f ca="1">'Capital &amp; Dividends'!I26</f>
        <v>0</v>
      </c>
      <c r="J277" s="19">
        <f ca="1">'Capital &amp; Dividends'!J26</f>
        <v>0</v>
      </c>
      <c r="K277" s="19">
        <f ca="1">'Capital &amp; Dividends'!K26</f>
        <v>0</v>
      </c>
      <c r="L277" s="19">
        <f ca="1">'Capital &amp; Dividends'!L26</f>
        <v>0</v>
      </c>
    </row>
    <row r="278" spans="3:13" x14ac:dyDescent="0.25">
      <c r="C278" s="13" t="s">
        <v>218</v>
      </c>
      <c r="D278" s="14" t="s">
        <v>3</v>
      </c>
      <c r="E278" s="67"/>
      <c r="F278" s="19">
        <f>F187-E187</f>
        <v>506</v>
      </c>
      <c r="G278" s="20">
        <f>G187-F187</f>
        <v>-74</v>
      </c>
      <c r="H278" s="19">
        <f t="shared" ref="H278:L278" si="145">H187-G187</f>
        <v>0</v>
      </c>
      <c r="I278" s="19">
        <f t="shared" si="145"/>
        <v>0</v>
      </c>
      <c r="J278" s="19">
        <f t="shared" si="145"/>
        <v>0</v>
      </c>
      <c r="K278" s="19">
        <f t="shared" si="145"/>
        <v>0</v>
      </c>
      <c r="L278" s="19">
        <f t="shared" si="145"/>
        <v>0</v>
      </c>
    </row>
    <row r="279" spans="3:13" x14ac:dyDescent="0.25">
      <c r="C279" s="13" t="s">
        <v>219</v>
      </c>
      <c r="D279" s="14"/>
      <c r="E279" s="67"/>
      <c r="F279" s="20">
        <f>F192-E192+F234</f>
        <v>-134</v>
      </c>
      <c r="G279" s="20">
        <f>G192-F192+G234</f>
        <v>-18</v>
      </c>
      <c r="H279" s="19">
        <f t="shared" ref="H279:L279" si="146">H192-G192-H234</f>
        <v>0</v>
      </c>
      <c r="I279" s="19">
        <f t="shared" si="146"/>
        <v>0</v>
      </c>
      <c r="J279" s="19">
        <f t="shared" si="146"/>
        <v>0</v>
      </c>
      <c r="K279" s="19">
        <f t="shared" si="146"/>
        <v>0</v>
      </c>
      <c r="L279" s="19">
        <f t="shared" si="146"/>
        <v>0</v>
      </c>
    </row>
    <row r="280" spans="3:13" x14ac:dyDescent="0.25">
      <c r="C280" s="13" t="s">
        <v>220</v>
      </c>
      <c r="D280" s="16" t="s">
        <v>3</v>
      </c>
      <c r="E280" s="67"/>
      <c r="F280" s="19">
        <f>F189-F233-E189</f>
        <v>-6028</v>
      </c>
      <c r="G280" s="20">
        <f>G189-G233-F189</f>
        <v>-11553</v>
      </c>
      <c r="H280" s="19">
        <f ca="1">-'Capital &amp; Dividends'!H24</f>
        <v>-71471.059163114289</v>
      </c>
      <c r="I280" s="19">
        <f ca="1">-'Capital &amp; Dividends'!I24</f>
        <v>-50900.248642084567</v>
      </c>
      <c r="J280" s="19">
        <f ca="1">-'Capital &amp; Dividends'!J24</f>
        <v>-49918.635271354753</v>
      </c>
      <c r="K280" s="19">
        <f ca="1">-'Capital &amp; Dividends'!K24</f>
        <v>-52662.644727751729</v>
      </c>
      <c r="L280" s="19">
        <f ca="1">-'Capital &amp; Dividends'!L24</f>
        <v>-51929.523139290424</v>
      </c>
      <c r="M280" s="51"/>
    </row>
    <row r="281" spans="3:13" x14ac:dyDescent="0.25">
      <c r="C281" s="83" t="s">
        <v>221</v>
      </c>
      <c r="D281" s="14" t="s">
        <v>3</v>
      </c>
      <c r="E281" s="102"/>
      <c r="F281" s="74">
        <f>SUM(F273:F280)</f>
        <v>12071</v>
      </c>
      <c r="G281" s="74">
        <f>SUM(G273:G280)</f>
        <v>-55695</v>
      </c>
      <c r="H281" s="74">
        <f t="shared" ref="H281:L281" ca="1" si="147">SUM(H273:H280)</f>
        <v>-45260.670967612081</v>
      </c>
      <c r="I281" s="74">
        <f t="shared" ca="1" si="147"/>
        <v>-114254.75532911037</v>
      </c>
      <c r="J281" s="74">
        <f t="shared" ca="1" si="147"/>
        <v>-109499.19565271857</v>
      </c>
      <c r="K281" s="74">
        <f t="shared" ca="1" si="147"/>
        <v>-32106.501876829963</v>
      </c>
      <c r="L281" s="74">
        <f t="shared" ca="1" si="147"/>
        <v>-33563.521958492754</v>
      </c>
    </row>
    <row r="282" spans="3:13" x14ac:dyDescent="0.25">
      <c r="D282" s="27"/>
      <c r="F282" s="100"/>
      <c r="G282" s="121"/>
      <c r="H282" s="100"/>
      <c r="I282" s="100"/>
      <c r="J282" s="100"/>
      <c r="K282" s="100"/>
      <c r="L282" s="100"/>
    </row>
    <row r="283" spans="3:13" x14ac:dyDescent="0.25">
      <c r="C283" s="1" t="s">
        <v>222</v>
      </c>
      <c r="D283" s="14" t="s">
        <v>3</v>
      </c>
      <c r="E283" s="62"/>
      <c r="F283" s="20">
        <f>+F281+F270+F264</f>
        <v>10719</v>
      </c>
      <c r="G283" s="20">
        <f t="shared" ref="G283:L283" si="148">+G281+G270+G264</f>
        <v>31994</v>
      </c>
      <c r="H283" s="20">
        <f t="shared" ca="1" si="148"/>
        <v>-688.99654079481843</v>
      </c>
      <c r="I283" s="20">
        <f t="shared" ca="1" si="148"/>
        <v>11852.660418672138</v>
      </c>
      <c r="J283" s="20">
        <f t="shared" ca="1" si="148"/>
        <v>12872.026339202537</v>
      </c>
      <c r="K283" s="20">
        <f t="shared" ca="1" si="148"/>
        <v>11986.391684564238</v>
      </c>
      <c r="L283" s="20">
        <f t="shared" ca="1" si="148"/>
        <v>12113.229750590537</v>
      </c>
    </row>
    <row r="284" spans="3:13" x14ac:dyDescent="0.25">
      <c r="D284" s="27"/>
      <c r="F284" s="100"/>
      <c r="G284" s="121"/>
      <c r="H284" s="100"/>
      <c r="I284" s="100"/>
      <c r="J284" s="100"/>
      <c r="K284" s="100"/>
      <c r="L284" s="100"/>
    </row>
    <row r="285" spans="3:13" x14ac:dyDescent="0.25">
      <c r="C285" s="24" t="s">
        <v>223</v>
      </c>
      <c r="D285" s="14" t="s">
        <v>3</v>
      </c>
      <c r="E285" s="19"/>
      <c r="F285" s="19">
        <f t="shared" ref="F285:L285" si="149">E161</f>
        <v>16997</v>
      </c>
      <c r="G285" s="20">
        <f t="shared" si="149"/>
        <v>27717</v>
      </c>
      <c r="H285" s="19">
        <f t="shared" si="149"/>
        <v>59715</v>
      </c>
      <c r="I285" s="19">
        <f t="shared" si="149"/>
        <v>59026.003459205276</v>
      </c>
      <c r="J285" s="19">
        <f t="shared" si="149"/>
        <v>70878.663877877218</v>
      </c>
      <c r="K285" s="19">
        <f t="shared" si="149"/>
        <v>83750.690217079813</v>
      </c>
      <c r="L285" s="19">
        <f t="shared" si="149"/>
        <v>95737.081901644269</v>
      </c>
    </row>
    <row r="286" spans="3:13" x14ac:dyDescent="0.25">
      <c r="C286" s="1" t="s">
        <v>224</v>
      </c>
      <c r="D286" s="14" t="s">
        <v>3</v>
      </c>
      <c r="E286" s="99"/>
      <c r="F286" s="20">
        <f>+F285+F283</f>
        <v>27716</v>
      </c>
      <c r="G286" s="20">
        <f t="shared" ref="G286:L286" si="150">+G285+G283</f>
        <v>59711</v>
      </c>
      <c r="H286" s="20">
        <f t="shared" ca="1" si="150"/>
        <v>59026.003459205182</v>
      </c>
      <c r="I286" s="20">
        <f t="shared" ca="1" si="150"/>
        <v>70878.663877877407</v>
      </c>
      <c r="J286" s="20">
        <f t="shared" ca="1" si="150"/>
        <v>83750.690217079755</v>
      </c>
      <c r="K286" s="20">
        <f t="shared" ca="1" si="150"/>
        <v>95737.081901644051</v>
      </c>
      <c r="L286" s="20">
        <f t="shared" ca="1" si="150"/>
        <v>107850.31165223481</v>
      </c>
    </row>
    <row r="287" spans="3:13" x14ac:dyDescent="0.25">
      <c r="D287" s="27"/>
      <c r="E287" s="114"/>
      <c r="F287" s="114"/>
      <c r="G287" s="120"/>
      <c r="H287" s="114"/>
      <c r="I287" s="114"/>
      <c r="J287" s="114"/>
      <c r="K287" s="114"/>
      <c r="L287" s="114"/>
    </row>
    <row r="288" spans="3:13" x14ac:dyDescent="0.25">
      <c r="C288" t="s">
        <v>225</v>
      </c>
      <c r="D288" s="16" t="s">
        <v>3</v>
      </c>
      <c r="E288" s="54"/>
      <c r="F288" s="54">
        <f t="shared" ref="F288:L288" si="151">F161</f>
        <v>27717</v>
      </c>
      <c r="G288" s="62">
        <f t="shared" si="151"/>
        <v>59715</v>
      </c>
      <c r="H288" s="54">
        <f t="shared" si="151"/>
        <v>59026.003459205276</v>
      </c>
      <c r="I288" s="54">
        <f t="shared" si="151"/>
        <v>70878.663877877218</v>
      </c>
      <c r="J288" s="54">
        <f t="shared" si="151"/>
        <v>83750.690217079813</v>
      </c>
      <c r="K288" s="54">
        <f t="shared" si="151"/>
        <v>95737.081901644269</v>
      </c>
      <c r="L288" s="54">
        <f t="shared" si="151"/>
        <v>107850.3116522348</v>
      </c>
    </row>
    <row r="289" spans="2:12" x14ac:dyDescent="0.25">
      <c r="C289" s="83" t="s">
        <v>226</v>
      </c>
      <c r="D289" s="14" t="s">
        <v>3</v>
      </c>
      <c r="E289" s="126"/>
      <c r="F289" s="127">
        <f>SUM(F288:F288)</f>
        <v>27717</v>
      </c>
      <c r="G289" s="127">
        <f t="shared" ref="G289:L289" si="152">SUM(G288:G288)</f>
        <v>59715</v>
      </c>
      <c r="H289" s="127">
        <f t="shared" si="152"/>
        <v>59026.003459205276</v>
      </c>
      <c r="I289" s="127">
        <f t="shared" si="152"/>
        <v>70878.663877877218</v>
      </c>
      <c r="J289" s="127">
        <f t="shared" si="152"/>
        <v>83750.690217079813</v>
      </c>
      <c r="K289" s="127">
        <f t="shared" si="152"/>
        <v>95737.081901644269</v>
      </c>
      <c r="L289" s="127">
        <f t="shared" si="152"/>
        <v>107850.3116522348</v>
      </c>
    </row>
    <row r="290" spans="2:12" x14ac:dyDescent="0.25">
      <c r="D290" s="27"/>
      <c r="E290" s="114"/>
      <c r="F290" s="114"/>
      <c r="G290" s="120"/>
      <c r="H290" s="114"/>
      <c r="I290" s="114"/>
      <c r="J290" s="114"/>
      <c r="K290" s="114"/>
      <c r="L290" s="114"/>
    </row>
    <row r="291" spans="2:12" x14ac:dyDescent="0.25">
      <c r="C291" t="s">
        <v>227</v>
      </c>
      <c r="D291" s="27"/>
      <c r="E291" s="128"/>
      <c r="F291" s="20">
        <f>+F286-F289</f>
        <v>-1</v>
      </c>
      <c r="G291" s="20">
        <f t="shared" ref="G291:L291" si="153">+G286-G289</f>
        <v>-4</v>
      </c>
      <c r="H291" s="20">
        <f t="shared" ca="1" si="153"/>
        <v>-9.4587448984384537E-11</v>
      </c>
      <c r="I291" s="20">
        <f t="shared" ca="1" si="153"/>
        <v>1.8917489796876907E-10</v>
      </c>
      <c r="J291" s="20">
        <f t="shared" ca="1" si="153"/>
        <v>0</v>
      </c>
      <c r="K291" s="20">
        <f t="shared" ca="1" si="153"/>
        <v>-2.1827872842550278E-10</v>
      </c>
      <c r="L291" s="20">
        <f t="shared" ca="1" si="153"/>
        <v>0</v>
      </c>
    </row>
    <row r="293" spans="2:12" x14ac:dyDescent="0.25">
      <c r="B293" s="2"/>
      <c r="C293" s="2"/>
      <c r="D293" s="3"/>
      <c r="E293" s="4"/>
      <c r="F293" s="4"/>
      <c r="G293" s="4"/>
      <c r="H293" s="5" t="s">
        <v>0</v>
      </c>
      <c r="I293" s="4"/>
      <c r="J293" s="4"/>
      <c r="K293" s="4"/>
      <c r="L293" s="4"/>
    </row>
    <row r="294" spans="2:12" x14ac:dyDescent="0.25">
      <c r="B294" s="6" t="s">
        <v>228</v>
      </c>
      <c r="C294" s="6"/>
      <c r="D294" s="7" t="s">
        <v>1</v>
      </c>
      <c r="E294" s="8">
        <f t="shared" ref="E294:L294" si="154">E245</f>
        <v>43465</v>
      </c>
      <c r="F294" s="8">
        <f t="shared" si="154"/>
        <v>43830</v>
      </c>
      <c r="G294" s="9">
        <f t="shared" si="154"/>
        <v>44196</v>
      </c>
      <c r="H294" s="8">
        <f t="shared" si="154"/>
        <v>44561</v>
      </c>
      <c r="I294" s="8">
        <f t="shared" si="154"/>
        <v>44926</v>
      </c>
      <c r="J294" s="8">
        <f t="shared" si="154"/>
        <v>45291</v>
      </c>
      <c r="K294" s="8">
        <f t="shared" si="154"/>
        <v>45657</v>
      </c>
      <c r="L294" s="8">
        <f t="shared" si="154"/>
        <v>46022</v>
      </c>
    </row>
    <row r="295" spans="2:12" x14ac:dyDescent="0.25">
      <c r="D295" s="27"/>
    </row>
    <row r="296" spans="2:12" x14ac:dyDescent="0.25">
      <c r="C296" t="s">
        <v>229</v>
      </c>
      <c r="D296" s="14" t="s">
        <v>11</v>
      </c>
      <c r="E296" s="75">
        <f t="shared" ref="E296:L296" si="155">E166/E173</f>
        <v>0.52860060878990356</v>
      </c>
      <c r="F296" s="75">
        <f t="shared" si="155"/>
        <v>0.56751864143786901</v>
      </c>
      <c r="G296" s="77">
        <f t="shared" si="155"/>
        <v>0.4381748272418986</v>
      </c>
      <c r="H296" s="75">
        <f t="shared" ca="1" si="155"/>
        <v>0.49068416876522797</v>
      </c>
      <c r="I296" s="75">
        <f t="shared" ca="1" si="155"/>
        <v>0.45216835750807571</v>
      </c>
      <c r="J296" s="75">
        <f t="shared" ca="1" si="155"/>
        <v>0.42925957292289868</v>
      </c>
      <c r="K296" s="75">
        <f t="shared" ca="1" si="155"/>
        <v>0.45580556800077487</v>
      </c>
      <c r="L296" s="75">
        <f t="shared" ca="1" si="155"/>
        <v>0.47689663117663733</v>
      </c>
    </row>
    <row r="297" spans="2:12" x14ac:dyDescent="0.25">
      <c r="C297" t="s">
        <v>230</v>
      </c>
      <c r="D297" s="14" t="s">
        <v>11</v>
      </c>
      <c r="E297" s="75">
        <f t="shared" ref="E297:L297" si="156">E177/E195</f>
        <v>0.74811384317934271</v>
      </c>
      <c r="F297" s="75">
        <f t="shared" si="156"/>
        <v>0.70964872203784324</v>
      </c>
      <c r="G297" s="77">
        <f t="shared" si="156"/>
        <v>0.72947908399220751</v>
      </c>
      <c r="H297" s="75">
        <f t="shared" ca="1" si="156"/>
        <v>0.75323600139050917</v>
      </c>
      <c r="I297" s="75">
        <f t="shared" ca="1" si="156"/>
        <v>0.76950696459702173</v>
      </c>
      <c r="J297" s="75">
        <f t="shared" ca="1" si="156"/>
        <v>0.78242089576140028</v>
      </c>
      <c r="K297" s="75">
        <f t="shared" ca="1" si="156"/>
        <v>0.77914093308245225</v>
      </c>
      <c r="L297" s="75">
        <f t="shared" ca="1" si="156"/>
        <v>0.77640116002945725</v>
      </c>
    </row>
    <row r="298" spans="2:12" x14ac:dyDescent="0.25">
      <c r="C298" t="s">
        <v>19</v>
      </c>
      <c r="D298" s="14" t="s">
        <v>11</v>
      </c>
      <c r="E298" s="75">
        <f t="shared" ref="E298:L298" si="157">E166/E177</f>
        <v>0.70657776701932251</v>
      </c>
      <c r="F298" s="75">
        <f t="shared" si="157"/>
        <v>0.79971769667698378</v>
      </c>
      <c r="G298" s="77">
        <f t="shared" si="157"/>
        <v>0.60066811627265138</v>
      </c>
      <c r="H298" s="75">
        <f t="shared" si="157"/>
        <v>0.65143483298647686</v>
      </c>
      <c r="I298" s="75">
        <f t="shared" si="157"/>
        <v>0.5876078818141286</v>
      </c>
      <c r="J298" s="75">
        <f t="shared" si="157"/>
        <v>0.54862999601406559</v>
      </c>
      <c r="K298" s="75">
        <f t="shared" si="157"/>
        <v>0.58501042449086615</v>
      </c>
      <c r="L298" s="75">
        <f t="shared" si="157"/>
        <v>0.61423997764060989</v>
      </c>
    </row>
    <row r="299" spans="2:12" x14ac:dyDescent="0.25">
      <c r="D299" s="27"/>
    </row>
    <row r="300" spans="2:12" x14ac:dyDescent="0.25">
      <c r="C300" t="s">
        <v>16</v>
      </c>
      <c r="D300" s="14" t="s">
        <v>11</v>
      </c>
      <c r="E300" s="25">
        <f>Loans!E81</f>
        <v>5.1800093732691406E-2</v>
      </c>
      <c r="F300" s="25">
        <f>Loans!F81</f>
        <v>2.5977091018424821E-2</v>
      </c>
      <c r="G300" s="129">
        <f>Loans!G81</f>
        <v>5.4998486932765558E-2</v>
      </c>
      <c r="H300" s="25">
        <f>Loans!H81</f>
        <v>5.6553670075077597E-2</v>
      </c>
      <c r="I300" s="25">
        <f>Loans!I81</f>
        <v>5.920848136964111E-2</v>
      </c>
      <c r="J300" s="25">
        <f>Loans!J81</f>
        <v>6.1951437243128307E-2</v>
      </c>
      <c r="K300" s="25">
        <f>Loans!K81</f>
        <v>6.4077100685307475E-2</v>
      </c>
      <c r="L300" s="25">
        <f>Loans!L81</f>
        <v>6.5638598418693656E-2</v>
      </c>
    </row>
    <row r="301" spans="2:12" x14ac:dyDescent="0.25">
      <c r="C301" t="s">
        <v>17</v>
      </c>
      <c r="D301" s="14" t="s">
        <v>11</v>
      </c>
      <c r="E301" s="25">
        <f>Loans!E82</f>
        <v>0.33566163275447947</v>
      </c>
      <c r="F301" s="25">
        <f>Loans!F82</f>
        <v>0.14679284578986793</v>
      </c>
      <c r="G301" s="129">
        <f>Loans!G82</f>
        <v>0.32170662905500708</v>
      </c>
      <c r="H301" s="25">
        <f>Loans!H82</f>
        <v>0.35663894141294572</v>
      </c>
      <c r="I301" s="25">
        <f>Loans!I82</f>
        <v>0.37462095894500874</v>
      </c>
      <c r="J301" s="25">
        <f>Loans!J82</f>
        <v>0.35169481774752914</v>
      </c>
      <c r="K301" s="25">
        <f>Loans!K82</f>
        <v>0.32572888696723273</v>
      </c>
      <c r="L301" s="25">
        <f>Loans!L82</f>
        <v>0.294452018280568</v>
      </c>
    </row>
    <row r="302" spans="2:12" x14ac:dyDescent="0.25">
      <c r="C302" t="s">
        <v>18</v>
      </c>
      <c r="D302" s="14" t="s">
        <v>11</v>
      </c>
      <c r="E302" s="25">
        <f>Loans!E83</f>
        <v>0.15432235524690044</v>
      </c>
      <c r="F302" s="25">
        <f>Loans!F83</f>
        <v>0.14257694471649754</v>
      </c>
      <c r="G302" s="129">
        <f>Loans!G83</f>
        <v>0.15913666674896584</v>
      </c>
      <c r="H302" s="25">
        <f>Loans!H83</f>
        <v>0.13816839209116341</v>
      </c>
      <c r="I302" s="25">
        <f>Loans!I83</f>
        <v>0.15090438368309397</v>
      </c>
      <c r="J302" s="25">
        <f>Loans!J83</f>
        <v>0.16644855311407228</v>
      </c>
      <c r="K302" s="25">
        <f>Loans!K83</f>
        <v>0.17794092077065293</v>
      </c>
      <c r="L302" s="25">
        <f>Loans!L83</f>
        <v>0.20283720252705303</v>
      </c>
    </row>
    <row r="303" spans="2:12" x14ac:dyDescent="0.25">
      <c r="D303" s="27"/>
      <c r="G303" s="1"/>
    </row>
    <row r="304" spans="2:12" x14ac:dyDescent="0.25">
      <c r="C304" t="s">
        <v>10</v>
      </c>
      <c r="D304" s="14" t="s">
        <v>11</v>
      </c>
      <c r="E304" s="75">
        <f>+E235/E191</f>
        <v>0.64473746846289337</v>
      </c>
      <c r="F304" s="75">
        <f>+F235/AVERAGE(E191:F191)</f>
        <v>0.52353380243925418</v>
      </c>
      <c r="G304" s="77">
        <f t="shared" ref="G304:L304" si="158">+G235/AVERAGE(F191:G191)</f>
        <v>0.39666047571622121</v>
      </c>
      <c r="H304" s="75">
        <f t="shared" ca="1" si="158"/>
        <v>0.54689811457787219</v>
      </c>
      <c r="I304" s="75">
        <f t="shared" ca="1" si="158"/>
        <v>0.54390880293529831</v>
      </c>
      <c r="J304" s="75">
        <f t="shared" ca="1" si="158"/>
        <v>0.47035143536326618</v>
      </c>
      <c r="K304" s="75">
        <f t="shared" ca="1" si="158"/>
        <v>0.43643874174306702</v>
      </c>
      <c r="L304" s="75">
        <f t="shared" ca="1" si="158"/>
        <v>0.38643347609968198</v>
      </c>
    </row>
    <row r="305" spans="3:13" x14ac:dyDescent="0.25">
      <c r="C305" t="s">
        <v>12</v>
      </c>
      <c r="D305" s="14" t="s">
        <v>11</v>
      </c>
      <c r="E305" s="75">
        <f>+E235/(E191-E170)</f>
        <v>0.7167844195707973</v>
      </c>
      <c r="F305" s="75">
        <f>+F235/(AVERAGE(E191:F191)-AVERAGE(E170:F170))</f>
        <v>0.56293294892274126</v>
      </c>
      <c r="G305" s="77">
        <f t="shared" ref="G305:L305" si="159">+G235/(AVERAGE(F191:G191)-AVERAGE(F170:G170))</f>
        <v>0.42025961433344899</v>
      </c>
      <c r="H305" s="75">
        <f t="shared" ca="1" si="159"/>
        <v>0.58399503507970141</v>
      </c>
      <c r="I305" s="75">
        <f t="shared" ca="1" si="159"/>
        <v>0.58481842068579437</v>
      </c>
      <c r="J305" s="75">
        <f t="shared" ca="1" si="159"/>
        <v>0.50336513138341954</v>
      </c>
      <c r="K305" s="75">
        <f t="shared" ca="1" si="159"/>
        <v>0.46438954530383836</v>
      </c>
      <c r="L305" s="75">
        <f t="shared" ca="1" si="159"/>
        <v>0.4089444616536535</v>
      </c>
    </row>
    <row r="306" spans="3:13" x14ac:dyDescent="0.25">
      <c r="C306" t="s">
        <v>13</v>
      </c>
      <c r="D306" s="14" t="s">
        <v>11</v>
      </c>
      <c r="E306" s="75">
        <f>+E233/(E193)</f>
        <v>0.64194082840236688</v>
      </c>
      <c r="F306" s="75">
        <f t="shared" ref="F306:L306" si="160">+F233/(AVERAGE(E193:F193))</f>
        <v>0.52226527484602259</v>
      </c>
      <c r="G306" s="77">
        <f t="shared" si="160"/>
        <v>0.39635496508260942</v>
      </c>
      <c r="H306" s="75">
        <f t="shared" ca="1" si="160"/>
        <v>0.54651058894002602</v>
      </c>
      <c r="I306" s="75">
        <f t="shared" ca="1" si="160"/>
        <v>0.54355177779490127</v>
      </c>
      <c r="J306" s="75">
        <f t="shared" ca="1" si="160"/>
        <v>0.4700890169130838</v>
      </c>
      <c r="K306" s="75">
        <f t="shared" ca="1" si="160"/>
        <v>0.4362303300884503</v>
      </c>
      <c r="L306" s="75">
        <f t="shared" ca="1" si="160"/>
        <v>0.38627466098340613</v>
      </c>
      <c r="M306" s="666"/>
    </row>
    <row r="307" spans="3:13" x14ac:dyDescent="0.25">
      <c r="C307" t="s">
        <v>14</v>
      </c>
      <c r="D307" s="14" t="s">
        <v>11</v>
      </c>
      <c r="E307" s="75">
        <f>+E233/(E173)</f>
        <v>7.2229220317497511E-2</v>
      </c>
      <c r="F307" s="75">
        <f t="shared" ref="F307:L307" si="161">+F233/(AVERAGE(E173:F173))</f>
        <v>7.560877591771635E-2</v>
      </c>
      <c r="G307" s="77">
        <f t="shared" si="161"/>
        <v>6.1435998552093037E-2</v>
      </c>
      <c r="H307" s="75">
        <f t="shared" ca="1" si="161"/>
        <v>7.1764404684672864E-2</v>
      </c>
      <c r="I307" s="75">
        <f t="shared" ca="1" si="161"/>
        <v>6.4302227420161576E-2</v>
      </c>
      <c r="J307" s="75">
        <f t="shared" ca="1" si="161"/>
        <v>5.6006778976446819E-2</v>
      </c>
      <c r="K307" s="75">
        <f t="shared" ca="1" si="161"/>
        <v>5.2596951147502929E-2</v>
      </c>
      <c r="L307" s="75">
        <f t="shared" ca="1" si="161"/>
        <v>4.7527512512205973E-2</v>
      </c>
    </row>
    <row r="308" spans="3:13" x14ac:dyDescent="0.25">
      <c r="C308" t="s">
        <v>15</v>
      </c>
      <c r="D308" s="14" t="s">
        <v>11</v>
      </c>
      <c r="E308" s="75">
        <f>+E233/(E173-E170)</f>
        <v>7.3050776241933221E-2</v>
      </c>
      <c r="F308" s="75">
        <f t="shared" ref="F308:L308" si="162">+F233/(AVERAGE(E173:F173)-AVERAGE(E170:F170))</f>
        <v>7.6380798125738739E-2</v>
      </c>
      <c r="G308" s="77">
        <f t="shared" si="162"/>
        <v>6.1974962188166262E-2</v>
      </c>
      <c r="H308" s="75">
        <f t="shared" ca="1" si="162"/>
        <v>7.2367624615471554E-2</v>
      </c>
      <c r="I308" s="75">
        <f t="shared" ca="1" si="162"/>
        <v>6.4838439833171793E-2</v>
      </c>
      <c r="J308" s="75">
        <f t="shared" ca="1" si="162"/>
        <v>5.6447612609612695E-2</v>
      </c>
      <c r="K308" s="75">
        <f t="shared" ca="1" si="162"/>
        <v>5.2981252007492173E-2</v>
      </c>
      <c r="L308" s="75">
        <f t="shared" ca="1" si="162"/>
        <v>4.7851475845296421E-2</v>
      </c>
    </row>
    <row r="309" spans="3:13" x14ac:dyDescent="0.25">
      <c r="D309" s="27"/>
    </row>
    <row r="310" spans="3:13" x14ac:dyDescent="0.25">
      <c r="C310" t="s">
        <v>20</v>
      </c>
      <c r="D310" s="14" t="s">
        <v>11</v>
      </c>
      <c r="E310" s="75">
        <f>+E204/E58</f>
        <v>0.17022339124537852</v>
      </c>
      <c r="F310" s="75">
        <f t="shared" ref="F310:L310" si="163">+F204/F59</f>
        <v>0.19507638787201093</v>
      </c>
      <c r="G310" s="77">
        <f t="shared" si="163"/>
        <v>0.15943427040418937</v>
      </c>
      <c r="H310" s="75">
        <f t="shared" ca="1" si="163"/>
        <v>0.17851559283237306</v>
      </c>
      <c r="I310" s="75">
        <f t="shared" ca="1" si="163"/>
        <v>0.16613789501661155</v>
      </c>
      <c r="J310" s="75">
        <f t="shared" ca="1" si="163"/>
        <v>0.15435219860859789</v>
      </c>
      <c r="K310" s="75">
        <f t="shared" ca="1" si="163"/>
        <v>0.16255134975308957</v>
      </c>
      <c r="L310" s="75">
        <f t="shared" ca="1" si="163"/>
        <v>0.17163140394395379</v>
      </c>
    </row>
    <row r="311" spans="3:13" x14ac:dyDescent="0.25">
      <c r="C311" t="s">
        <v>231</v>
      </c>
      <c r="D311" s="14" t="s">
        <v>11</v>
      </c>
      <c r="E311" s="75">
        <f t="shared" ref="E311:L311" si="164">E80</f>
        <v>0.21770218851349626</v>
      </c>
      <c r="F311" s="75">
        <f t="shared" si="164"/>
        <v>0.24640912660907069</v>
      </c>
      <c r="G311" s="77">
        <f t="shared" si="164"/>
        <v>0.19116215008310372</v>
      </c>
      <c r="H311" s="75">
        <f t="shared" ca="1" si="164"/>
        <v>0.21709824084223456</v>
      </c>
      <c r="I311" s="75">
        <f t="shared" ca="1" si="164"/>
        <v>0.22219127740803671</v>
      </c>
      <c r="J311" s="75">
        <f t="shared" ca="1" si="164"/>
        <v>0.19471723680825945</v>
      </c>
      <c r="K311" s="75">
        <f t="shared" ca="1" si="164"/>
        <v>0.19815574798116287</v>
      </c>
      <c r="L311" s="75">
        <f t="shared" ca="1" si="164"/>
        <v>0.20659211983142875</v>
      </c>
    </row>
    <row r="312" spans="3:13" x14ac:dyDescent="0.25">
      <c r="C312" t="s">
        <v>232</v>
      </c>
      <c r="D312" s="14" t="s">
        <v>11</v>
      </c>
      <c r="E312" s="75">
        <f t="shared" ref="E312:L312" si="165">E113</f>
        <v>4.9571004833165004E-2</v>
      </c>
      <c r="F312" s="75">
        <f t="shared" si="165"/>
        <v>5.5363438626107847E-2</v>
      </c>
      <c r="G312" s="77">
        <f t="shared" si="165"/>
        <v>3.8111367274660204E-2</v>
      </c>
      <c r="H312" s="75">
        <f t="shared" ca="1" si="165"/>
        <v>3.900859373992327E-2</v>
      </c>
      <c r="I312" s="75">
        <f t="shared" ca="1" si="165"/>
        <v>5.8102918945521456E-2</v>
      </c>
      <c r="J312" s="75">
        <f t="shared" ca="1" si="165"/>
        <v>4.111517704327259E-2</v>
      </c>
      <c r="K312" s="75">
        <f t="shared" ca="1" si="165"/>
        <v>3.6451194295755808E-2</v>
      </c>
      <c r="L312" s="75">
        <f t="shared" ca="1" si="165"/>
        <v>3.6755426281537183E-2</v>
      </c>
    </row>
    <row r="313" spans="3:13" x14ac:dyDescent="0.25">
      <c r="C313" t="s">
        <v>21</v>
      </c>
      <c r="D313" s="14" t="s">
        <v>11</v>
      </c>
      <c r="E313" s="75">
        <f t="shared" ref="E313:L313" si="166">+E311-E312</f>
        <v>0.16813118368033125</v>
      </c>
      <c r="F313" s="75">
        <f t="shared" si="166"/>
        <v>0.19104568798296284</v>
      </c>
      <c r="G313" s="77">
        <f t="shared" si="166"/>
        <v>0.15305078280844353</v>
      </c>
      <c r="H313" s="75">
        <f t="shared" ca="1" si="166"/>
        <v>0.17808964710231129</v>
      </c>
      <c r="I313" s="75">
        <f t="shared" ca="1" si="166"/>
        <v>0.16408835846251524</v>
      </c>
      <c r="J313" s="75">
        <f t="shared" ca="1" si="166"/>
        <v>0.15360205976498686</v>
      </c>
      <c r="K313" s="75">
        <f t="shared" ca="1" si="166"/>
        <v>0.16170455368540707</v>
      </c>
      <c r="L313" s="75">
        <f t="shared" ca="1" si="166"/>
        <v>0.16983669354989156</v>
      </c>
    </row>
    <row r="314" spans="3:13" x14ac:dyDescent="0.25">
      <c r="D314" s="27"/>
    </row>
    <row r="315" spans="3:13" x14ac:dyDescent="0.25">
      <c r="C315" t="s">
        <v>22</v>
      </c>
      <c r="D315" s="14" t="s">
        <v>11</v>
      </c>
      <c r="E315" s="75">
        <f t="shared" ref="E315:L315" si="167">+E204/E217</f>
        <v>0.72503142221792516</v>
      </c>
      <c r="F315" s="75">
        <f t="shared" si="167"/>
        <v>0.7452808598286107</v>
      </c>
      <c r="G315" s="77">
        <f t="shared" si="167"/>
        <v>0.6807716565127212</v>
      </c>
      <c r="H315" s="75">
        <f t="shared" ca="1" si="167"/>
        <v>0.73016125665905574</v>
      </c>
      <c r="I315" s="75">
        <f t="shared" ca="1" si="167"/>
        <v>0.7181538980046025</v>
      </c>
      <c r="J315" s="75">
        <f t="shared" ca="1" si="167"/>
        <v>0.70988324147851922</v>
      </c>
      <c r="K315" s="75">
        <f t="shared" ca="1" si="167"/>
        <v>0.72422886740346493</v>
      </c>
      <c r="L315" s="75">
        <f t="shared" ca="1" si="167"/>
        <v>0.73685654105792142</v>
      </c>
    </row>
    <row r="316" spans="3:13" x14ac:dyDescent="0.25">
      <c r="C316" t="s">
        <v>23</v>
      </c>
      <c r="D316" s="14" t="s">
        <v>11</v>
      </c>
      <c r="E316" s="75">
        <f t="shared" ref="E316:L316" si="168">-E229/E217</f>
        <v>0.43170501788649329</v>
      </c>
      <c r="F316" s="75">
        <f t="shared" si="168"/>
        <v>0.38794849843613588</v>
      </c>
      <c r="G316" s="77">
        <f t="shared" si="168"/>
        <v>0.37063309904485725</v>
      </c>
      <c r="H316" s="75">
        <f t="shared" ca="1" si="168"/>
        <v>0.39172734379674495</v>
      </c>
      <c r="I316" s="75">
        <f t="shared" ca="1" si="168"/>
        <v>0.39445128054820516</v>
      </c>
      <c r="J316" s="75">
        <f t="shared" ca="1" si="168"/>
        <v>0.39900346521207852</v>
      </c>
      <c r="K316" s="75">
        <f t="shared" ca="1" si="168"/>
        <v>0.40191671837423698</v>
      </c>
      <c r="L316" s="75">
        <f t="shared" ca="1" si="168"/>
        <v>0.40390341198987684</v>
      </c>
    </row>
    <row r="317" spans="3:13" x14ac:dyDescent="0.25">
      <c r="C317" t="s">
        <v>24</v>
      </c>
      <c r="D317" s="14" t="s">
        <v>11</v>
      </c>
      <c r="E317" s="75"/>
      <c r="F317" s="75">
        <f t="shared" ref="F317:L317" si="169">-F280/F235</f>
        <v>0.1668789103593378</v>
      </c>
      <c r="G317" s="77">
        <f t="shared" si="169"/>
        <v>0.26132687914225611</v>
      </c>
      <c r="H317" s="75">
        <f t="shared" ca="1" si="169"/>
        <v>1.0412035593344751</v>
      </c>
      <c r="I317" s="75">
        <f t="shared" ca="1" si="169"/>
        <v>0.6906558385239312</v>
      </c>
      <c r="J317" s="75">
        <f t="shared" ca="1" si="169"/>
        <v>0.6656784304902752</v>
      </c>
      <c r="K317" s="75">
        <f t="shared" ca="1" si="169"/>
        <v>0.64773223066340135</v>
      </c>
      <c r="L317" s="75">
        <f t="shared" ca="1" si="169"/>
        <v>0.6207907014291788</v>
      </c>
    </row>
  </sheetData>
  <dataValidations count="2">
    <dataValidation type="list" allowBlank="1" showInputMessage="1" showErrorMessage="1" sqref="D19" xr:uid="{9CE1625A-3F6E-4E58-AEC4-59D567069EDC}">
      <formula1>$C$25:$C$27</formula1>
    </dataValidation>
    <dataValidation type="whole" allowBlank="1" showInputMessage="1" showErrorMessage="1" sqref="D20" xr:uid="{93EF6EE1-78E1-4768-9A93-BBE39817DB12}">
      <formula1>0</formula1>
      <formula2>1</formula2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CA8A-6045-4731-A739-C13ACBEA9FE0}">
  <dimension ref="B2:N91"/>
  <sheetViews>
    <sheetView showGridLines="0" workbookViewId="0">
      <selection activeCell="E83" sqref="E83"/>
    </sheetView>
  </sheetViews>
  <sheetFormatPr defaultRowHeight="15" x14ac:dyDescent="0.25"/>
  <cols>
    <col min="1" max="2" width="2.7109375" customWidth="1"/>
    <col min="3" max="3" width="40.7109375" customWidth="1"/>
    <col min="4" max="5" width="11.5703125" customWidth="1"/>
    <col min="6" max="6" width="12.28515625" bestFit="1" customWidth="1"/>
    <col min="7" max="7" width="11.5703125" customWidth="1"/>
    <col min="8" max="8" width="13.5703125" customWidth="1"/>
    <col min="9" max="10" width="12.140625" bestFit="1" customWidth="1"/>
    <col min="11" max="11" width="12.28515625" customWidth="1"/>
    <col min="12" max="12" width="13.42578125" customWidth="1"/>
    <col min="14" max="14" width="10.28515625" bestFit="1" customWidth="1"/>
  </cols>
  <sheetData>
    <row r="2" spans="2:14" x14ac:dyDescent="0.25">
      <c r="B2" s="1" t="str">
        <f>Company_Name&amp;" - Loan Portfolio Projections and Net Charge-Offs - "&amp;Scenario&amp;" Case"</f>
        <v>TCS Group Holding PLC - Loan Portfolio Projections and Net Charge-Offs - Base Case</v>
      </c>
    </row>
    <row r="3" spans="2:14" x14ac:dyDescent="0.25">
      <c r="B3" t="str">
        <f>Buyer!B3</f>
        <v>(RUB in Millions Except Per Share and Per Unit Data)</v>
      </c>
      <c r="F3" s="59"/>
      <c r="G3" s="59"/>
      <c r="H3" s="59"/>
      <c r="I3" s="59"/>
      <c r="J3" s="59"/>
      <c r="K3" s="59"/>
      <c r="L3" s="59"/>
    </row>
    <row r="5" spans="2:14" x14ac:dyDescent="0.25">
      <c r="B5" s="2"/>
      <c r="C5" s="2"/>
      <c r="D5" s="3"/>
      <c r="E5" s="4" t="s">
        <v>55</v>
      </c>
      <c r="F5" s="4"/>
      <c r="G5" s="4"/>
      <c r="H5" s="5" t="s">
        <v>233</v>
      </c>
      <c r="I5" s="4"/>
      <c r="J5" s="4"/>
      <c r="K5" s="4"/>
      <c r="L5" s="4"/>
    </row>
    <row r="6" spans="2:14" x14ac:dyDescent="0.25">
      <c r="B6" s="6" t="s">
        <v>234</v>
      </c>
      <c r="C6" s="6"/>
      <c r="D6" s="7" t="s">
        <v>1</v>
      </c>
      <c r="E6" s="8">
        <f>Buyer!E23</f>
        <v>43465</v>
      </c>
      <c r="F6" s="8">
        <f>Buyer!F23</f>
        <v>43830</v>
      </c>
      <c r="G6" s="8">
        <f>Buyer!G23</f>
        <v>44196</v>
      </c>
      <c r="H6" s="8">
        <f>Buyer!H23</f>
        <v>44561</v>
      </c>
      <c r="I6" s="8">
        <f>Buyer!I23</f>
        <v>44926</v>
      </c>
      <c r="J6" s="8">
        <f>Buyer!J23</f>
        <v>45291</v>
      </c>
      <c r="K6" s="8">
        <f>Buyer!K23</f>
        <v>45657</v>
      </c>
      <c r="L6" s="8">
        <f>Buyer!L23</f>
        <v>46022</v>
      </c>
    </row>
    <row r="7" spans="2:14" x14ac:dyDescent="0.25">
      <c r="C7" s="10" t="s">
        <v>79</v>
      </c>
      <c r="D7" s="130"/>
      <c r="E7" s="131"/>
      <c r="F7" s="131"/>
      <c r="G7" s="132"/>
      <c r="H7" s="133"/>
      <c r="I7" s="133"/>
      <c r="J7" s="133"/>
      <c r="K7" s="133"/>
      <c r="L7" s="133"/>
    </row>
    <row r="8" spans="2:14" x14ac:dyDescent="0.25">
      <c r="C8" s="13" t="s">
        <v>235</v>
      </c>
      <c r="D8" s="14" t="s">
        <v>3</v>
      </c>
      <c r="E8" s="134">
        <v>363</v>
      </c>
      <c r="F8" s="134">
        <v>1013</v>
      </c>
      <c r="G8" s="135">
        <v>2899</v>
      </c>
      <c r="H8" s="136">
        <f>H27*H37*Units</f>
        <v>11062.052464043578</v>
      </c>
      <c r="I8" s="136">
        <f>I27*I37*Units</f>
        <v>36992.437236911603</v>
      </c>
      <c r="J8" s="136">
        <f>J27*J37*Units</f>
        <v>108965.16099048924</v>
      </c>
      <c r="K8" s="136">
        <f>K27*K37*Units</f>
        <v>279889.01206145721</v>
      </c>
      <c r="L8" s="136">
        <f>L27*L37*Units</f>
        <v>486574.03117490467</v>
      </c>
    </row>
    <row r="9" spans="2:14" x14ac:dyDescent="0.25">
      <c r="C9" s="13" t="s">
        <v>236</v>
      </c>
      <c r="D9" s="16" t="s">
        <v>3</v>
      </c>
      <c r="E9" s="67">
        <f>234710-E8</f>
        <v>234347</v>
      </c>
      <c r="F9" s="67">
        <f>383912-F8</f>
        <v>382899</v>
      </c>
      <c r="G9" s="68">
        <f>445529-G8</f>
        <v>442630</v>
      </c>
      <c r="H9" s="19">
        <f>H28*H42*Units</f>
        <v>618429.41431172029</v>
      </c>
      <c r="I9" s="19">
        <f>I28*I42*Units</f>
        <v>689416.50577924866</v>
      </c>
      <c r="J9" s="19">
        <f>J28*J42*Units</f>
        <v>742487.31108436431</v>
      </c>
      <c r="K9" s="19">
        <f>K28*K42*Units</f>
        <v>799560.3643905808</v>
      </c>
      <c r="L9" s="19">
        <f>L28*L42*Units</f>
        <v>860932.78600613447</v>
      </c>
    </row>
    <row r="10" spans="2:14" x14ac:dyDescent="0.25">
      <c r="C10" s="83" t="s">
        <v>237</v>
      </c>
      <c r="D10" s="78" t="s">
        <v>3</v>
      </c>
      <c r="E10" s="137">
        <f t="shared" ref="E10:L10" si="0">SUM(E8:E9)</f>
        <v>234710</v>
      </c>
      <c r="F10" s="137">
        <f t="shared" si="0"/>
        <v>383912</v>
      </c>
      <c r="G10" s="137">
        <f t="shared" si="0"/>
        <v>445529</v>
      </c>
      <c r="H10" s="137">
        <f t="shared" si="0"/>
        <v>629491.4667757639</v>
      </c>
      <c r="I10" s="137">
        <f t="shared" si="0"/>
        <v>726408.94301616028</v>
      </c>
      <c r="J10" s="137">
        <f t="shared" si="0"/>
        <v>851452.47207485349</v>
      </c>
      <c r="K10" s="137">
        <f t="shared" si="0"/>
        <v>1079449.3764520381</v>
      </c>
      <c r="L10" s="137">
        <f t="shared" si="0"/>
        <v>1347506.8171810391</v>
      </c>
    </row>
    <row r="11" spans="2:14" x14ac:dyDescent="0.25">
      <c r="C11" s="138" t="s">
        <v>238</v>
      </c>
      <c r="D11" s="14" t="s">
        <v>11</v>
      </c>
      <c r="E11" s="139" t="str">
        <f>IFERROR(+E10/#REF!-1,"N/A")</f>
        <v>N/A</v>
      </c>
      <c r="F11" s="139">
        <f t="shared" ref="F11:L11" si="1">IFERROR(+F10/E10-1,"N/A")</f>
        <v>0.63568659196455202</v>
      </c>
      <c r="G11" s="140">
        <f t="shared" si="1"/>
        <v>0.16049771822709369</v>
      </c>
      <c r="H11" s="139">
        <f t="shared" si="1"/>
        <v>0.41290795161653659</v>
      </c>
      <c r="I11" s="139">
        <f t="shared" si="1"/>
        <v>0.15396154095115011</v>
      </c>
      <c r="J11" s="139">
        <f t="shared" si="1"/>
        <v>0.17213930288288237</v>
      </c>
      <c r="K11" s="139">
        <f t="shared" si="1"/>
        <v>0.26777408235317313</v>
      </c>
      <c r="L11" s="139">
        <f t="shared" si="1"/>
        <v>0.24832794068588848</v>
      </c>
    </row>
    <row r="12" spans="2:14" x14ac:dyDescent="0.25">
      <c r="D12" s="27"/>
      <c r="E12" s="141"/>
      <c r="F12" s="141"/>
      <c r="G12" s="141"/>
    </row>
    <row r="13" spans="2:14" x14ac:dyDescent="0.25">
      <c r="C13" s="38" t="s">
        <v>239</v>
      </c>
      <c r="D13" s="14" t="s">
        <v>240</v>
      </c>
      <c r="E13" s="68">
        <v>103861.7</v>
      </c>
      <c r="F13" s="68">
        <v>109608.3</v>
      </c>
      <c r="G13" s="68">
        <v>107658.1</v>
      </c>
      <c r="H13" s="20">
        <f>+G13*(1+H23)</f>
        <v>120819.437297625</v>
      </c>
      <c r="I13" s="20">
        <f t="shared" ref="I13:L13" si="2">+H13*(1+I23)</f>
        <v>129103.1199673434</v>
      </c>
      <c r="J13" s="20">
        <f t="shared" si="2"/>
        <v>137623.92588518804</v>
      </c>
      <c r="K13" s="20">
        <f t="shared" si="2"/>
        <v>146707.10499361044</v>
      </c>
      <c r="L13" s="20">
        <f t="shared" si="2"/>
        <v>156389.77392318871</v>
      </c>
      <c r="N13" s="44" t="s">
        <v>241</v>
      </c>
    </row>
    <row r="14" spans="2:14" x14ac:dyDescent="0.25">
      <c r="C14" s="38"/>
      <c r="D14" s="14"/>
      <c r="E14" s="68"/>
      <c r="F14" s="68"/>
      <c r="G14" s="68"/>
      <c r="H14" s="20"/>
      <c r="I14" s="20"/>
      <c r="J14" s="20"/>
      <c r="K14" s="20"/>
      <c r="L14" s="20"/>
    </row>
    <row r="15" spans="2:14" x14ac:dyDescent="0.25">
      <c r="C15" s="10" t="s">
        <v>242</v>
      </c>
      <c r="D15" s="130"/>
      <c r="E15" s="131"/>
      <c r="F15" s="131"/>
      <c r="G15" s="132"/>
      <c r="H15" s="133"/>
      <c r="I15" s="133"/>
      <c r="J15" s="133"/>
      <c r="K15" s="133"/>
      <c r="L15" s="133"/>
    </row>
    <row r="16" spans="2:14" x14ac:dyDescent="0.25">
      <c r="C16" s="13" t="s">
        <v>46</v>
      </c>
      <c r="D16" s="14" t="s">
        <v>11</v>
      </c>
      <c r="E16" s="142"/>
      <c r="F16" s="142"/>
      <c r="G16" s="143">
        <v>-0.03</v>
      </c>
      <c r="H16" s="84">
        <f>8.5%/2</f>
        <v>4.2500000000000003E-2</v>
      </c>
      <c r="I16" s="84">
        <v>2.5000000000000001E-2</v>
      </c>
      <c r="J16" s="84">
        <v>2.5000000000000001E-2</v>
      </c>
      <c r="K16" s="84">
        <v>2.5000000000000001E-2</v>
      </c>
      <c r="L16" s="84">
        <v>2.5000000000000001E-2</v>
      </c>
      <c r="N16" s="44" t="s">
        <v>51</v>
      </c>
    </row>
    <row r="17" spans="3:14" x14ac:dyDescent="0.25">
      <c r="C17" s="13" t="s">
        <v>52</v>
      </c>
      <c r="D17" s="14" t="s">
        <v>11</v>
      </c>
      <c r="E17" s="142"/>
      <c r="F17" s="142"/>
      <c r="G17" s="142"/>
      <c r="H17" s="84">
        <f>H16+0.5%</f>
        <v>4.7500000000000001E-2</v>
      </c>
      <c r="I17" s="84">
        <f t="shared" ref="I17:L17" si="3">I16+0.5%</f>
        <v>3.0000000000000002E-2</v>
      </c>
      <c r="J17" s="84">
        <f t="shared" si="3"/>
        <v>3.0000000000000002E-2</v>
      </c>
      <c r="K17" s="84">
        <f t="shared" si="3"/>
        <v>3.0000000000000002E-2</v>
      </c>
      <c r="L17" s="84">
        <f t="shared" si="3"/>
        <v>3.0000000000000002E-2</v>
      </c>
    </row>
    <row r="18" spans="3:14" x14ac:dyDescent="0.25">
      <c r="C18" s="60" t="s">
        <v>53</v>
      </c>
      <c r="D18" s="16" t="s">
        <v>11</v>
      </c>
      <c r="E18" s="144"/>
      <c r="F18" s="144"/>
      <c r="G18" s="144"/>
      <c r="H18" s="86">
        <v>-0.01</v>
      </c>
      <c r="I18" s="86">
        <v>0.01</v>
      </c>
      <c r="J18" s="86">
        <v>0.02</v>
      </c>
      <c r="K18" s="86">
        <f>K16</f>
        <v>2.5000000000000001E-2</v>
      </c>
      <c r="L18" s="86">
        <f>L16</f>
        <v>2.5000000000000001E-2</v>
      </c>
    </row>
    <row r="19" spans="3:14" x14ac:dyDescent="0.25">
      <c r="C19" s="1" t="s">
        <v>243</v>
      </c>
      <c r="D19" s="14" t="s">
        <v>11</v>
      </c>
      <c r="E19" s="145"/>
      <c r="F19" s="145"/>
      <c r="G19" s="145"/>
      <c r="H19" s="77">
        <f>INDEX(H16:H18,MATCH(Scenario,$C16:$C18,0))</f>
        <v>4.2500000000000003E-2</v>
      </c>
      <c r="I19" s="77">
        <f>INDEX(I16:I18,MATCH(Scenario,$C16:$C18,0))</f>
        <v>2.5000000000000001E-2</v>
      </c>
      <c r="J19" s="77">
        <f>INDEX(J16:J18,MATCH(Scenario,$C16:$C18,0))</f>
        <v>2.5000000000000001E-2</v>
      </c>
      <c r="K19" s="77">
        <f>INDEX(K16:K18,MATCH(Scenario,$C16:$C18,0))</f>
        <v>2.5000000000000001E-2</v>
      </c>
      <c r="L19" s="77">
        <f>INDEX(L16:L18,MATCH(Scenario,$C16:$C18,0))</f>
        <v>2.5000000000000001E-2</v>
      </c>
    </row>
    <row r="20" spans="3:14" x14ac:dyDescent="0.25">
      <c r="C20" s="1"/>
      <c r="D20" s="14"/>
      <c r="E20" s="145"/>
      <c r="F20" s="145"/>
      <c r="G20" s="145"/>
      <c r="H20" s="77"/>
      <c r="I20" s="77"/>
      <c r="J20" s="77"/>
      <c r="K20" s="77"/>
      <c r="L20" s="77"/>
    </row>
    <row r="21" spans="3:14" x14ac:dyDescent="0.25">
      <c r="C21" s="10" t="s">
        <v>244</v>
      </c>
      <c r="D21" s="130"/>
      <c r="E21" s="131"/>
      <c r="F21" s="131"/>
      <c r="G21" s="132"/>
      <c r="H21" s="133"/>
      <c r="I21" s="133"/>
      <c r="J21" s="133"/>
      <c r="K21" s="133"/>
      <c r="L21" s="133"/>
    </row>
    <row r="22" spans="3:14" x14ac:dyDescent="0.25">
      <c r="C22" s="146" t="s">
        <v>46</v>
      </c>
      <c r="D22" s="147" t="s">
        <v>11</v>
      </c>
      <c r="E22" s="148"/>
      <c r="F22" s="148"/>
      <c r="G22" s="149">
        <v>4.9000000000000002E-2</v>
      </c>
      <c r="H22" s="150">
        <f>15.3%/2</f>
        <v>7.6499999999999999E-2</v>
      </c>
      <c r="I22" s="150">
        <v>4.2500000000000003E-2</v>
      </c>
      <c r="J22" s="150">
        <v>0.04</v>
      </c>
      <c r="K22" s="150">
        <v>0.04</v>
      </c>
      <c r="L22" s="150">
        <v>0.04</v>
      </c>
      <c r="N22" s="44" t="s">
        <v>51</v>
      </c>
    </row>
    <row r="23" spans="3:14" x14ac:dyDescent="0.25">
      <c r="C23" s="1" t="s">
        <v>245</v>
      </c>
      <c r="D23" s="14" t="s">
        <v>11</v>
      </c>
      <c r="E23" s="145"/>
      <c r="F23" s="145">
        <f>F13/E13-1</f>
        <v>5.5329346621517006E-2</v>
      </c>
      <c r="G23" s="145">
        <f>G13/F13-1</f>
        <v>-1.7792448199634436E-2</v>
      </c>
      <c r="H23" s="77">
        <f>(1+H19)*(1+H22)-1</f>
        <v>0.12225124999999992</v>
      </c>
      <c r="I23" s="77">
        <f t="shared" ref="I23:L23" si="4">(1+I19)*(1+I22)-1</f>
        <v>6.856249999999986E-2</v>
      </c>
      <c r="J23" s="77">
        <f t="shared" si="4"/>
        <v>6.5999999999999837E-2</v>
      </c>
      <c r="K23" s="77">
        <f t="shared" si="4"/>
        <v>6.5999999999999837E-2</v>
      </c>
      <c r="L23" s="77">
        <f t="shared" si="4"/>
        <v>6.5999999999999837E-2</v>
      </c>
      <c r="N23" s="44"/>
    </row>
    <row r="24" spans="3:14" x14ac:dyDescent="0.25">
      <c r="C24" s="13"/>
      <c r="D24" s="14"/>
      <c r="E24" s="142"/>
      <c r="F24" s="142"/>
      <c r="G24" s="142"/>
      <c r="H24" s="80"/>
      <c r="I24" s="80"/>
      <c r="J24" s="80"/>
      <c r="K24" s="80"/>
      <c r="L24" s="80"/>
      <c r="N24" s="44"/>
    </row>
    <row r="25" spans="3:14" x14ac:dyDescent="0.25">
      <c r="C25" s="1"/>
      <c r="D25" s="151"/>
      <c r="E25" s="145"/>
      <c r="F25" s="145"/>
      <c r="G25" s="152"/>
      <c r="H25" s="77"/>
      <c r="I25" s="77"/>
      <c r="J25" s="77"/>
      <c r="K25" s="77"/>
      <c r="L25" s="77"/>
    </row>
    <row r="26" spans="3:14" x14ac:dyDescent="0.25">
      <c r="C26" s="10" t="s">
        <v>246</v>
      </c>
      <c r="D26" s="130"/>
      <c r="E26" s="131"/>
      <c r="F26" s="131"/>
      <c r="G26" s="132"/>
      <c r="H26" s="133"/>
      <c r="I26" s="133"/>
      <c r="J26" s="133"/>
      <c r="K26" s="133"/>
      <c r="L26" s="133"/>
    </row>
    <row r="27" spans="3:14" x14ac:dyDescent="0.25">
      <c r="C27" s="13" t="s">
        <v>235</v>
      </c>
      <c r="D27" s="14" t="s">
        <v>240</v>
      </c>
      <c r="E27" s="67">
        <v>4336.1490000000003</v>
      </c>
      <c r="F27" s="67">
        <v>4738.3410000000003</v>
      </c>
      <c r="G27" s="68">
        <v>5811.4350000000004</v>
      </c>
      <c r="H27" s="19">
        <f t="shared" ref="H27:L28" si="5">+H33*H$13</f>
        <v>7391.79014158665</v>
      </c>
      <c r="I27" s="19">
        <f t="shared" si="5"/>
        <v>8828.1322169340565</v>
      </c>
      <c r="J27" s="19">
        <f t="shared" si="5"/>
        <v>10401.681209625056</v>
      </c>
      <c r="K27" s="19">
        <f t="shared" si="5"/>
        <v>12144.483325414303</v>
      </c>
      <c r="L27" s="19">
        <f t="shared" si="5"/>
        <v>14075.079653086983</v>
      </c>
      <c r="N27" s="44" t="s">
        <v>247</v>
      </c>
    </row>
    <row r="28" spans="3:14" x14ac:dyDescent="0.25">
      <c r="C28" s="13" t="s">
        <v>236</v>
      </c>
      <c r="D28" s="14" t="s">
        <v>240</v>
      </c>
      <c r="E28" s="67">
        <f>15507.779-E29</f>
        <v>8840.0400000000009</v>
      </c>
      <c r="F28" s="67">
        <f>17564.174-F29</f>
        <v>9906.3189999999995</v>
      </c>
      <c r="G28" s="68">
        <f>19925.665-G29</f>
        <v>10616.128000000001</v>
      </c>
      <c r="H28" s="19">
        <f t="shared" si="5"/>
        <v>12871.646700000001</v>
      </c>
      <c r="I28" s="19">
        <f t="shared" si="5"/>
        <v>14201.343196407774</v>
      </c>
      <c r="J28" s="19">
        <f t="shared" si="5"/>
        <v>15138.631847370685</v>
      </c>
      <c r="K28" s="19">
        <f t="shared" si="5"/>
        <v>16137.781549297148</v>
      </c>
      <c r="L28" s="19">
        <f t="shared" si="5"/>
        <v>17202.875131550758</v>
      </c>
      <c r="N28" s="44" t="s">
        <v>247</v>
      </c>
    </row>
    <row r="29" spans="3:14" x14ac:dyDescent="0.25">
      <c r="C29" s="13" t="s">
        <v>248</v>
      </c>
      <c r="D29" s="16" t="s">
        <v>240</v>
      </c>
      <c r="E29" s="67">
        <v>6667.7389999999996</v>
      </c>
      <c r="F29" s="67">
        <v>7657.8549999999996</v>
      </c>
      <c r="G29" s="68">
        <v>9309.5370000000003</v>
      </c>
      <c r="H29" s="19"/>
      <c r="I29" s="19"/>
      <c r="J29" s="19"/>
      <c r="K29" s="19"/>
      <c r="L29" s="19"/>
      <c r="N29" s="44" t="s">
        <v>247</v>
      </c>
    </row>
    <row r="30" spans="3:14" x14ac:dyDescent="0.25">
      <c r="C30" s="83" t="s">
        <v>249</v>
      </c>
      <c r="D30" s="14" t="s">
        <v>240</v>
      </c>
      <c r="E30" s="137">
        <f>SUM(E27:E28)</f>
        <v>13176.189000000002</v>
      </c>
      <c r="F30" s="137">
        <f t="shared" ref="F30:L30" si="6">SUM(F27:F28)</f>
        <v>14644.66</v>
      </c>
      <c r="G30" s="137">
        <f t="shared" si="6"/>
        <v>16427.563000000002</v>
      </c>
      <c r="H30" s="137">
        <f t="shared" si="6"/>
        <v>20263.436841586652</v>
      </c>
      <c r="I30" s="137">
        <f t="shared" si="6"/>
        <v>23029.475413341832</v>
      </c>
      <c r="J30" s="137">
        <f t="shared" si="6"/>
        <v>25540.313056995743</v>
      </c>
      <c r="K30" s="137">
        <f t="shared" si="6"/>
        <v>28282.264874711451</v>
      </c>
      <c r="L30" s="137">
        <f t="shared" si="6"/>
        <v>31277.954784637739</v>
      </c>
    </row>
    <row r="31" spans="3:14" x14ac:dyDescent="0.25">
      <c r="C31" s="1"/>
      <c r="D31" s="151"/>
      <c r="E31" s="145"/>
      <c r="F31" s="145"/>
      <c r="G31" s="42"/>
      <c r="H31" s="77"/>
      <c r="I31" s="77"/>
      <c r="J31" s="77"/>
      <c r="K31" s="77"/>
      <c r="L31" s="77"/>
    </row>
    <row r="32" spans="3:14" x14ac:dyDescent="0.25">
      <c r="C32" s="10" t="s">
        <v>250</v>
      </c>
      <c r="D32" s="130"/>
      <c r="E32" s="131"/>
      <c r="F32" s="131"/>
      <c r="G32" s="132"/>
      <c r="H32" s="133"/>
      <c r="I32" s="133"/>
      <c r="J32" s="133"/>
      <c r="K32" s="133"/>
      <c r="L32" s="133"/>
    </row>
    <row r="33" spans="2:12" x14ac:dyDescent="0.25">
      <c r="C33" s="13" t="s">
        <v>235</v>
      </c>
      <c r="D33" s="14" t="s">
        <v>11</v>
      </c>
      <c r="E33" s="142">
        <f t="shared" ref="E33:G34" si="7">+E27/E$13</f>
        <v>4.1749258870209138E-2</v>
      </c>
      <c r="F33" s="142">
        <f t="shared" si="7"/>
        <v>4.3229764534255165E-2</v>
      </c>
      <c r="G33" s="145">
        <f t="shared" si="7"/>
        <v>5.3980471511200737E-2</v>
      </c>
      <c r="H33" s="153">
        <f>G33+0.72%</f>
        <v>6.1180471511200735E-2</v>
      </c>
      <c r="I33" s="153">
        <f t="shared" ref="I33:K33" si="8">H33+0.72%</f>
        <v>6.8380471511200733E-2</v>
      </c>
      <c r="J33" s="153">
        <f t="shared" si="8"/>
        <v>7.5580471511200731E-2</v>
      </c>
      <c r="K33" s="153">
        <f t="shared" si="8"/>
        <v>8.2780471511200729E-2</v>
      </c>
      <c r="L33" s="153">
        <v>0.09</v>
      </c>
    </row>
    <row r="34" spans="2:12" x14ac:dyDescent="0.25">
      <c r="C34" s="13" t="s">
        <v>236</v>
      </c>
      <c r="D34" s="14" t="s">
        <v>11</v>
      </c>
      <c r="E34" s="142">
        <f t="shared" si="7"/>
        <v>8.5113569294552285E-2</v>
      </c>
      <c r="F34" s="142">
        <f t="shared" si="7"/>
        <v>9.0379277846659417E-2</v>
      </c>
      <c r="G34" s="145">
        <f t="shared" si="7"/>
        <v>9.8609654080835538E-2</v>
      </c>
      <c r="H34" s="84">
        <f>(SUM(G28:G29)*1.23-G29*1.25)/H13</f>
        <v>0.10653622453390639</v>
      </c>
      <c r="I34" s="84">
        <v>0.11</v>
      </c>
      <c r="J34" s="84">
        <f>I34</f>
        <v>0.11</v>
      </c>
      <c r="K34" s="84">
        <f t="shared" ref="K34:L34" si="9">J34</f>
        <v>0.11</v>
      </c>
      <c r="L34" s="84">
        <f t="shared" si="9"/>
        <v>0.11</v>
      </c>
    </row>
    <row r="35" spans="2:12" x14ac:dyDescent="0.25">
      <c r="C35" s="1"/>
      <c r="D35" s="151"/>
      <c r="E35" s="145"/>
      <c r="F35" s="145"/>
      <c r="G35" s="42"/>
      <c r="H35" s="77"/>
      <c r="I35" s="77"/>
      <c r="J35" s="77"/>
      <c r="K35" s="77"/>
      <c r="L35" s="77"/>
    </row>
    <row r="36" spans="2:12" x14ac:dyDescent="0.25">
      <c r="C36" s="10" t="str">
        <f>Company_Name&amp;" - Lending Market Share by Segment:"</f>
        <v>TCS Group Holding PLC - Lending Market Share by Segment:</v>
      </c>
      <c r="D36" s="130"/>
      <c r="E36" s="131"/>
      <c r="F36" s="131"/>
      <c r="G36" s="132"/>
      <c r="H36" s="133"/>
      <c r="I36" s="133"/>
      <c r="J36" s="133"/>
      <c r="K36" s="133"/>
      <c r="L36" s="133"/>
    </row>
    <row r="37" spans="2:12" x14ac:dyDescent="0.25">
      <c r="C37" s="13" t="str">
        <f>+$C$8</f>
        <v>SME loans</v>
      </c>
      <c r="D37" s="14" t="s">
        <v>11</v>
      </c>
      <c r="E37" s="42">
        <f>+E8/(E27*Units)</f>
        <v>8.3714835444999698E-5</v>
      </c>
      <c r="F37" s="42">
        <f>+F8/(F27*Units)</f>
        <v>2.1378790593585393E-4</v>
      </c>
      <c r="G37" s="40">
        <f>+G8/(G27*Units)</f>
        <v>4.9884408928259545E-4</v>
      </c>
      <c r="H37" s="42">
        <f>INDEX(H38:H40,MATCH(Scenario,$C38:$C40,0))</f>
        <v>1.4965322678477863E-3</v>
      </c>
      <c r="I37" s="42">
        <f>INDEX(I38:I40,MATCH(Scenario,$C38:$C40,0))</f>
        <v>4.1902903499738018E-3</v>
      </c>
      <c r="J37" s="42">
        <f>INDEX(J38:J40,MATCH(Scenario,$C38:$C40,0))</f>
        <v>1.0475725874934505E-2</v>
      </c>
      <c r="K37" s="42">
        <f>INDEX(K38:K40,MATCH(Scenario,$C38:$C40,0))</f>
        <v>2.3046596924855913E-2</v>
      </c>
      <c r="L37" s="42">
        <f>INDEX(L38:L40,MATCH(Scenario,$C38:$C40,0))</f>
        <v>3.4569895387283868E-2</v>
      </c>
    </row>
    <row r="38" spans="2:12" x14ac:dyDescent="0.25">
      <c r="C38" s="41" t="str">
        <f>+$C$16</f>
        <v>Base</v>
      </c>
      <c r="D38" s="14" t="s">
        <v>11</v>
      </c>
      <c r="E38" s="42"/>
      <c r="F38" s="42"/>
      <c r="G38" s="42"/>
      <c r="H38" s="43">
        <f>G37*3</f>
        <v>1.4965322678477863E-3</v>
      </c>
      <c r="I38" s="43">
        <f>H38*2.8</f>
        <v>4.1902903499738018E-3</v>
      </c>
      <c r="J38" s="43">
        <f>I38*2.5</f>
        <v>1.0475725874934505E-2</v>
      </c>
      <c r="K38" s="43">
        <f>J38*2.2</f>
        <v>2.3046596924855913E-2</v>
      </c>
      <c r="L38" s="43">
        <f>K38*1.5</f>
        <v>3.4569895387283868E-2</v>
      </c>
    </row>
    <row r="39" spans="2:12" x14ac:dyDescent="0.25">
      <c r="C39" s="41" t="str">
        <f>+$C$17</f>
        <v>Upside</v>
      </c>
      <c r="D39" s="14" t="s">
        <v>11</v>
      </c>
      <c r="E39" s="42"/>
      <c r="F39" s="42"/>
      <c r="G39" s="42"/>
      <c r="H39" s="43">
        <f>G37*4</f>
        <v>1.9953763571303818E-3</v>
      </c>
      <c r="I39" s="43">
        <f>H39*3.8</f>
        <v>7.5824301570954506E-3</v>
      </c>
      <c r="J39" s="43">
        <f>I39*2.5</f>
        <v>1.8956075392738626E-2</v>
      </c>
      <c r="K39" s="43">
        <f>J39*2.2</f>
        <v>4.1703365864024983E-2</v>
      </c>
      <c r="L39" s="43">
        <f>K39*1.5</f>
        <v>6.2555048796037474E-2</v>
      </c>
    </row>
    <row r="40" spans="2:12" x14ac:dyDescent="0.25">
      <c r="C40" s="41" t="str">
        <f>+$C$18</f>
        <v>Downside</v>
      </c>
      <c r="D40" s="14" t="s">
        <v>11</v>
      </c>
      <c r="E40" s="42"/>
      <c r="F40" s="42"/>
      <c r="G40" s="42"/>
      <c r="H40" s="45">
        <f>G37*2</f>
        <v>9.9768817856519089E-4</v>
      </c>
      <c r="I40" s="45">
        <v>2.5000000000000001E-3</v>
      </c>
      <c r="J40" s="45">
        <f t="shared" ref="J40:K40" si="10">I40+0.004</f>
        <v>6.5000000000000006E-3</v>
      </c>
      <c r="K40" s="45">
        <f t="shared" si="10"/>
        <v>1.0500000000000001E-2</v>
      </c>
      <c r="L40" s="45">
        <v>1.6E-2</v>
      </c>
    </row>
    <row r="41" spans="2:12" x14ac:dyDescent="0.25">
      <c r="C41" s="24"/>
      <c r="D41" s="14"/>
      <c r="E41" s="42"/>
      <c r="F41" s="42"/>
      <c r="G41" s="42"/>
      <c r="H41" s="65"/>
      <c r="I41" s="65"/>
      <c r="J41" s="65"/>
      <c r="K41" s="65"/>
      <c r="L41" s="65"/>
    </row>
    <row r="42" spans="2:12" x14ac:dyDescent="0.25">
      <c r="C42" s="13" t="str">
        <f>+$C$9</f>
        <v>Loans to individuals</v>
      </c>
      <c r="D42" s="14" t="s">
        <v>11</v>
      </c>
      <c r="E42" s="42">
        <f>+E9/(E29*Units)</f>
        <v>3.5146396702090466E-2</v>
      </c>
      <c r="F42" s="42">
        <f>+F9/(F29*Units)</f>
        <v>5.0000816155437784E-2</v>
      </c>
      <c r="G42" s="40">
        <f>+G9/(G29*Units)</f>
        <v>4.7545866137059231E-2</v>
      </c>
      <c r="H42" s="42">
        <f>INDEX(H43:H45,MATCH(Scenario,$C43:$C45,0))</f>
        <v>4.8045866137059232E-2</v>
      </c>
      <c r="I42" s="42">
        <f>INDEX(I43:I45,MATCH(Scenario,$C43:$C45,0))</f>
        <v>4.8545866137059232E-2</v>
      </c>
      <c r="J42" s="42">
        <f>INDEX(J43:J45,MATCH(Scenario,$C43:$C45,0))</f>
        <v>4.9045866137059232E-2</v>
      </c>
      <c r="K42" s="42">
        <f>INDEX(K43:K45,MATCH(Scenario,$C43:$C45,0))</f>
        <v>4.9545866137059233E-2</v>
      </c>
      <c r="L42" s="42">
        <f>INDEX(L43:L45,MATCH(Scenario,$C43:$C45,0))</f>
        <v>5.0045866137059233E-2</v>
      </c>
    </row>
    <row r="43" spans="2:12" x14ac:dyDescent="0.25">
      <c r="C43" s="41" t="str">
        <f>+$C$16</f>
        <v>Base</v>
      </c>
      <c r="D43" s="14" t="s">
        <v>11</v>
      </c>
      <c r="E43" s="145"/>
      <c r="F43" s="145"/>
      <c r="G43" s="42"/>
      <c r="H43" s="43">
        <f>G42+0.0005</f>
        <v>4.8045866137059232E-2</v>
      </c>
      <c r="I43" s="43">
        <f>H43+0.0005</f>
        <v>4.8545866137059232E-2</v>
      </c>
      <c r="J43" s="43">
        <f t="shared" ref="J43:L43" si="11">I43+0.0005</f>
        <v>4.9045866137059232E-2</v>
      </c>
      <c r="K43" s="43">
        <f t="shared" si="11"/>
        <v>4.9545866137059233E-2</v>
      </c>
      <c r="L43" s="43">
        <f t="shared" si="11"/>
        <v>5.0045866137059233E-2</v>
      </c>
    </row>
    <row r="44" spans="2:12" x14ac:dyDescent="0.25">
      <c r="C44" s="41" t="str">
        <f>+$C$17</f>
        <v>Upside</v>
      </c>
      <c r="D44" s="14" t="s">
        <v>11</v>
      </c>
      <c r="E44" s="145"/>
      <c r="F44" s="145"/>
      <c r="G44" s="42"/>
      <c r="H44" s="43">
        <f>G42+0.0025</f>
        <v>5.0045866137059233E-2</v>
      </c>
      <c r="I44" s="43">
        <f>H44+0.0025</f>
        <v>5.2545866137059236E-2</v>
      </c>
      <c r="J44" s="43">
        <f t="shared" ref="J44:K44" si="12">I44+0.0025</f>
        <v>5.5045866137059238E-2</v>
      </c>
      <c r="K44" s="43">
        <f t="shared" si="12"/>
        <v>5.754586613705924E-2</v>
      </c>
      <c r="L44" s="43">
        <v>0.06</v>
      </c>
    </row>
    <row r="45" spans="2:12" x14ac:dyDescent="0.25">
      <c r="C45" s="41" t="str">
        <f>+$C$18</f>
        <v>Downside</v>
      </c>
      <c r="D45" s="14" t="s">
        <v>11</v>
      </c>
      <c r="E45" s="145"/>
      <c r="F45" s="145"/>
      <c r="G45" s="42"/>
      <c r="H45" s="45">
        <f>G42</f>
        <v>4.7545866137059231E-2</v>
      </c>
      <c r="I45" s="45">
        <f>H45</f>
        <v>4.7545866137059231E-2</v>
      </c>
      <c r="J45" s="45">
        <f t="shared" ref="J45:L45" si="13">I45</f>
        <v>4.7545866137059231E-2</v>
      </c>
      <c r="K45" s="45">
        <f t="shared" si="13"/>
        <v>4.7545866137059231E-2</v>
      </c>
      <c r="L45" s="45">
        <f t="shared" si="13"/>
        <v>4.7545866137059231E-2</v>
      </c>
    </row>
    <row r="47" spans="2:12" x14ac:dyDescent="0.25">
      <c r="B47" s="2"/>
      <c r="C47" s="2"/>
      <c r="D47" s="3"/>
      <c r="E47" s="4" t="s">
        <v>55</v>
      </c>
      <c r="F47" s="4"/>
      <c r="G47" s="4"/>
      <c r="H47" s="5" t="s">
        <v>0</v>
      </c>
      <c r="I47" s="4"/>
      <c r="J47" s="4"/>
      <c r="K47" s="4"/>
      <c r="L47" s="4"/>
    </row>
    <row r="48" spans="2:12" x14ac:dyDescent="0.25">
      <c r="B48" s="6" t="s">
        <v>251</v>
      </c>
      <c r="C48" s="6"/>
      <c r="D48" s="7" t="str">
        <f>+$D$6</f>
        <v>Units:</v>
      </c>
      <c r="E48" s="8">
        <f>E6</f>
        <v>43465</v>
      </c>
      <c r="F48" s="8">
        <f t="shared" ref="F48:L48" si="14">F6</f>
        <v>43830</v>
      </c>
      <c r="G48" s="8">
        <f t="shared" si="14"/>
        <v>44196</v>
      </c>
      <c r="H48" s="8">
        <f t="shared" si="14"/>
        <v>44561</v>
      </c>
      <c r="I48" s="8">
        <f t="shared" si="14"/>
        <v>44926</v>
      </c>
      <c r="J48" s="8">
        <f t="shared" si="14"/>
        <v>45291</v>
      </c>
      <c r="K48" s="8">
        <f t="shared" si="14"/>
        <v>45657</v>
      </c>
      <c r="L48" s="8">
        <f t="shared" si="14"/>
        <v>46022</v>
      </c>
    </row>
    <row r="49" spans="3:14" x14ac:dyDescent="0.25">
      <c r="C49" s="10" t="s">
        <v>4</v>
      </c>
      <c r="D49" s="11"/>
      <c r="E49" s="154"/>
      <c r="F49" s="154"/>
      <c r="G49" s="154"/>
      <c r="H49" s="12"/>
      <c r="I49" s="12"/>
      <c r="J49" s="12"/>
      <c r="K49" s="12"/>
      <c r="L49" s="12"/>
    </row>
    <row r="50" spans="3:14" x14ac:dyDescent="0.25">
      <c r="C50" s="13" t="str">
        <f>+$C$8</f>
        <v>SME loans</v>
      </c>
      <c r="D50" s="78" t="s">
        <v>3</v>
      </c>
      <c r="E50" s="134">
        <v>33</v>
      </c>
      <c r="F50" s="134">
        <v>75</v>
      </c>
      <c r="G50" s="135">
        <v>639</v>
      </c>
      <c r="H50" s="136">
        <f>+H66*AVERAGE(H8,G8)</f>
        <v>1225.3332696205621</v>
      </c>
      <c r="I50" s="136">
        <f t="shared" ref="I50:L50" si="15">+I66*AVERAGE(I8,H8)</f>
        <v>4217.6451336223008</v>
      </c>
      <c r="J50" s="136">
        <f t="shared" si="15"/>
        <v>12810.402476644342</v>
      </c>
      <c r="K50" s="136">
        <f t="shared" si="15"/>
        <v>34128.942391592325</v>
      </c>
      <c r="L50" s="136">
        <f t="shared" si="15"/>
        <v>67270.907349639907</v>
      </c>
    </row>
    <row r="51" spans="3:14" x14ac:dyDescent="0.25">
      <c r="C51" s="13" t="str">
        <f>+$C$9</f>
        <v>Loans to individuals</v>
      </c>
      <c r="D51" s="14" t="s">
        <v>3</v>
      </c>
      <c r="E51" s="67">
        <f>-Buyer!E219-Loans!E50</f>
        <v>11574</v>
      </c>
      <c r="F51" s="67">
        <f>-Buyer!F219-Loans!F50</f>
        <v>26476</v>
      </c>
      <c r="G51" s="68">
        <f>-Buyer!G219-Loans!G50</f>
        <v>38333</v>
      </c>
      <c r="H51" s="19">
        <f>+H71*AVERAGE(H9,G9)</f>
        <v>40328.17159057004</v>
      </c>
      <c r="I51" s="19">
        <f t="shared" ref="I51:L51" si="16">+I71*AVERAGE(I9,H9)</f>
        <v>49707.899452236132</v>
      </c>
      <c r="J51" s="19">
        <f t="shared" si="16"/>
        <v>54423.024807829657</v>
      </c>
      <c r="K51" s="19">
        <f t="shared" si="16"/>
        <v>58609.312936290989</v>
      </c>
      <c r="L51" s="19">
        <f t="shared" si="16"/>
        <v>63111.124401646317</v>
      </c>
    </row>
    <row r="52" spans="3:14" x14ac:dyDescent="0.25">
      <c r="C52" s="83" t="s">
        <v>252</v>
      </c>
      <c r="D52" s="78" t="s">
        <v>3</v>
      </c>
      <c r="E52" s="102">
        <f t="shared" ref="E52:L52" si="17">SUM(E50:E51)</f>
        <v>11607</v>
      </c>
      <c r="F52" s="102">
        <f t="shared" si="17"/>
        <v>26551</v>
      </c>
      <c r="G52" s="102">
        <f t="shared" si="17"/>
        <v>38972</v>
      </c>
      <c r="H52" s="102">
        <f t="shared" si="17"/>
        <v>41553.504860190602</v>
      </c>
      <c r="I52" s="102">
        <f t="shared" si="17"/>
        <v>53925.544585858435</v>
      </c>
      <c r="J52" s="102">
        <f t="shared" si="17"/>
        <v>67233.427284474004</v>
      </c>
      <c r="K52" s="102">
        <f t="shared" si="17"/>
        <v>92738.255327883322</v>
      </c>
      <c r="L52" s="102">
        <f t="shared" si="17"/>
        <v>130382.03175128622</v>
      </c>
    </row>
    <row r="53" spans="3:14" x14ac:dyDescent="0.25">
      <c r="D53" s="27"/>
      <c r="E53" s="54"/>
      <c r="F53" s="54"/>
      <c r="G53" s="54"/>
      <c r="H53" s="54"/>
      <c r="I53" s="54"/>
      <c r="J53" s="54"/>
      <c r="K53" s="54"/>
      <c r="L53" s="54"/>
    </row>
    <row r="54" spans="3:14" x14ac:dyDescent="0.25">
      <c r="C54" s="10" t="s">
        <v>253</v>
      </c>
      <c r="D54" s="11"/>
      <c r="E54" s="154"/>
      <c r="F54" s="154"/>
      <c r="G54" s="154"/>
      <c r="H54" s="12"/>
      <c r="I54" s="12"/>
      <c r="J54" s="12"/>
      <c r="K54" s="12"/>
      <c r="L54" s="12"/>
    </row>
    <row r="55" spans="3:14" x14ac:dyDescent="0.25">
      <c r="C55" s="38" t="s">
        <v>254</v>
      </c>
      <c r="D55" s="14" t="s">
        <v>3</v>
      </c>
      <c r="E55" s="62">
        <f>(36072+575+125)</f>
        <v>36772</v>
      </c>
      <c r="F55" s="20">
        <f t="shared" ref="F55:G55" si="18">+E58</f>
        <v>36221</v>
      </c>
      <c r="G55" s="62">
        <f t="shared" si="18"/>
        <v>54737</v>
      </c>
      <c r="H55" s="62">
        <f>+G58</f>
        <v>70900</v>
      </c>
      <c r="I55" s="62">
        <f t="shared" ref="I55:L55" si="19">+H58</f>
        <v>82891.255312979411</v>
      </c>
      <c r="J55" s="62">
        <f t="shared" si="19"/>
        <v>99530.564413801549</v>
      </c>
      <c r="K55" s="62">
        <f t="shared" si="19"/>
        <v>123373.99648847651</v>
      </c>
      <c r="L55" s="62">
        <f t="shared" si="19"/>
        <v>163013.91177403028</v>
      </c>
    </row>
    <row r="56" spans="3:14" x14ac:dyDescent="0.25">
      <c r="C56" s="13" t="s">
        <v>255</v>
      </c>
      <c r="D56" s="14" t="s">
        <v>3</v>
      </c>
      <c r="E56" s="19">
        <f>-(E55+E57-E58)</f>
        <v>-12158</v>
      </c>
      <c r="F56" s="19">
        <f t="shared" ref="F56:G56" si="20">-(F55+F57-F58)</f>
        <v>-8035</v>
      </c>
      <c r="G56" s="19">
        <f t="shared" si="20"/>
        <v>-22809</v>
      </c>
      <c r="H56" s="67">
        <f>-H60*AVERAGE(G10:H10)</f>
        <v>-29562.249547211188</v>
      </c>
      <c r="I56" s="67">
        <f t="shared" ref="I56:L56" si="21">-I60*AVERAGE(H10:I10)</f>
        <v>-37286.235485036297</v>
      </c>
      <c r="J56" s="67">
        <f t="shared" si="21"/>
        <v>-43389.995209799046</v>
      </c>
      <c r="K56" s="67">
        <f t="shared" si="21"/>
        <v>-53098.340042329553</v>
      </c>
      <c r="L56" s="67">
        <f t="shared" si="21"/>
        <v>-66739.45925096162</v>
      </c>
    </row>
    <row r="57" spans="3:14" x14ac:dyDescent="0.25">
      <c r="C57" s="13" t="s">
        <v>193</v>
      </c>
      <c r="D57" s="14" t="s">
        <v>3</v>
      </c>
      <c r="E57" s="54">
        <f>E52</f>
        <v>11607</v>
      </c>
      <c r="F57" s="54">
        <f t="shared" ref="F57:G57" si="22">F52</f>
        <v>26551</v>
      </c>
      <c r="G57" s="54">
        <f t="shared" si="22"/>
        <v>38972</v>
      </c>
      <c r="H57" s="54">
        <f>+H52</f>
        <v>41553.504860190602</v>
      </c>
      <c r="I57" s="54">
        <f>+I52</f>
        <v>53925.544585858435</v>
      </c>
      <c r="J57" s="54">
        <f>+J52</f>
        <v>67233.427284474004</v>
      </c>
      <c r="K57" s="54">
        <f>+K52</f>
        <v>92738.255327883322</v>
      </c>
      <c r="L57" s="54">
        <f>+L52</f>
        <v>130382.03175128622</v>
      </c>
      <c r="N57" s="54"/>
    </row>
    <row r="58" spans="3:14" x14ac:dyDescent="0.25">
      <c r="C58" s="83" t="s">
        <v>256</v>
      </c>
      <c r="D58" s="78" t="s">
        <v>3</v>
      </c>
      <c r="E58" s="102">
        <v>36221</v>
      </c>
      <c r="F58" s="102">
        <v>54737</v>
      </c>
      <c r="G58" s="102">
        <v>70900</v>
      </c>
      <c r="H58" s="102">
        <f>SUM(H55:H57)</f>
        <v>82891.255312979411</v>
      </c>
      <c r="I58" s="102">
        <f>SUM(I55:I57)</f>
        <v>99530.564413801549</v>
      </c>
      <c r="J58" s="102">
        <f>SUM(J55:J57)</f>
        <v>123373.99648847651</v>
      </c>
      <c r="K58" s="102">
        <f>SUM(K55:K57)</f>
        <v>163013.91177403028</v>
      </c>
      <c r="L58" s="102">
        <f>SUM(L55:L57)</f>
        <v>226656.48427435488</v>
      </c>
      <c r="N58" s="97"/>
    </row>
    <row r="59" spans="3:14" x14ac:dyDescent="0.25">
      <c r="D59" s="27"/>
      <c r="E59" s="141"/>
      <c r="F59" s="141"/>
      <c r="G59" s="141"/>
    </row>
    <row r="60" spans="3:14" x14ac:dyDescent="0.25">
      <c r="C60" s="24" t="s">
        <v>257</v>
      </c>
      <c r="D60" s="14" t="s">
        <v>11</v>
      </c>
      <c r="E60" s="155">
        <f>-E56/AVERAGE(E10)</f>
        <v>5.1800093732691406E-2</v>
      </c>
      <c r="F60" s="155">
        <f>-F56/AVERAGE(E10,F10)</f>
        <v>2.5977091018424821E-2</v>
      </c>
      <c r="G60" s="156">
        <f>-G56/AVERAGE(F10,G10)</f>
        <v>5.4998486932765558E-2</v>
      </c>
      <c r="H60" s="42">
        <f>INDEX(H61:H63,MATCH(Scenario,$C61:$C63,0))</f>
        <v>5.4998486932765558E-2</v>
      </c>
      <c r="I60" s="42">
        <f>INDEX(I61:I63,MATCH(Scenario,$C61:$C63,0))</f>
        <v>5.4998486932765558E-2</v>
      </c>
      <c r="J60" s="42">
        <f>INDEX(J61:J63,MATCH(Scenario,$C61:$C63,0))</f>
        <v>5.4998486932765558E-2</v>
      </c>
      <c r="K60" s="42">
        <f>INDEX(K61:K63,MATCH(Scenario,$C61:$C63,0))</f>
        <v>5.4998486932765558E-2</v>
      </c>
      <c r="L60" s="42">
        <f>INDEX(L61:L63,MATCH(Scenario,$C61:$C63,0))</f>
        <v>5.4998486932765558E-2</v>
      </c>
    </row>
    <row r="61" spans="3:14" x14ac:dyDescent="0.25">
      <c r="C61" s="41" t="str">
        <f>+$C$16</f>
        <v>Base</v>
      </c>
      <c r="D61" s="14" t="s">
        <v>11</v>
      </c>
      <c r="E61" s="141"/>
      <c r="F61" s="141"/>
      <c r="G61" s="141"/>
      <c r="H61" s="43">
        <f>G60</f>
        <v>5.4998486932765558E-2</v>
      </c>
      <c r="I61" s="43">
        <f>H61</f>
        <v>5.4998486932765558E-2</v>
      </c>
      <c r="J61" s="43">
        <f t="shared" ref="J61:L61" si="23">I61</f>
        <v>5.4998486932765558E-2</v>
      </c>
      <c r="K61" s="43">
        <f t="shared" si="23"/>
        <v>5.4998486932765558E-2</v>
      </c>
      <c r="L61" s="43">
        <f t="shared" si="23"/>
        <v>5.4998486932765558E-2</v>
      </c>
    </row>
    <row r="62" spans="3:14" x14ac:dyDescent="0.25">
      <c r="C62" s="41" t="str">
        <f>+$C$17</f>
        <v>Upside</v>
      </c>
      <c r="D62" s="14" t="s">
        <v>11</v>
      </c>
      <c r="E62" s="141"/>
      <c r="F62" s="141"/>
      <c r="G62" s="141"/>
      <c r="H62" s="43">
        <f>H61-0.5%</f>
        <v>4.9998486932765561E-2</v>
      </c>
      <c r="I62" s="43">
        <f>I61-0.5%</f>
        <v>4.9998486932765561E-2</v>
      </c>
      <c r="J62" s="43">
        <f>J61-0.2%</f>
        <v>5.2998486932765557E-2</v>
      </c>
      <c r="K62" s="43">
        <f t="shared" ref="K62:L62" si="24">K61-0.2%</f>
        <v>5.2998486932765557E-2</v>
      </c>
      <c r="L62" s="43">
        <f t="shared" si="24"/>
        <v>5.2998486932765557E-2</v>
      </c>
    </row>
    <row r="63" spans="3:14" x14ac:dyDescent="0.25">
      <c r="C63" s="41" t="str">
        <f>+$C$18</f>
        <v>Downside</v>
      </c>
      <c r="D63" s="14" t="s">
        <v>11</v>
      </c>
      <c r="E63" s="141"/>
      <c r="F63" s="141"/>
      <c r="G63" s="141"/>
      <c r="H63" s="45">
        <f>H61+0.5%</f>
        <v>5.9998486932765556E-2</v>
      </c>
      <c r="I63" s="45">
        <f>I61+0.5%</f>
        <v>5.9998486932765556E-2</v>
      </c>
      <c r="J63" s="45">
        <f>J61+0.2%</f>
        <v>5.699848693276556E-2</v>
      </c>
      <c r="K63" s="45">
        <f t="shared" ref="K63:L63" si="25">K61+0.2%</f>
        <v>5.699848693276556E-2</v>
      </c>
      <c r="L63" s="45">
        <f t="shared" si="25"/>
        <v>5.699848693276556E-2</v>
      </c>
    </row>
    <row r="64" spans="3:14" x14ac:dyDescent="0.25">
      <c r="D64" s="27"/>
      <c r="E64" s="141"/>
      <c r="F64" s="141"/>
      <c r="G64" s="141"/>
    </row>
    <row r="65" spans="3:12" x14ac:dyDescent="0.25">
      <c r="C65" s="10" t="s">
        <v>258</v>
      </c>
      <c r="D65" s="11"/>
      <c r="E65" s="157"/>
      <c r="F65" s="157"/>
      <c r="G65" s="157"/>
      <c r="H65" s="12"/>
      <c r="I65" s="12"/>
      <c r="J65" s="12"/>
      <c r="K65" s="12"/>
      <c r="L65" s="12"/>
    </row>
    <row r="66" spans="3:12" x14ac:dyDescent="0.25">
      <c r="C66" s="13" t="str">
        <f>+$C$8</f>
        <v>SME loans</v>
      </c>
      <c r="D66" s="14" t="s">
        <v>11</v>
      </c>
      <c r="E66" s="42">
        <f>IFERROR(+E50/AVERAGE(E8),0)</f>
        <v>9.0909090909090912E-2</v>
      </c>
      <c r="F66" s="42">
        <f>IFERROR(+F50/AVERAGE(E8,F8),0)</f>
        <v>0.10901162790697674</v>
      </c>
      <c r="G66" s="40">
        <f>IFERROR(+G50/AVERAGE(G8,F8),0)</f>
        <v>0.32668711656441718</v>
      </c>
      <c r="H66" s="42">
        <f>INDEX(H67:H69,MATCH(Scenario,$C67:$C69,0))</f>
        <v>0.17553594512682827</v>
      </c>
      <c r="I66" s="42">
        <f>INDEX(I67:I69,MATCH(Scenario,$C67:$C69,0))</f>
        <v>0.17553594512682827</v>
      </c>
      <c r="J66" s="42">
        <f>INDEX(J67:J69,MATCH(Scenario,$C67:$C69,0))</f>
        <v>0.17553594512682827</v>
      </c>
      <c r="K66" s="42">
        <f>INDEX(K67:K69,MATCH(Scenario,$C67:$C69,0))</f>
        <v>0.17553594512682827</v>
      </c>
      <c r="L66" s="42">
        <f>INDEX(L67:L69,MATCH(Scenario,$C67:$C69,0))</f>
        <v>0.17553594512682827</v>
      </c>
    </row>
    <row r="67" spans="3:12" x14ac:dyDescent="0.25">
      <c r="C67" s="41" t="str">
        <f>+$C$16</f>
        <v>Base</v>
      </c>
      <c r="D67" s="14" t="s">
        <v>11</v>
      </c>
      <c r="E67" s="42"/>
      <c r="F67" s="42"/>
      <c r="G67" s="42"/>
      <c r="H67" s="43">
        <f>AVERAGE(E66:G66)</f>
        <v>0.17553594512682827</v>
      </c>
      <c r="I67" s="43">
        <f>H67</f>
        <v>0.17553594512682827</v>
      </c>
      <c r="J67" s="43">
        <f t="shared" ref="J67:L67" si="26">I67</f>
        <v>0.17553594512682827</v>
      </c>
      <c r="K67" s="43">
        <f t="shared" si="26"/>
        <v>0.17553594512682827</v>
      </c>
      <c r="L67" s="43">
        <f t="shared" si="26"/>
        <v>0.17553594512682827</v>
      </c>
    </row>
    <row r="68" spans="3:12" x14ac:dyDescent="0.25">
      <c r="C68" s="41" t="str">
        <f>+$C$17</f>
        <v>Upside</v>
      </c>
      <c r="D68" s="14" t="s">
        <v>11</v>
      </c>
      <c r="E68" s="42"/>
      <c r="F68" s="42"/>
      <c r="G68" s="42"/>
      <c r="H68" s="43">
        <f>H67-0.5%</f>
        <v>0.17053594512682826</v>
      </c>
      <c r="I68" s="43">
        <f t="shared" ref="I68:L68" si="27">I67-0.5%</f>
        <v>0.17053594512682826</v>
      </c>
      <c r="J68" s="43">
        <f t="shared" si="27"/>
        <v>0.17053594512682826</v>
      </c>
      <c r="K68" s="43">
        <f t="shared" si="27"/>
        <v>0.17053594512682826</v>
      </c>
      <c r="L68" s="43">
        <f t="shared" si="27"/>
        <v>0.17053594512682826</v>
      </c>
    </row>
    <row r="69" spans="3:12" x14ac:dyDescent="0.25">
      <c r="C69" s="41" t="str">
        <f>+$C$18</f>
        <v>Downside</v>
      </c>
      <c r="D69" s="14" t="s">
        <v>11</v>
      </c>
      <c r="E69" s="42"/>
      <c r="F69" s="42"/>
      <c r="G69" s="42"/>
      <c r="H69" s="45">
        <f>H67+0.5%</f>
        <v>0.18053594512682827</v>
      </c>
      <c r="I69" s="45">
        <f t="shared" ref="I69:L69" si="28">I67+0.5%</f>
        <v>0.18053594512682827</v>
      </c>
      <c r="J69" s="45">
        <f t="shared" si="28"/>
        <v>0.18053594512682827</v>
      </c>
      <c r="K69" s="45">
        <f t="shared" si="28"/>
        <v>0.18053594512682827</v>
      </c>
      <c r="L69" s="45">
        <f t="shared" si="28"/>
        <v>0.18053594512682827</v>
      </c>
    </row>
    <row r="70" spans="3:12" x14ac:dyDescent="0.25">
      <c r="C70" s="13"/>
      <c r="D70" s="14"/>
      <c r="E70" s="42"/>
      <c r="F70" s="42"/>
      <c r="G70" s="42"/>
      <c r="H70" s="42"/>
      <c r="I70" s="42"/>
      <c r="J70" s="42"/>
      <c r="K70" s="42"/>
      <c r="L70" s="42"/>
    </row>
    <row r="71" spans="3:12" x14ac:dyDescent="0.25">
      <c r="C71" s="13" t="str">
        <f>C51</f>
        <v>Loans to individuals</v>
      </c>
      <c r="D71" s="14" t="s">
        <v>11</v>
      </c>
      <c r="E71" s="42">
        <f>IFERROR(+E51/AVERAGE(E9),0)</f>
        <v>4.9388300255603867E-2</v>
      </c>
      <c r="F71" s="42">
        <f>IFERROR(+F51/AVERAGE(E9,F9),0)</f>
        <v>8.5787514216374025E-2</v>
      </c>
      <c r="G71" s="40">
        <f>IFERROR(+G51/AVERAGE(G9,F9),0)</f>
        <v>9.2868936160934376E-2</v>
      </c>
      <c r="H71" s="42">
        <f>INDEX(H72:H74,MATCH(Scenario,$C72:$C74,0))</f>
        <v>7.6014916877637437E-2</v>
      </c>
      <c r="I71" s="42">
        <f>INDEX(I72:I74,MATCH(Scenario,$C72:$C74,0))</f>
        <v>7.6014916877637437E-2</v>
      </c>
      <c r="J71" s="42">
        <f>INDEX(J72:J74,MATCH(Scenario,$C72:$C74,0))</f>
        <v>7.6014916877637437E-2</v>
      </c>
      <c r="K71" s="42">
        <f>INDEX(K72:K74,MATCH(Scenario,$C72:$C74,0))</f>
        <v>7.6014916877637437E-2</v>
      </c>
      <c r="L71" s="42">
        <f>INDEX(L72:L74,MATCH(Scenario,$C72:$C74,0))</f>
        <v>7.6014916877637437E-2</v>
      </c>
    </row>
    <row r="72" spans="3:12" x14ac:dyDescent="0.25">
      <c r="C72" s="41" t="str">
        <f>+$C$16</f>
        <v>Base</v>
      </c>
      <c r="D72" s="14" t="s">
        <v>11</v>
      </c>
      <c r="E72" s="145"/>
      <c r="F72" s="145"/>
      <c r="G72" s="145"/>
      <c r="H72" s="43">
        <f>AVERAGE(E71:G71)</f>
        <v>7.6014916877637437E-2</v>
      </c>
      <c r="I72" s="43">
        <f>H72</f>
        <v>7.6014916877637437E-2</v>
      </c>
      <c r="J72" s="43">
        <f t="shared" ref="J72:L72" si="29">I72</f>
        <v>7.6014916877637437E-2</v>
      </c>
      <c r="K72" s="43">
        <f t="shared" si="29"/>
        <v>7.6014916877637437E-2</v>
      </c>
      <c r="L72" s="43">
        <f t="shared" si="29"/>
        <v>7.6014916877637437E-2</v>
      </c>
    </row>
    <row r="73" spans="3:12" x14ac:dyDescent="0.25">
      <c r="C73" s="41" t="str">
        <f>+$C$17</f>
        <v>Upside</v>
      </c>
      <c r="D73" s="14" t="s">
        <v>11</v>
      </c>
      <c r="E73" s="145"/>
      <c r="F73" s="145"/>
      <c r="G73" s="145"/>
      <c r="H73" s="43">
        <f>H72-0.5%</f>
        <v>7.1014916877637432E-2</v>
      </c>
      <c r="I73" s="43">
        <f t="shared" ref="I73" si="30">I72-0.5%</f>
        <v>7.1014916877637432E-2</v>
      </c>
      <c r="J73" s="43">
        <f>J72-0.2%</f>
        <v>7.4014916877637435E-2</v>
      </c>
      <c r="K73" s="43">
        <f t="shared" ref="K73:L73" si="31">K72-0.2%</f>
        <v>7.4014916877637435E-2</v>
      </c>
      <c r="L73" s="43">
        <f t="shared" si="31"/>
        <v>7.4014916877637435E-2</v>
      </c>
    </row>
    <row r="74" spans="3:12" x14ac:dyDescent="0.25">
      <c r="C74" s="41" t="str">
        <f>+$C$18</f>
        <v>Downside</v>
      </c>
      <c r="D74" s="14" t="s">
        <v>11</v>
      </c>
      <c r="E74" s="145"/>
      <c r="F74" s="145"/>
      <c r="G74" s="145"/>
      <c r="H74" s="45">
        <v>8.1000000000000003E-2</v>
      </c>
      <c r="I74" s="45">
        <v>8.1000000000000003E-2</v>
      </c>
      <c r="J74" s="45">
        <v>8.1000000000000003E-2</v>
      </c>
      <c r="K74" s="45">
        <v>8.1000000000000003E-2</v>
      </c>
      <c r="L74" s="45">
        <v>8.1000000000000003E-2</v>
      </c>
    </row>
    <row r="75" spans="3:12" x14ac:dyDescent="0.25">
      <c r="C75" s="38"/>
      <c r="D75" s="27"/>
      <c r="E75" s="145"/>
      <c r="F75" s="145"/>
      <c r="G75" s="145"/>
      <c r="H75" s="145"/>
      <c r="I75" s="145"/>
      <c r="J75" s="145"/>
      <c r="K75" s="145"/>
      <c r="L75" s="145"/>
    </row>
    <row r="76" spans="3:12" x14ac:dyDescent="0.25">
      <c r="C76" s="24" t="s">
        <v>259</v>
      </c>
      <c r="D76" s="14" t="s">
        <v>3</v>
      </c>
      <c r="E76" s="19">
        <f>+E10</f>
        <v>234710</v>
      </c>
      <c r="F76" s="19">
        <f t="shared" ref="F76:L76" si="32">+F10</f>
        <v>383912</v>
      </c>
      <c r="G76" s="20">
        <f t="shared" si="32"/>
        <v>445529</v>
      </c>
      <c r="H76" s="19">
        <f t="shared" si="32"/>
        <v>629491.4667757639</v>
      </c>
      <c r="I76" s="19">
        <f t="shared" si="32"/>
        <v>726408.94301616028</v>
      </c>
      <c r="J76" s="19">
        <f t="shared" si="32"/>
        <v>851452.47207485349</v>
      </c>
      <c r="K76" s="19">
        <f t="shared" si="32"/>
        <v>1079449.3764520381</v>
      </c>
      <c r="L76" s="19">
        <f t="shared" si="32"/>
        <v>1347506.8171810391</v>
      </c>
    </row>
    <row r="77" spans="3:12" x14ac:dyDescent="0.25">
      <c r="C77" s="38" t="s">
        <v>260</v>
      </c>
      <c r="D77" s="14" t="s">
        <v>3</v>
      </c>
      <c r="E77" s="120">
        <f>+E76</f>
        <v>234710</v>
      </c>
      <c r="F77" s="120">
        <f>+F76</f>
        <v>383912</v>
      </c>
      <c r="G77" s="120">
        <f>+G76</f>
        <v>445529</v>
      </c>
      <c r="H77" s="120">
        <f>+H76+SUM($H56:H56)</f>
        <v>599929.21722855268</v>
      </c>
      <c r="I77" s="120">
        <f>+I76+SUM($H56:I56)</f>
        <v>659560.45798391278</v>
      </c>
      <c r="J77" s="120">
        <f>+J76+SUM($H56:J56)</f>
        <v>741213.99183280696</v>
      </c>
      <c r="K77" s="120">
        <f>+K76+SUM($H56:K56)</f>
        <v>916112.55616766191</v>
      </c>
      <c r="L77" s="120">
        <f>+L76+SUM($H56:L56)</f>
        <v>1117430.5376457013</v>
      </c>
    </row>
    <row r="78" spans="3:12" x14ac:dyDescent="0.25">
      <c r="C78" t="s">
        <v>261</v>
      </c>
      <c r="D78" s="14" t="s">
        <v>3</v>
      </c>
      <c r="E78" s="114">
        <f>E77</f>
        <v>234710</v>
      </c>
      <c r="F78" s="114">
        <f t="shared" ref="F78:L78" si="33">AVERAGE(E77,F77)</f>
        <v>309311</v>
      </c>
      <c r="G78" s="120">
        <f t="shared" si="33"/>
        <v>414720.5</v>
      </c>
      <c r="H78" s="114">
        <f t="shared" si="33"/>
        <v>522729.10861427634</v>
      </c>
      <c r="I78" s="114">
        <f t="shared" si="33"/>
        <v>629744.83760623273</v>
      </c>
      <c r="J78" s="114">
        <f t="shared" si="33"/>
        <v>700387.22490835981</v>
      </c>
      <c r="K78" s="114">
        <f t="shared" si="33"/>
        <v>828663.27400023444</v>
      </c>
      <c r="L78" s="114">
        <f t="shared" si="33"/>
        <v>1016771.5469066816</v>
      </c>
    </row>
    <row r="79" spans="3:12" x14ac:dyDescent="0.25">
      <c r="D79" s="27"/>
    </row>
    <row r="80" spans="3:12" x14ac:dyDescent="0.25">
      <c r="C80" s="10" t="s">
        <v>262</v>
      </c>
      <c r="D80" s="11"/>
      <c r="E80" s="12"/>
      <c r="F80" s="12"/>
      <c r="G80" s="12"/>
      <c r="H80" s="12"/>
      <c r="I80" s="12"/>
      <c r="J80" s="12"/>
      <c r="K80" s="12"/>
      <c r="L80" s="12"/>
    </row>
    <row r="81" spans="3:12" x14ac:dyDescent="0.25">
      <c r="C81" s="13" t="s">
        <v>16</v>
      </c>
      <c r="D81" s="14" t="s">
        <v>11</v>
      </c>
      <c r="E81" s="155">
        <f t="shared" ref="E81:L81" si="34">IFERROR(-E56/E78,"N/A")</f>
        <v>5.1800093732691406E-2</v>
      </c>
      <c r="F81" s="155">
        <f t="shared" si="34"/>
        <v>2.5977091018424821E-2</v>
      </c>
      <c r="G81" s="156">
        <f t="shared" si="34"/>
        <v>5.4998486932765558E-2</v>
      </c>
      <c r="H81" s="155">
        <f t="shared" si="34"/>
        <v>5.6553670075077597E-2</v>
      </c>
      <c r="I81" s="155">
        <f t="shared" si="34"/>
        <v>5.920848136964111E-2</v>
      </c>
      <c r="J81" s="155">
        <f t="shared" si="34"/>
        <v>6.1951437243128307E-2</v>
      </c>
      <c r="K81" s="155">
        <f t="shared" si="34"/>
        <v>6.4077100685307475E-2</v>
      </c>
      <c r="L81" s="155">
        <f t="shared" si="34"/>
        <v>6.5638598418693656E-2</v>
      </c>
    </row>
    <row r="82" spans="3:12" x14ac:dyDescent="0.25">
      <c r="C82" s="13" t="s">
        <v>263</v>
      </c>
      <c r="D82" s="14" t="s">
        <v>11</v>
      </c>
      <c r="E82" s="155">
        <f t="shared" ref="E82:L82" si="35">IFERROR(-E56/E58,"N/A")</f>
        <v>0.33566163275447947</v>
      </c>
      <c r="F82" s="155">
        <f t="shared" si="35"/>
        <v>0.14679284578986793</v>
      </c>
      <c r="G82" s="156">
        <f t="shared" si="35"/>
        <v>0.32170662905500708</v>
      </c>
      <c r="H82" s="155">
        <f t="shared" si="35"/>
        <v>0.35663894141294572</v>
      </c>
      <c r="I82" s="155">
        <f t="shared" si="35"/>
        <v>0.37462095894500874</v>
      </c>
      <c r="J82" s="155">
        <f t="shared" si="35"/>
        <v>0.35169481774752914</v>
      </c>
      <c r="K82" s="155">
        <f t="shared" si="35"/>
        <v>0.32572888696723273</v>
      </c>
      <c r="L82" s="155">
        <f t="shared" si="35"/>
        <v>0.294452018280568</v>
      </c>
    </row>
    <row r="83" spans="3:12" x14ac:dyDescent="0.25">
      <c r="C83" s="13" t="s">
        <v>18</v>
      </c>
      <c r="D83" s="14" t="s">
        <v>11</v>
      </c>
      <c r="E83" s="155">
        <f t="shared" ref="E83:L83" si="36">IFERROR(+E58/E77,"N/A")</f>
        <v>0.15432235524690044</v>
      </c>
      <c r="F83" s="155">
        <f t="shared" si="36"/>
        <v>0.14257694471649754</v>
      </c>
      <c r="G83" s="156">
        <f t="shared" si="36"/>
        <v>0.15913666674896584</v>
      </c>
      <c r="H83" s="155">
        <f t="shared" si="36"/>
        <v>0.13816839209116341</v>
      </c>
      <c r="I83" s="155">
        <f t="shared" si="36"/>
        <v>0.15090438368309397</v>
      </c>
      <c r="J83" s="155">
        <f t="shared" si="36"/>
        <v>0.16644855311407228</v>
      </c>
      <c r="K83" s="155">
        <f t="shared" si="36"/>
        <v>0.17794092077065293</v>
      </c>
      <c r="L83" s="155">
        <f t="shared" si="36"/>
        <v>0.20283720252705303</v>
      </c>
    </row>
    <row r="84" spans="3:12" x14ac:dyDescent="0.25">
      <c r="C84" s="13" t="s">
        <v>264</v>
      </c>
      <c r="D84" s="14" t="s">
        <v>11</v>
      </c>
      <c r="E84" s="142" t="str">
        <f>IFERROR(-E56/#REF!,"N/A")</f>
        <v>N/A</v>
      </c>
      <c r="F84" s="142">
        <f t="shared" ref="F84:L84" si="37">IFERROR(-F56/E57,"N/A")</f>
        <v>0.69225467390367879</v>
      </c>
      <c r="G84" s="145">
        <f t="shared" si="37"/>
        <v>0.85906368874995287</v>
      </c>
      <c r="H84" s="142">
        <f t="shared" si="37"/>
        <v>0.75855099936393278</v>
      </c>
      <c r="I84" s="142">
        <f t="shared" si="37"/>
        <v>0.89730663178685399</v>
      </c>
      <c r="J84" s="142">
        <f t="shared" si="37"/>
        <v>0.80462785388685243</v>
      </c>
      <c r="K84" s="142">
        <f t="shared" si="37"/>
        <v>0.78976101898930529</v>
      </c>
      <c r="L84" s="142">
        <f t="shared" si="37"/>
        <v>0.71965403074490741</v>
      </c>
    </row>
    <row r="87" spans="3:12" x14ac:dyDescent="0.25">
      <c r="D87" s="14"/>
      <c r="E87" s="158"/>
      <c r="F87" s="158"/>
      <c r="H87" s="51"/>
    </row>
    <row r="88" spans="3:12" x14ac:dyDescent="0.25">
      <c r="D88" s="14"/>
      <c r="E88" s="158"/>
      <c r="F88" s="158"/>
    </row>
    <row r="89" spans="3:12" x14ac:dyDescent="0.25">
      <c r="D89" s="14"/>
      <c r="E89" s="158"/>
      <c r="F89" s="158"/>
    </row>
    <row r="90" spans="3:12" x14ac:dyDescent="0.25">
      <c r="E90" s="158"/>
      <c r="F90" s="158"/>
      <c r="G90" s="97"/>
    </row>
    <row r="91" spans="3:12" x14ac:dyDescent="0.25">
      <c r="E91" s="158"/>
      <c r="F91" s="15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CE4B-AE3B-43FD-9B1B-34B206701086}">
  <dimension ref="B2:L57"/>
  <sheetViews>
    <sheetView showGridLines="0" zoomScaleNormal="100" workbookViewId="0">
      <selection activeCell="H48" sqref="H48"/>
    </sheetView>
  </sheetViews>
  <sheetFormatPr defaultRowHeight="15" x14ac:dyDescent="0.25"/>
  <cols>
    <col min="1" max="2" width="2.7109375" customWidth="1"/>
    <col min="3" max="3" width="40.7109375" customWidth="1"/>
    <col min="4" max="7" width="11.5703125" customWidth="1"/>
    <col min="8" max="8" width="14.42578125" customWidth="1"/>
    <col min="9" max="12" width="12.140625" bestFit="1" customWidth="1"/>
  </cols>
  <sheetData>
    <row r="2" spans="2:12" x14ac:dyDescent="0.25">
      <c r="B2" s="1" t="str">
        <f>Company_Name&amp;" - Regulatory Capital - "&amp;Scenario&amp;" Case"</f>
        <v>TCS Group Holding PLC - Regulatory Capital - Base Case</v>
      </c>
    </row>
    <row r="3" spans="2:12" x14ac:dyDescent="0.25">
      <c r="B3" t="str">
        <f>Buyer!B3</f>
        <v>(RUB in Millions Except Per Share and Per Unit Data)</v>
      </c>
    </row>
    <row r="5" spans="2:12" x14ac:dyDescent="0.25">
      <c r="B5" s="2"/>
      <c r="C5" s="2"/>
      <c r="D5" s="3"/>
      <c r="E5" s="4"/>
      <c r="F5" s="4"/>
      <c r="G5" s="4"/>
      <c r="H5" s="5" t="s">
        <v>0</v>
      </c>
      <c r="I5" s="4"/>
      <c r="J5" s="4"/>
      <c r="K5" s="4"/>
      <c r="L5" s="4"/>
    </row>
    <row r="6" spans="2:12" x14ac:dyDescent="0.25">
      <c r="B6" s="6" t="s">
        <v>265</v>
      </c>
      <c r="C6" s="6"/>
      <c r="D6" s="7" t="s">
        <v>1</v>
      </c>
      <c r="E6" s="8">
        <f>EOMONTH(F6,-12)</f>
        <v>43465</v>
      </c>
      <c r="F6" s="8">
        <f>EOMONTH(G6,-12)</f>
        <v>43830</v>
      </c>
      <c r="G6" s="9">
        <f>Buyer!G23</f>
        <v>44196</v>
      </c>
      <c r="H6" s="8">
        <f>EOMONTH(G6,12)</f>
        <v>44561</v>
      </c>
      <c r="I6" s="8">
        <f t="shared" ref="I6:L6" si="0">EOMONTH(H6,12)</f>
        <v>44926</v>
      </c>
      <c r="J6" s="8">
        <f t="shared" si="0"/>
        <v>45291</v>
      </c>
      <c r="K6" s="8">
        <f t="shared" si="0"/>
        <v>45657</v>
      </c>
      <c r="L6" s="8">
        <f t="shared" si="0"/>
        <v>46022</v>
      </c>
    </row>
    <row r="7" spans="2:12" x14ac:dyDescent="0.25">
      <c r="D7" s="27"/>
      <c r="G7" s="1"/>
    </row>
    <row r="8" spans="2:12" x14ac:dyDescent="0.25">
      <c r="C8" t="s">
        <v>266</v>
      </c>
      <c r="D8" s="14" t="s">
        <v>3</v>
      </c>
      <c r="G8" s="1"/>
      <c r="H8" s="110">
        <f ca="1">Buyer!G191+Buyer!H233-Buyer!H170+Buyer!H276+Buyer!H278</f>
        <v>186705.91453410164</v>
      </c>
      <c r="I8" s="110">
        <f ca="1">Buyer!H191+Buyer!I233-Buyer!I170+Buyer!I276+Buyer!I278</f>
        <v>187704.05697681778</v>
      </c>
      <c r="J8" s="110">
        <f ca="1">Buyer!I191+Buyer!J233-Buyer!J170+Buyer!J276+Buyer!J278</f>
        <v>211065.99066896844</v>
      </c>
      <c r="K8" s="110">
        <f ca="1">Buyer!J191+Buyer!K233-Buyer!K170+Buyer!K276+Buyer!K278</f>
        <v>241665.76412172581</v>
      </c>
      <c r="L8" s="110">
        <f ca="1">Buyer!K191+Buyer!L233-Buyer!L170+Buyer!L276+Buyer!L278</f>
        <v>272031.41198218754</v>
      </c>
    </row>
    <row r="9" spans="2:12" x14ac:dyDescent="0.25">
      <c r="C9" t="s">
        <v>9</v>
      </c>
      <c r="D9" s="14" t="s">
        <v>3</v>
      </c>
      <c r="E9" s="19">
        <f>Buyer!E61</f>
        <v>393319</v>
      </c>
      <c r="F9" s="19">
        <f>Buyer!F61</f>
        <v>577792</v>
      </c>
      <c r="G9" s="19">
        <f>Buyer!G61</f>
        <v>786809</v>
      </c>
      <c r="H9" s="19">
        <f ca="1">Buyer!H61</f>
        <v>960290.46142489463</v>
      </c>
      <c r="I9" s="19">
        <f ca="1">Buyer!I61</f>
        <v>1140031.7361227768</v>
      </c>
      <c r="J9" s="19">
        <f ca="1">Buyer!J61</f>
        <v>1342894.6283134473</v>
      </c>
      <c r="K9" s="19">
        <f ca="1">Buyer!K61</f>
        <v>1575025.9949497841</v>
      </c>
      <c r="L9" s="19">
        <f ca="1">Buyer!L61</f>
        <v>1834182.4070241426</v>
      </c>
    </row>
    <row r="10" spans="2:12" x14ac:dyDescent="0.25">
      <c r="D10" s="27"/>
      <c r="E10" s="19"/>
      <c r="F10" s="19"/>
      <c r="G10" s="19"/>
      <c r="H10" s="19"/>
      <c r="I10" s="19"/>
      <c r="J10" s="19"/>
      <c r="K10" s="19"/>
      <c r="L10" s="19"/>
    </row>
    <row r="11" spans="2:12" x14ac:dyDescent="0.25">
      <c r="C11" s="13" t="s">
        <v>267</v>
      </c>
      <c r="D11" s="14" t="s">
        <v>11</v>
      </c>
      <c r="G11" s="1"/>
      <c r="H11" s="159">
        <v>4.4999999999999998E-2</v>
      </c>
      <c r="I11" s="159">
        <v>4.4999999999999998E-2</v>
      </c>
      <c r="J11" s="159">
        <v>4.4999999999999998E-2</v>
      </c>
      <c r="K11" s="159">
        <v>4.4999999999999998E-2</v>
      </c>
      <c r="L11" s="159">
        <v>4.4999999999999998E-2</v>
      </c>
    </row>
    <row r="12" spans="2:12" x14ac:dyDescent="0.25">
      <c r="C12" s="13" t="s">
        <v>268</v>
      </c>
      <c r="D12" s="14"/>
      <c r="G12" s="1"/>
      <c r="H12" s="160">
        <v>0.06</v>
      </c>
      <c r="I12" s="160">
        <v>0.06</v>
      </c>
      <c r="J12" s="160">
        <v>0.06</v>
      </c>
      <c r="K12" s="160">
        <v>0.06</v>
      </c>
      <c r="L12" s="160">
        <v>0.06</v>
      </c>
    </row>
    <row r="13" spans="2:12" x14ac:dyDescent="0.25">
      <c r="C13" s="13" t="s">
        <v>269</v>
      </c>
      <c r="D13" s="14"/>
      <c r="G13" s="1"/>
      <c r="H13" s="160">
        <v>0.08</v>
      </c>
      <c r="I13" s="160">
        <v>0.08</v>
      </c>
      <c r="J13" s="160">
        <v>0.08</v>
      </c>
      <c r="K13" s="160">
        <v>0.08</v>
      </c>
      <c r="L13" s="160">
        <v>0.08</v>
      </c>
    </row>
    <row r="14" spans="2:12" x14ac:dyDescent="0.25">
      <c r="C14" s="13" t="s">
        <v>270</v>
      </c>
      <c r="D14" s="14" t="s">
        <v>11</v>
      </c>
      <c r="G14" s="1"/>
      <c r="H14" s="160">
        <v>2.5000000000000001E-2</v>
      </c>
      <c r="I14" s="160">
        <v>2.5000000000000001E-2</v>
      </c>
      <c r="J14" s="160">
        <v>2.5000000000000001E-2</v>
      </c>
      <c r="K14" s="160">
        <v>2.5000000000000001E-2</v>
      </c>
      <c r="L14" s="160">
        <v>2.5000000000000001E-2</v>
      </c>
    </row>
    <row r="15" spans="2:12" x14ac:dyDescent="0.25">
      <c r="C15" s="13" t="s">
        <v>271</v>
      </c>
      <c r="D15" s="14" t="s">
        <v>11</v>
      </c>
      <c r="G15" s="1"/>
      <c r="H15" s="160">
        <v>0</v>
      </c>
      <c r="I15" s="160">
        <v>0</v>
      </c>
      <c r="J15" s="160">
        <v>0</v>
      </c>
      <c r="K15" s="160">
        <v>0</v>
      </c>
      <c r="L15" s="160">
        <v>0</v>
      </c>
    </row>
    <row r="16" spans="2:12" x14ac:dyDescent="0.25">
      <c r="C16" s="13" t="s">
        <v>272</v>
      </c>
      <c r="D16" s="14" t="s">
        <v>11</v>
      </c>
      <c r="G16" s="1"/>
      <c r="H16" s="159">
        <v>0</v>
      </c>
      <c r="I16" s="159">
        <v>0</v>
      </c>
      <c r="J16" s="159">
        <v>0</v>
      </c>
      <c r="K16" s="159">
        <v>0</v>
      </c>
      <c r="L16" s="159">
        <v>0</v>
      </c>
    </row>
    <row r="17" spans="2:12" x14ac:dyDescent="0.25">
      <c r="C17" s="13" t="s">
        <v>273</v>
      </c>
      <c r="D17" s="16" t="s">
        <v>11</v>
      </c>
      <c r="G17" s="1"/>
      <c r="H17" s="161">
        <f>+H18-SUM(H13:H16)</f>
        <v>1.4999999999999986E-2</v>
      </c>
      <c r="I17" s="161">
        <f t="shared" ref="I17:L17" si="1">+I18-SUM(I13:I16)</f>
        <v>1.4999999999999986E-2</v>
      </c>
      <c r="J17" s="161">
        <f t="shared" si="1"/>
        <v>1.4999999999999986E-2</v>
      </c>
      <c r="K17" s="161">
        <f t="shared" si="1"/>
        <v>1.4999999999999986E-2</v>
      </c>
      <c r="L17" s="161">
        <f t="shared" si="1"/>
        <v>1.4999999999999986E-2</v>
      </c>
    </row>
    <row r="18" spans="2:12" x14ac:dyDescent="0.25">
      <c r="C18" s="83" t="s">
        <v>274</v>
      </c>
      <c r="D18" s="14" t="s">
        <v>3</v>
      </c>
      <c r="E18" s="52"/>
      <c r="F18" s="52"/>
      <c r="G18" s="83"/>
      <c r="H18" s="162">
        <f>Buyer!$D$14</f>
        <v>0.12</v>
      </c>
      <c r="I18" s="162">
        <f>Buyer!$D$14</f>
        <v>0.12</v>
      </c>
      <c r="J18" s="162">
        <f>Buyer!$D$14</f>
        <v>0.12</v>
      </c>
      <c r="K18" s="162">
        <f>Buyer!$D$14</f>
        <v>0.12</v>
      </c>
      <c r="L18" s="162">
        <f>Buyer!$D$14</f>
        <v>0.12</v>
      </c>
    </row>
    <row r="19" spans="2:12" x14ac:dyDescent="0.25">
      <c r="C19" s="13" t="s">
        <v>275</v>
      </c>
      <c r="D19" s="16" t="s">
        <v>3</v>
      </c>
      <c r="G19" s="1"/>
      <c r="H19" s="61">
        <f ca="1">+H18*H9</f>
        <v>115234.85537098735</v>
      </c>
      <c r="I19" s="61">
        <f t="shared" ref="I19:L19" ca="1" si="2">+I18*I9</f>
        <v>136803.80833473321</v>
      </c>
      <c r="J19" s="61">
        <f t="shared" ca="1" si="2"/>
        <v>161147.35539761369</v>
      </c>
      <c r="K19" s="61">
        <f t="shared" ca="1" si="2"/>
        <v>189003.11939397408</v>
      </c>
      <c r="L19" s="61">
        <f t="shared" ca="1" si="2"/>
        <v>220101.88884289711</v>
      </c>
    </row>
    <row r="20" spans="2:12" x14ac:dyDescent="0.25">
      <c r="C20" s="83" t="s">
        <v>276</v>
      </c>
      <c r="D20" s="14" t="s">
        <v>3</v>
      </c>
      <c r="E20" s="52"/>
      <c r="F20" s="52"/>
      <c r="G20" s="83"/>
      <c r="H20" s="74">
        <f ca="1">MAX(H8-H19,0)</f>
        <v>71471.059163114289</v>
      </c>
      <c r="I20" s="74">
        <f t="shared" ref="I20:L20" ca="1" si="3">MAX(I8-I19,0)</f>
        <v>50900.248642084567</v>
      </c>
      <c r="J20" s="74">
        <f t="shared" ca="1" si="3"/>
        <v>49918.635271354753</v>
      </c>
      <c r="K20" s="74">
        <f t="shared" ca="1" si="3"/>
        <v>52662.644727751729</v>
      </c>
      <c r="L20" s="74">
        <f t="shared" ca="1" si="3"/>
        <v>51929.523139290424</v>
      </c>
    </row>
    <row r="21" spans="2:12" x14ac:dyDescent="0.25">
      <c r="D21" s="27"/>
      <c r="G21" s="1"/>
    </row>
    <row r="22" spans="2:12" x14ac:dyDescent="0.25">
      <c r="C22" t="s">
        <v>277</v>
      </c>
      <c r="D22" s="14" t="s">
        <v>11</v>
      </c>
      <c r="F22" s="48">
        <f>-Buyer!F280/Buyer!F235</f>
        <v>0.1668789103593378</v>
      </c>
      <c r="G22" s="48">
        <f>-Buyer!G280/Buyer!G235</f>
        <v>0.26132687914225611</v>
      </c>
      <c r="H22" s="159">
        <v>0.7</v>
      </c>
      <c r="I22" s="159">
        <v>0.7</v>
      </c>
      <c r="J22" s="159">
        <v>0.7</v>
      </c>
      <c r="K22" s="159">
        <v>0.7</v>
      </c>
      <c r="L22" s="159">
        <v>0.7</v>
      </c>
    </row>
    <row r="23" spans="2:12" x14ac:dyDescent="0.25">
      <c r="C23" t="s">
        <v>278</v>
      </c>
      <c r="D23" s="14" t="s">
        <v>3</v>
      </c>
      <c r="G23" s="1"/>
      <c r="H23" s="97">
        <f ca="1">+H22*Buyer!H235</f>
        <v>48049.913934368808</v>
      </c>
      <c r="I23" s="97">
        <f ca="1">+I22*Buyer!I235</f>
        <v>51588.898641048138</v>
      </c>
      <c r="J23" s="97">
        <f ca="1">+J22*Buyer!J235</f>
        <v>52492.379337291452</v>
      </c>
      <c r="K23" s="97">
        <f ca="1">+K22*Buyer!K235</f>
        <v>56912.176921735998</v>
      </c>
      <c r="L23" s="97">
        <f ca="1">+L22*Buyer!L235</f>
        <v>58555.429573634268</v>
      </c>
    </row>
    <row r="24" spans="2:12" x14ac:dyDescent="0.25">
      <c r="C24" s="1" t="s">
        <v>279</v>
      </c>
      <c r="D24" s="14" t="s">
        <v>3</v>
      </c>
      <c r="G24" s="1"/>
      <c r="H24" s="163">
        <f ca="1">MAX(H20,0)</f>
        <v>71471.059163114289</v>
      </c>
      <c r="I24" s="163">
        <f t="shared" ref="I24:L24" ca="1" si="4">MAX(I20,0)</f>
        <v>50900.248642084567</v>
      </c>
      <c r="J24" s="163">
        <f ca="1">MAX(J20,0)</f>
        <v>49918.635271354753</v>
      </c>
      <c r="K24" s="163">
        <f t="shared" ca="1" si="4"/>
        <v>52662.644727751729</v>
      </c>
      <c r="L24" s="163">
        <f t="shared" ca="1" si="4"/>
        <v>51929.523139290424</v>
      </c>
    </row>
    <row r="25" spans="2:12" x14ac:dyDescent="0.25">
      <c r="C25" s="1"/>
      <c r="D25" s="14"/>
      <c r="G25" s="1"/>
      <c r="H25" s="163"/>
      <c r="I25" s="163"/>
      <c r="J25" s="163"/>
      <c r="K25" s="163"/>
      <c r="L25" s="163"/>
    </row>
    <row r="26" spans="2:12" x14ac:dyDescent="0.25">
      <c r="C26" s="1" t="s">
        <v>280</v>
      </c>
      <c r="D26" s="14" t="s">
        <v>3</v>
      </c>
      <c r="G26" s="1"/>
      <c r="H26" s="163">
        <f ca="1">MAX(H19+H24-H8,0)</f>
        <v>0</v>
      </c>
      <c r="I26" s="163">
        <f t="shared" ref="I26:L26" ca="1" si="5">MAX(I19+I24-I8,0)</f>
        <v>0</v>
      </c>
      <c r="J26" s="163">
        <f t="shared" ca="1" si="5"/>
        <v>0</v>
      </c>
      <c r="K26" s="163">
        <f t="shared" ca="1" si="5"/>
        <v>0</v>
      </c>
      <c r="L26" s="163">
        <f t="shared" ca="1" si="5"/>
        <v>0</v>
      </c>
    </row>
    <row r="27" spans="2:12" x14ac:dyDescent="0.25">
      <c r="C27" s="60" t="s">
        <v>281</v>
      </c>
      <c r="D27" s="16" t="s">
        <v>183</v>
      </c>
      <c r="E27" s="56"/>
      <c r="F27" s="56"/>
      <c r="G27" s="164"/>
      <c r="H27" s="165">
        <f ca="1">H26/Buyer!$J$9</f>
        <v>0</v>
      </c>
      <c r="I27" s="165">
        <f ca="1">I26/Buyer!$J$9</f>
        <v>0</v>
      </c>
      <c r="J27" s="165">
        <f ca="1">J26/Buyer!$J$9</f>
        <v>0</v>
      </c>
      <c r="K27" s="165">
        <f ca="1">K26/Buyer!$J$9</f>
        <v>0</v>
      </c>
      <c r="L27" s="165">
        <f ca="1">L26/Buyer!$J$9</f>
        <v>0</v>
      </c>
    </row>
    <row r="28" spans="2:12" x14ac:dyDescent="0.25">
      <c r="C28" s="1"/>
      <c r="D28" s="14"/>
      <c r="G28" s="1"/>
      <c r="H28" s="163"/>
      <c r="I28" s="163"/>
      <c r="J28" s="163"/>
      <c r="K28" s="163"/>
      <c r="L28" s="163"/>
    </row>
    <row r="29" spans="2:12" x14ac:dyDescent="0.25">
      <c r="B29" s="2"/>
      <c r="C29" s="2"/>
      <c r="D29" s="3"/>
      <c r="E29" s="4"/>
      <c r="F29" s="4"/>
      <c r="G29" s="4"/>
      <c r="H29" s="5" t="s">
        <v>0</v>
      </c>
      <c r="I29" s="4"/>
      <c r="J29" s="4"/>
      <c r="K29" s="4"/>
      <c r="L29" s="4"/>
    </row>
    <row r="30" spans="2:12" x14ac:dyDescent="0.25">
      <c r="B30" s="6" t="s">
        <v>282</v>
      </c>
      <c r="C30" s="6"/>
      <c r="D30" s="7" t="s">
        <v>1</v>
      </c>
      <c r="E30" s="9">
        <f t="shared" ref="E30:L30" si="6">E6</f>
        <v>43465</v>
      </c>
      <c r="F30" s="8">
        <f t="shared" si="6"/>
        <v>43830</v>
      </c>
      <c r="G30" s="9">
        <f t="shared" si="6"/>
        <v>44196</v>
      </c>
      <c r="H30" s="8">
        <f t="shared" si="6"/>
        <v>44561</v>
      </c>
      <c r="I30" s="8">
        <f t="shared" si="6"/>
        <v>44926</v>
      </c>
      <c r="J30" s="8">
        <f t="shared" si="6"/>
        <v>45291</v>
      </c>
      <c r="K30" s="8">
        <f t="shared" si="6"/>
        <v>45657</v>
      </c>
      <c r="L30" s="8">
        <f t="shared" si="6"/>
        <v>46022</v>
      </c>
    </row>
    <row r="31" spans="2:12" x14ac:dyDescent="0.25">
      <c r="C31" s="21"/>
      <c r="D31" s="79"/>
      <c r="E31" s="23"/>
      <c r="F31" s="23"/>
      <c r="G31" s="23"/>
      <c r="H31" s="23"/>
      <c r="I31" s="23"/>
      <c r="J31" s="23"/>
      <c r="K31" s="23"/>
      <c r="L31" s="23"/>
    </row>
    <row r="32" spans="2:12" x14ac:dyDescent="0.25">
      <c r="C32" s="1" t="s">
        <v>152</v>
      </c>
      <c r="D32" s="14"/>
      <c r="E32" s="166"/>
      <c r="F32" s="166"/>
      <c r="G32" s="166"/>
      <c r="H32" s="166"/>
      <c r="I32" s="166"/>
      <c r="J32" s="166"/>
      <c r="K32" s="166"/>
      <c r="L32" s="166"/>
    </row>
    <row r="33" spans="3:12" x14ac:dyDescent="0.25">
      <c r="C33" s="13" t="s">
        <v>283</v>
      </c>
      <c r="D33" s="14" t="s">
        <v>3</v>
      </c>
      <c r="E33" s="167">
        <v>188</v>
      </c>
      <c r="F33" s="167">
        <v>230</v>
      </c>
      <c r="G33" s="167">
        <v>230</v>
      </c>
      <c r="H33" s="167">
        <v>230</v>
      </c>
      <c r="I33" s="167">
        <v>230</v>
      </c>
      <c r="J33" s="167">
        <v>230</v>
      </c>
      <c r="K33" s="167">
        <v>230</v>
      </c>
      <c r="L33" s="167">
        <v>230</v>
      </c>
    </row>
    <row r="34" spans="3:12" x14ac:dyDescent="0.25">
      <c r="C34" s="13" t="s">
        <v>284</v>
      </c>
      <c r="D34" s="14" t="s">
        <v>3</v>
      </c>
      <c r="E34" s="125">
        <f>Buyer!E186-'Capital &amp; Dividends'!E33</f>
        <v>8623</v>
      </c>
      <c r="F34" s="125">
        <f>Buyer!F186-'Capital &amp; Dividends'!F33</f>
        <v>26998</v>
      </c>
      <c r="G34" s="125">
        <f>Buyer!G186-'Capital &amp; Dividends'!G33</f>
        <v>26998</v>
      </c>
      <c r="H34" s="125">
        <f ca="1">Buyer!H186-'Capital &amp; Dividends'!H33</f>
        <v>26998</v>
      </c>
      <c r="I34" s="125">
        <f ca="1">Buyer!I186-'Capital &amp; Dividends'!I33</f>
        <v>26998</v>
      </c>
      <c r="J34" s="125">
        <f ca="1">Buyer!J186-'Capital &amp; Dividends'!J33</f>
        <v>26998</v>
      </c>
      <c r="K34" s="125">
        <f ca="1">Buyer!K186-'Capital &amp; Dividends'!K33</f>
        <v>26998</v>
      </c>
      <c r="L34" s="125">
        <f ca="1">Buyer!L186-'Capital &amp; Dividends'!L33</f>
        <v>26998</v>
      </c>
    </row>
    <row r="35" spans="3:12" x14ac:dyDescent="0.25">
      <c r="C35" s="13" t="s">
        <v>285</v>
      </c>
      <c r="D35" s="14" t="s">
        <v>3</v>
      </c>
      <c r="E35" s="168">
        <f>Buyer!E187</f>
        <v>-3670</v>
      </c>
      <c r="F35" s="168">
        <f>Buyer!F187</f>
        <v>-3164</v>
      </c>
      <c r="G35" s="168">
        <f>Buyer!G187</f>
        <v>-3238</v>
      </c>
      <c r="H35" s="168">
        <f>Buyer!H187</f>
        <v>-3238</v>
      </c>
      <c r="I35" s="168">
        <f>Buyer!I187</f>
        <v>-3238</v>
      </c>
      <c r="J35" s="168">
        <f>Buyer!J187</f>
        <v>-3238</v>
      </c>
      <c r="K35" s="168">
        <f>Buyer!K187</f>
        <v>-3238</v>
      </c>
      <c r="L35" s="168">
        <f>Buyer!L187</f>
        <v>-3238</v>
      </c>
    </row>
    <row r="36" spans="3:12" x14ac:dyDescent="0.25">
      <c r="C36" s="13" t="s">
        <v>286</v>
      </c>
      <c r="D36" s="14" t="s">
        <v>3</v>
      </c>
      <c r="E36" s="168">
        <f>Buyer!E188</f>
        <v>1232</v>
      </c>
      <c r="F36" s="168">
        <f>Buyer!F190</f>
        <v>1039</v>
      </c>
      <c r="G36" s="168">
        <f>Buyer!G190</f>
        <v>1548</v>
      </c>
      <c r="H36" s="168">
        <f>Buyer!H190</f>
        <v>1548</v>
      </c>
      <c r="I36" s="168">
        <f>Buyer!I190</f>
        <v>1548</v>
      </c>
      <c r="J36" s="168">
        <f>Buyer!J190</f>
        <v>1548</v>
      </c>
      <c r="K36" s="168">
        <f>Buyer!K190</f>
        <v>1548</v>
      </c>
      <c r="L36" s="168">
        <f>Buyer!L190</f>
        <v>1548</v>
      </c>
    </row>
    <row r="37" spans="3:12" x14ac:dyDescent="0.25">
      <c r="C37" s="13" t="s">
        <v>287</v>
      </c>
      <c r="D37" s="14" t="s">
        <v>3</v>
      </c>
      <c r="E37" s="168">
        <f>Buyer!E189</f>
        <v>36785</v>
      </c>
      <c r="F37" s="168">
        <f>Buyer!F189</f>
        <v>66880</v>
      </c>
      <c r="G37" s="168">
        <f>Buyer!G189</f>
        <v>99540</v>
      </c>
      <c r="H37" s="168">
        <f ca="1">Buyer!H189</f>
        <v>96711.675028841157</v>
      </c>
      <c r="I37" s="168">
        <f ca="1">Buyer!I189</f>
        <v>119509.85301682536</v>
      </c>
      <c r="J37" s="168">
        <f ca="1">Buyer!J189</f>
        <v>144580.33108445839</v>
      </c>
      <c r="K37" s="168">
        <f ca="1">Buyer!K189</f>
        <v>173220.79624490096</v>
      </c>
      <c r="L37" s="168">
        <f ca="1">Buyer!L189</f>
        <v>204941.88678223093</v>
      </c>
    </row>
    <row r="38" spans="3:12" x14ac:dyDescent="0.25">
      <c r="C38" s="13" t="s">
        <v>288</v>
      </c>
      <c r="D38" s="14" t="s">
        <v>3</v>
      </c>
      <c r="E38" s="168">
        <f>Buyer!E190</f>
        <v>-1144</v>
      </c>
      <c r="F38" s="168">
        <f>Buyer!F188</f>
        <v>3996</v>
      </c>
      <c r="G38" s="168">
        <f>Buyer!G188</f>
        <v>1849</v>
      </c>
      <c r="H38" s="168">
        <f>Buyer!H188</f>
        <v>1849</v>
      </c>
      <c r="I38" s="168">
        <f>Buyer!I188</f>
        <v>1849</v>
      </c>
      <c r="J38" s="168">
        <f>Buyer!J188</f>
        <v>1849</v>
      </c>
      <c r="K38" s="168">
        <f>Buyer!K188</f>
        <v>1849</v>
      </c>
      <c r="L38" s="168">
        <f>Buyer!L188</f>
        <v>1849</v>
      </c>
    </row>
    <row r="39" spans="3:12" x14ac:dyDescent="0.25">
      <c r="C39" s="13" t="s">
        <v>289</v>
      </c>
      <c r="D39" s="14" t="s">
        <v>3</v>
      </c>
      <c r="E39" s="168">
        <f>-Buyer!E170</f>
        <v>-4223</v>
      </c>
      <c r="F39" s="168">
        <f>-Buyer!F170</f>
        <v>-5435</v>
      </c>
      <c r="G39" s="168">
        <f>-Buyer!G170</f>
        <v>-7082</v>
      </c>
      <c r="H39" s="168">
        <f>-Buyer!H170</f>
        <v>-8863.8196578537991</v>
      </c>
      <c r="I39" s="168">
        <f>-Buyer!I170</f>
        <v>-10093.044682092152</v>
      </c>
      <c r="J39" s="168">
        <f>-Buyer!J170</f>
        <v>-10819.9756868447</v>
      </c>
      <c r="K39" s="168">
        <f>-Buyer!K170</f>
        <v>-11604.676850926873</v>
      </c>
      <c r="L39" s="168">
        <f>-Buyer!L170</f>
        <v>-12226.997939333771</v>
      </c>
    </row>
    <row r="40" spans="3:12" x14ac:dyDescent="0.25">
      <c r="C40" s="60" t="s">
        <v>290</v>
      </c>
      <c r="D40" s="16" t="s">
        <v>3</v>
      </c>
      <c r="E40" s="17">
        <f>Buyer!E192</f>
        <v>236</v>
      </c>
      <c r="F40" s="17">
        <f>Buyer!F192</f>
        <v>103</v>
      </c>
      <c r="G40" s="17">
        <f>Buyer!G192</f>
        <v>89</v>
      </c>
      <c r="H40" s="17">
        <f>Buyer!H192</f>
        <v>89</v>
      </c>
      <c r="I40" s="17">
        <f>Buyer!I192</f>
        <v>89</v>
      </c>
      <c r="J40" s="17">
        <f>Buyer!J192</f>
        <v>89</v>
      </c>
      <c r="K40" s="17">
        <f>Buyer!K192</f>
        <v>89</v>
      </c>
      <c r="L40" s="17">
        <f>Buyer!L192</f>
        <v>89</v>
      </c>
    </row>
    <row r="41" spans="3:12" x14ac:dyDescent="0.25">
      <c r="C41" s="1" t="s">
        <v>291</v>
      </c>
      <c r="D41" s="14" t="s">
        <v>3</v>
      </c>
      <c r="E41" s="20">
        <f>SUM(E33:E40)</f>
        <v>38027</v>
      </c>
      <c r="F41" s="20">
        <f t="shared" ref="F41:L41" si="7">SUM(F33:F40)</f>
        <v>90647</v>
      </c>
      <c r="G41" s="20">
        <f t="shared" si="7"/>
        <v>119934</v>
      </c>
      <c r="H41" s="20">
        <f t="shared" ca="1" si="7"/>
        <v>115323.85537098735</v>
      </c>
      <c r="I41" s="20">
        <f t="shared" ca="1" si="7"/>
        <v>136892.80833473321</v>
      </c>
      <c r="J41" s="20">
        <f t="shared" ca="1" si="7"/>
        <v>161236.35539761369</v>
      </c>
      <c r="K41" s="20">
        <f t="shared" ca="1" si="7"/>
        <v>189092.11939397408</v>
      </c>
      <c r="L41" s="20">
        <f t="shared" ca="1" si="7"/>
        <v>220190.88884289714</v>
      </c>
    </row>
    <row r="42" spans="3:12" x14ac:dyDescent="0.25">
      <c r="C42" s="60" t="s">
        <v>292</v>
      </c>
      <c r="D42" s="16" t="s">
        <v>3</v>
      </c>
      <c r="E42" s="169">
        <f>Buyer!E179</f>
        <v>20644</v>
      </c>
      <c r="F42" s="169">
        <f>Buyer!F179</f>
        <v>18487</v>
      </c>
      <c r="G42" s="169">
        <f>Buyer!G179</f>
        <v>20755</v>
      </c>
      <c r="H42" s="169">
        <f>Buyer!H179</f>
        <v>20755</v>
      </c>
      <c r="I42" s="169">
        <f>Buyer!I179</f>
        <v>20755</v>
      </c>
      <c r="J42" s="169">
        <f>Buyer!J179</f>
        <v>20755</v>
      </c>
      <c r="K42" s="169">
        <f>Buyer!K179</f>
        <v>20755</v>
      </c>
      <c r="L42" s="169">
        <f>Buyer!L179</f>
        <v>20755</v>
      </c>
    </row>
    <row r="43" spans="3:12" x14ac:dyDescent="0.25">
      <c r="C43" s="1" t="s">
        <v>293</v>
      </c>
      <c r="D43" s="14" t="s">
        <v>3</v>
      </c>
      <c r="E43" s="20">
        <f>SUM(E41:E42)</f>
        <v>58671</v>
      </c>
      <c r="F43" s="20">
        <f t="shared" ref="F43:L43" si="8">SUM(F41:F42)</f>
        <v>109134</v>
      </c>
      <c r="G43" s="20">
        <f t="shared" si="8"/>
        <v>140689</v>
      </c>
      <c r="H43" s="20">
        <f t="shared" ca="1" si="8"/>
        <v>136078.85537098735</v>
      </c>
      <c r="I43" s="20">
        <f t="shared" ca="1" si="8"/>
        <v>157647.80833473321</v>
      </c>
      <c r="J43" s="20">
        <f t="shared" ca="1" si="8"/>
        <v>181991.35539761369</v>
      </c>
      <c r="K43" s="20">
        <f t="shared" ca="1" si="8"/>
        <v>209847.11939397408</v>
      </c>
      <c r="L43" s="20">
        <f t="shared" ca="1" si="8"/>
        <v>240945.88884289714</v>
      </c>
    </row>
    <row r="44" spans="3:12" x14ac:dyDescent="0.25">
      <c r="C44" s="138" t="s">
        <v>294</v>
      </c>
      <c r="D44" s="14" t="s">
        <v>11</v>
      </c>
      <c r="E44" s="170" t="str">
        <f>IFERROR(+E43/#REF!-1,"N/A")</f>
        <v>N/A</v>
      </c>
      <c r="F44" s="170">
        <f>F43/E43-1</f>
        <v>0.86010124252185927</v>
      </c>
      <c r="G44" s="170">
        <f t="shared" ref="G44:L44" si="9">G43/F43-1</f>
        <v>0.289139956383895</v>
      </c>
      <c r="H44" s="170">
        <f t="shared" ca="1" si="9"/>
        <v>-3.2768337460730046E-2</v>
      </c>
      <c r="I44" s="170">
        <f t="shared" ca="1" si="9"/>
        <v>0.15850333914804859</v>
      </c>
      <c r="J44" s="170">
        <f t="shared" ca="1" si="9"/>
        <v>0.15441728825808898</v>
      </c>
      <c r="K44" s="170">
        <f t="shared" ca="1" si="9"/>
        <v>0.15306091839088332</v>
      </c>
      <c r="L44" s="170">
        <f t="shared" ca="1" si="9"/>
        <v>0.14819726636579267</v>
      </c>
    </row>
    <row r="45" spans="3:12" x14ac:dyDescent="0.25">
      <c r="C45" s="21"/>
      <c r="D45" s="79"/>
      <c r="E45" s="23"/>
      <c r="F45" s="23"/>
      <c r="G45" s="23"/>
      <c r="H45" s="23"/>
      <c r="I45" s="23"/>
      <c r="J45" s="23"/>
      <c r="K45" s="23"/>
      <c r="L45" s="23"/>
    </row>
    <row r="46" spans="3:12" x14ac:dyDescent="0.25">
      <c r="C46" s="24" t="s">
        <v>9</v>
      </c>
      <c r="D46" s="14" t="s">
        <v>3</v>
      </c>
      <c r="E46" s="15">
        <f t="shared" ref="E46:L46" si="10">E9</f>
        <v>393319</v>
      </c>
      <c r="F46" s="15">
        <f t="shared" si="10"/>
        <v>577792</v>
      </c>
      <c r="G46" s="15">
        <f t="shared" si="10"/>
        <v>786809</v>
      </c>
      <c r="H46" s="15">
        <f t="shared" ca="1" si="10"/>
        <v>960290.46142489463</v>
      </c>
      <c r="I46" s="15">
        <f t="shared" ca="1" si="10"/>
        <v>1140031.7361227768</v>
      </c>
      <c r="J46" s="15">
        <f t="shared" ca="1" si="10"/>
        <v>1342894.6283134473</v>
      </c>
      <c r="K46" s="15">
        <f t="shared" ca="1" si="10"/>
        <v>1575025.9949497841</v>
      </c>
      <c r="L46" s="15">
        <f t="shared" ca="1" si="10"/>
        <v>1834182.4070241426</v>
      </c>
    </row>
    <row r="47" spans="3:12" x14ac:dyDescent="0.25">
      <c r="C47" s="138" t="s">
        <v>295</v>
      </c>
      <c r="D47" s="14" t="s">
        <v>11</v>
      </c>
      <c r="E47" s="171">
        <f>E46/Buyer!E58</f>
        <v>1.1160170359588117</v>
      </c>
      <c r="F47" s="171">
        <f>F46/Buyer!F58</f>
        <v>1.0524041885465218</v>
      </c>
      <c r="G47" s="171">
        <f>G46/Buyer!G58</f>
        <v>1.0293184963853907</v>
      </c>
      <c r="H47" s="171">
        <f ca="1">H46/Buyer!H58</f>
        <v>1</v>
      </c>
      <c r="I47" s="171">
        <f ca="1">I46/Buyer!I58</f>
        <v>1</v>
      </c>
      <c r="J47" s="171">
        <f ca="1">J46/Buyer!J58</f>
        <v>1</v>
      </c>
      <c r="K47" s="171">
        <f ca="1">K46/Buyer!K58</f>
        <v>1</v>
      </c>
      <c r="L47" s="171">
        <f ca="1">L46/Buyer!L58</f>
        <v>1</v>
      </c>
    </row>
    <row r="48" spans="3:12" x14ac:dyDescent="0.25">
      <c r="C48" s="138" t="s">
        <v>296</v>
      </c>
      <c r="D48" s="14" t="s">
        <v>11</v>
      </c>
      <c r="E48" s="139" t="str">
        <f>IFERROR(+E46/#REF!-1,"N/A")</f>
        <v>N/A</v>
      </c>
      <c r="F48" s="139">
        <f>F46/E46-1</f>
        <v>0.46901624381227447</v>
      </c>
      <c r="G48" s="139">
        <f t="shared" ref="G48:L48" si="11">G46/F46-1</f>
        <v>0.36175128766061149</v>
      </c>
      <c r="H48" s="139">
        <f t="shared" ca="1" si="11"/>
        <v>0.22048738820335645</v>
      </c>
      <c r="I48" s="139">
        <f t="shared" ca="1" si="11"/>
        <v>0.18717386240740019</v>
      </c>
      <c r="J48" s="139">
        <f t="shared" ca="1" si="11"/>
        <v>0.17794495167354096</v>
      </c>
      <c r="K48" s="139">
        <f t="shared" ca="1" si="11"/>
        <v>0.17285895835913245</v>
      </c>
      <c r="L48" s="139">
        <f t="shared" ca="1" si="11"/>
        <v>0.16454103799259578</v>
      </c>
    </row>
    <row r="49" spans="3:12" x14ac:dyDescent="0.25">
      <c r="D49" s="27"/>
      <c r="G49" s="1"/>
    </row>
    <row r="50" spans="3:12" x14ac:dyDescent="0.25">
      <c r="C50" t="s">
        <v>7</v>
      </c>
      <c r="D50" s="14" t="s">
        <v>3</v>
      </c>
      <c r="E50" s="15">
        <f>Buyer!E173</f>
        <v>375499</v>
      </c>
      <c r="F50" s="15">
        <f>Buyer!F173</f>
        <v>580025</v>
      </c>
      <c r="G50" s="15">
        <f>Buyer!G173</f>
        <v>859294</v>
      </c>
      <c r="H50" s="15">
        <f ca="1">Buyer!H173</f>
        <v>1053708.2604818142</v>
      </c>
      <c r="I50" s="15">
        <f ca="1">Buyer!I173</f>
        <v>1238542.8663263088</v>
      </c>
      <c r="J50" s="15">
        <f ca="1">Buyer!J173</f>
        <v>1439315.589719658</v>
      </c>
      <c r="K50" s="15">
        <f ca="1">Buyer!K173</f>
        <v>1652236.605394762</v>
      </c>
      <c r="L50" s="15">
        <f ca="1">Buyer!L173</f>
        <v>1867855.6214028138</v>
      </c>
    </row>
    <row r="51" spans="3:12" x14ac:dyDescent="0.25">
      <c r="D51" s="27"/>
      <c r="E51" s="172"/>
      <c r="F51" s="172"/>
      <c r="G51" s="172"/>
      <c r="H51" s="172"/>
      <c r="I51" s="172"/>
      <c r="J51" s="172"/>
      <c r="K51" s="172"/>
      <c r="L51" s="172"/>
    </row>
    <row r="52" spans="3:12" x14ac:dyDescent="0.25">
      <c r="C52" s="1" t="s">
        <v>297</v>
      </c>
      <c r="D52" s="14" t="s">
        <v>3</v>
      </c>
      <c r="E52" s="20">
        <f>E50-Buyer!E170</f>
        <v>371276</v>
      </c>
      <c r="F52" s="20">
        <f>F50-Buyer!F170</f>
        <v>574590</v>
      </c>
      <c r="G52" s="20">
        <f>G50-Buyer!G170</f>
        <v>852212</v>
      </c>
      <c r="H52" s="20">
        <f ca="1">H50-Buyer!H170</f>
        <v>1044844.4408239604</v>
      </c>
      <c r="I52" s="20">
        <f ca="1">I50-Buyer!I170</f>
        <v>1228449.8216442165</v>
      </c>
      <c r="J52" s="20">
        <f ca="1">J50-Buyer!J170</f>
        <v>1428495.6140328133</v>
      </c>
      <c r="K52" s="20">
        <f ca="1">K50-Buyer!K170</f>
        <v>1640631.9285438352</v>
      </c>
      <c r="L52" s="20">
        <f ca="1">L50-Buyer!L170</f>
        <v>1855628.62346348</v>
      </c>
    </row>
    <row r="53" spans="3:12" x14ac:dyDescent="0.25">
      <c r="C53" s="1" t="s">
        <v>26</v>
      </c>
      <c r="D53" s="14" t="s">
        <v>11</v>
      </c>
      <c r="E53" s="145">
        <f>IFERROR(E41/E46,"N/A")</f>
        <v>9.6682336729219789E-2</v>
      </c>
      <c r="F53" s="145">
        <f t="shared" ref="F53:L53" si="12">IFERROR(F41/F46,"N/A")</f>
        <v>0.15688517667257421</v>
      </c>
      <c r="G53" s="145">
        <f t="shared" si="12"/>
        <v>0.15243089491858888</v>
      </c>
      <c r="H53" s="145">
        <f t="shared" ca="1" si="12"/>
        <v>0.12009268029161503</v>
      </c>
      <c r="I53" s="145">
        <f t="shared" ca="1" si="12"/>
        <v>0.12007806800212659</v>
      </c>
      <c r="J53" s="145">
        <f t="shared" ca="1" si="12"/>
        <v>0.12006627474570494</v>
      </c>
      <c r="K53" s="145">
        <f t="shared" ca="1" si="12"/>
        <v>0.12005650700387509</v>
      </c>
      <c r="L53" s="145">
        <f t="shared" ca="1" si="12"/>
        <v>0.12004852298204323</v>
      </c>
    </row>
    <row r="54" spans="3:12" x14ac:dyDescent="0.25">
      <c r="C54" s="1" t="s">
        <v>27</v>
      </c>
      <c r="D54" s="14" t="s">
        <v>11</v>
      </c>
      <c r="E54" s="145">
        <f t="shared" ref="E54:L54" si="13">IFERROR(+E43/E46,"N/A")</f>
        <v>0.14916899514134838</v>
      </c>
      <c r="F54" s="145">
        <f t="shared" si="13"/>
        <v>0.18888111984935754</v>
      </c>
      <c r="G54" s="145">
        <f t="shared" si="13"/>
        <v>0.17880959673821728</v>
      </c>
      <c r="H54" s="145">
        <f t="shared" ca="1" si="13"/>
        <v>0.14170593256656047</v>
      </c>
      <c r="I54" s="145">
        <f t="shared" ca="1" si="13"/>
        <v>0.13828370153175734</v>
      </c>
      <c r="J54" s="145">
        <f t="shared" ca="1" si="13"/>
        <v>0.13552169437610914</v>
      </c>
      <c r="K54" s="145">
        <f t="shared" ca="1" si="13"/>
        <v>0.13323406728957801</v>
      </c>
      <c r="L54" s="145">
        <f t="shared" ca="1" si="13"/>
        <v>0.13136419143492836</v>
      </c>
    </row>
    <row r="55" spans="3:12" x14ac:dyDescent="0.25">
      <c r="C55" s="1" t="s">
        <v>28</v>
      </c>
      <c r="D55" s="14" t="s">
        <v>11</v>
      </c>
      <c r="E55" s="145">
        <f>IFERROR(E43/E46,"N/A")</f>
        <v>0.14916899514134838</v>
      </c>
      <c r="F55" s="145">
        <f t="shared" ref="F55:L55" si="14">IFERROR(F43/F46,"N/A")</f>
        <v>0.18888111984935754</v>
      </c>
      <c r="G55" s="145">
        <f t="shared" si="14"/>
        <v>0.17880959673821728</v>
      </c>
      <c r="H55" s="145">
        <f t="shared" ca="1" si="14"/>
        <v>0.14170593256656047</v>
      </c>
      <c r="I55" s="145">
        <f t="shared" ca="1" si="14"/>
        <v>0.13828370153175734</v>
      </c>
      <c r="J55" s="145">
        <f t="shared" ca="1" si="14"/>
        <v>0.13552169437610914</v>
      </c>
      <c r="K55" s="145">
        <f t="shared" ca="1" si="14"/>
        <v>0.13323406728957801</v>
      </c>
      <c r="L55" s="145">
        <f t="shared" ca="1" si="14"/>
        <v>0.13136419143492836</v>
      </c>
    </row>
    <row r="56" spans="3:12" x14ac:dyDescent="0.25">
      <c r="C56" s="1" t="s">
        <v>29</v>
      </c>
      <c r="D56" s="14" t="s">
        <v>11</v>
      </c>
      <c r="E56" s="145">
        <f>IFERROR(+E43/E52,"N/A")</f>
        <v>0.15802529654488845</v>
      </c>
      <c r="F56" s="145">
        <f t="shared" ref="F56:L56" si="15">IFERROR(+F43/F52,"N/A")</f>
        <v>0.18993369184984077</v>
      </c>
      <c r="G56" s="145">
        <f t="shared" si="15"/>
        <v>0.16508685632213579</v>
      </c>
      <c r="H56" s="145">
        <f t="shared" ca="1" si="15"/>
        <v>0.13023838770073379</v>
      </c>
      <c r="I56" s="145">
        <f t="shared" ca="1" si="15"/>
        <v>0.12833068600533457</v>
      </c>
      <c r="J56" s="145">
        <f t="shared" ca="1" si="15"/>
        <v>0.1274007099565608</v>
      </c>
      <c r="K56" s="145">
        <f t="shared" ca="1" si="15"/>
        <v>0.1279062754680306</v>
      </c>
      <c r="L56" s="145">
        <f t="shared" ca="1" si="15"/>
        <v>0.12984596475623353</v>
      </c>
    </row>
    <row r="57" spans="3:12" x14ac:dyDescent="0.25">
      <c r="C57" s="1"/>
      <c r="D57" s="27"/>
      <c r="E57" s="145"/>
      <c r="F57" s="145"/>
      <c r="G57" s="145"/>
      <c r="H57" s="145"/>
      <c r="I57" s="145"/>
      <c r="J57" s="145"/>
      <c r="K57" s="145"/>
      <c r="L57" s="145"/>
    </row>
  </sheetData>
  <conditionalFormatting sqref="H54:L54">
    <cfRule type="cellIs" dxfId="0" priority="1" operator="lessThanOrEqual">
      <formula>#REF!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4642-1728-4ED1-906F-D8B047981B88}">
  <dimension ref="B2:L43"/>
  <sheetViews>
    <sheetView showGridLines="0" workbookViewId="0">
      <selection activeCell="N20" sqref="N20"/>
    </sheetView>
  </sheetViews>
  <sheetFormatPr defaultRowHeight="15" x14ac:dyDescent="0.25"/>
  <cols>
    <col min="1" max="2" width="2.7109375" customWidth="1"/>
    <col min="3" max="3" width="40.7109375" customWidth="1"/>
    <col min="4" max="6" width="11.5703125" customWidth="1"/>
    <col min="7" max="7" width="12.140625" bestFit="1" customWidth="1"/>
    <col min="8" max="8" width="11.5703125" customWidth="1"/>
    <col min="9" max="9" width="12.140625" bestFit="1" customWidth="1"/>
    <col min="10" max="10" width="13.7109375" customWidth="1"/>
    <col min="11" max="11" width="14" customWidth="1"/>
    <col min="12" max="12" width="13.42578125" customWidth="1"/>
  </cols>
  <sheetData>
    <row r="2" spans="2:12" x14ac:dyDescent="0.25">
      <c r="B2" s="1" t="str">
        <f>Company_Name&amp;" - PPE &amp; Intangibles - "&amp;Scenario&amp;" Case"</f>
        <v>TCS Group Holding PLC - PPE &amp; Intangibles - Base Case</v>
      </c>
    </row>
    <row r="3" spans="2:12" x14ac:dyDescent="0.25">
      <c r="B3" t="str">
        <f>Buyer!B3</f>
        <v>(RUB in Millions Except Per Share and Per Unit Data)</v>
      </c>
      <c r="F3" s="59"/>
      <c r="G3" s="59"/>
      <c r="H3" s="59"/>
      <c r="I3" s="59"/>
      <c r="J3" s="59"/>
      <c r="K3" s="59"/>
      <c r="L3" s="59"/>
    </row>
    <row r="5" spans="2:12" x14ac:dyDescent="0.25">
      <c r="B5" s="2"/>
      <c r="C5" s="2"/>
      <c r="D5" s="3"/>
      <c r="E5" s="4" t="s">
        <v>55</v>
      </c>
      <c r="F5" s="4"/>
      <c r="G5" s="4"/>
      <c r="H5" s="5" t="s">
        <v>0</v>
      </c>
      <c r="I5" s="4"/>
      <c r="J5" s="4"/>
      <c r="K5" s="4"/>
      <c r="L5" s="4"/>
    </row>
    <row r="6" spans="2:12" x14ac:dyDescent="0.25">
      <c r="B6" s="6" t="s">
        <v>298</v>
      </c>
      <c r="C6" s="6"/>
      <c r="D6" s="7" t="s">
        <v>1</v>
      </c>
      <c r="E6" s="8">
        <f>Buyer!E23</f>
        <v>43465</v>
      </c>
      <c r="F6" s="8">
        <f>Buyer!F23</f>
        <v>43830</v>
      </c>
      <c r="G6" s="8">
        <f>Buyer!G23</f>
        <v>44196</v>
      </c>
      <c r="H6" s="8">
        <f>Buyer!H23</f>
        <v>44561</v>
      </c>
      <c r="I6" s="8">
        <f>Buyer!I23</f>
        <v>44926</v>
      </c>
      <c r="J6" s="8">
        <f>Buyer!J23</f>
        <v>45291</v>
      </c>
      <c r="K6" s="8">
        <f>Buyer!K23</f>
        <v>45657</v>
      </c>
      <c r="L6" s="8">
        <f>Buyer!L23</f>
        <v>46022</v>
      </c>
    </row>
    <row r="7" spans="2:12" x14ac:dyDescent="0.25">
      <c r="C7" s="10" t="s">
        <v>132</v>
      </c>
      <c r="D7" s="130"/>
      <c r="E7" s="131"/>
      <c r="F7" s="131"/>
      <c r="G7" s="132"/>
      <c r="H7" s="133"/>
      <c r="I7" s="133"/>
      <c r="J7" s="133"/>
      <c r="K7" s="133"/>
      <c r="L7" s="133"/>
    </row>
    <row r="8" spans="2:12" x14ac:dyDescent="0.25">
      <c r="C8" s="1" t="s">
        <v>299</v>
      </c>
      <c r="F8" s="67">
        <v>396</v>
      </c>
      <c r="G8" s="19">
        <f>F8+F10</f>
        <v>396</v>
      </c>
      <c r="H8" s="19">
        <f t="shared" ref="H8:L8" si="0">G8+G10</f>
        <v>396</v>
      </c>
      <c r="I8" s="19">
        <f t="shared" si="0"/>
        <v>396</v>
      </c>
      <c r="J8" s="19">
        <f t="shared" si="0"/>
        <v>396</v>
      </c>
      <c r="K8" s="19">
        <f t="shared" si="0"/>
        <v>396</v>
      </c>
      <c r="L8" s="19">
        <f t="shared" si="0"/>
        <v>396</v>
      </c>
    </row>
    <row r="9" spans="2:12" x14ac:dyDescent="0.25">
      <c r="C9" s="13" t="s">
        <v>300</v>
      </c>
      <c r="F9" s="67"/>
      <c r="G9" s="67">
        <f>F9+F12</f>
        <v>0</v>
      </c>
      <c r="H9" s="67">
        <f t="shared" ref="H9:L9" si="1">G9+G12</f>
        <v>0</v>
      </c>
      <c r="I9" s="67">
        <f t="shared" si="1"/>
        <v>0</v>
      </c>
      <c r="J9" s="67">
        <f t="shared" si="1"/>
        <v>0</v>
      </c>
      <c r="K9" s="67">
        <f t="shared" si="1"/>
        <v>0</v>
      </c>
      <c r="L9" s="67">
        <f t="shared" si="1"/>
        <v>0</v>
      </c>
    </row>
    <row r="10" spans="2:12" x14ac:dyDescent="0.25">
      <c r="C10" s="13" t="s">
        <v>301</v>
      </c>
      <c r="F10" s="67"/>
      <c r="G10" s="67"/>
      <c r="H10" s="67"/>
      <c r="I10" s="67"/>
      <c r="J10" s="67"/>
      <c r="K10" s="67"/>
      <c r="L10" s="67"/>
    </row>
    <row r="11" spans="2:12" x14ac:dyDescent="0.25">
      <c r="C11" s="13" t="s">
        <v>302</v>
      </c>
      <c r="F11" s="67"/>
      <c r="G11" s="67"/>
      <c r="H11" s="67"/>
      <c r="I11" s="67"/>
      <c r="J11" s="67"/>
      <c r="K11" s="67"/>
      <c r="L11" s="67"/>
    </row>
    <row r="12" spans="2:12" x14ac:dyDescent="0.25">
      <c r="C12" s="13" t="s">
        <v>303</v>
      </c>
      <c r="F12" s="67"/>
      <c r="G12" s="67"/>
      <c r="H12" s="67"/>
      <c r="I12" s="67"/>
      <c r="J12" s="67"/>
      <c r="K12" s="67"/>
      <c r="L12" s="67"/>
    </row>
    <row r="13" spans="2:12" x14ac:dyDescent="0.25">
      <c r="C13" s="164" t="s">
        <v>304</v>
      </c>
      <c r="D13" s="56"/>
      <c r="E13" s="56"/>
      <c r="F13" s="61">
        <f>F8+F10+F12+F9</f>
        <v>396</v>
      </c>
      <c r="G13" s="61">
        <f t="shared" ref="G13:L13" si="2">G8+G10+G12+G9</f>
        <v>396</v>
      </c>
      <c r="H13" s="61">
        <f t="shared" si="2"/>
        <v>396</v>
      </c>
      <c r="I13" s="61">
        <f t="shared" si="2"/>
        <v>396</v>
      </c>
      <c r="J13" s="61">
        <f t="shared" si="2"/>
        <v>396</v>
      </c>
      <c r="K13" s="61">
        <f t="shared" si="2"/>
        <v>396</v>
      </c>
      <c r="L13" s="61">
        <f t="shared" si="2"/>
        <v>396</v>
      </c>
    </row>
    <row r="14" spans="2:12" x14ac:dyDescent="0.25">
      <c r="C14" s="1" t="s">
        <v>305</v>
      </c>
      <c r="F14" s="67">
        <v>4219</v>
      </c>
      <c r="G14" s="19">
        <f>F14+F16</f>
        <v>4219</v>
      </c>
      <c r="H14" s="19">
        <f t="shared" ref="H14:L14" si="3">G14+G16</f>
        <v>4219</v>
      </c>
      <c r="I14" s="19">
        <f t="shared" si="3"/>
        <v>4219</v>
      </c>
      <c r="J14" s="19">
        <f t="shared" si="3"/>
        <v>4219</v>
      </c>
      <c r="K14" s="19">
        <f t="shared" si="3"/>
        <v>4219</v>
      </c>
      <c r="L14" s="19">
        <f t="shared" si="3"/>
        <v>4219</v>
      </c>
    </row>
    <row r="15" spans="2:12" x14ac:dyDescent="0.25">
      <c r="C15" s="13" t="s">
        <v>300</v>
      </c>
      <c r="F15" s="67">
        <f>-90</f>
        <v>-90</v>
      </c>
      <c r="G15" s="67">
        <f>F15+F17+F18</f>
        <v>-133</v>
      </c>
      <c r="H15" s="19">
        <f t="shared" ref="H15:L15" si="4">G15+G17+G18</f>
        <v>-176</v>
      </c>
      <c r="I15" s="19">
        <f t="shared" si="4"/>
        <v>-219</v>
      </c>
      <c r="J15" s="19">
        <f t="shared" si="4"/>
        <v>-262</v>
      </c>
      <c r="K15" s="19">
        <f t="shared" si="4"/>
        <v>-305</v>
      </c>
      <c r="L15" s="19">
        <f t="shared" si="4"/>
        <v>-348</v>
      </c>
    </row>
    <row r="16" spans="2:12" x14ac:dyDescent="0.25">
      <c r="C16" s="13" t="s">
        <v>301</v>
      </c>
      <c r="F16" s="67"/>
      <c r="G16" s="67"/>
      <c r="H16" s="19"/>
      <c r="I16" s="19"/>
      <c r="J16" s="19"/>
      <c r="K16" s="19"/>
      <c r="L16" s="19"/>
    </row>
    <row r="17" spans="3:12" x14ac:dyDescent="0.25">
      <c r="C17" s="13" t="s">
        <v>302</v>
      </c>
      <c r="F17" s="67">
        <v>-43</v>
      </c>
      <c r="G17" s="67">
        <v>-43</v>
      </c>
      <c r="H17" s="19">
        <v>-43</v>
      </c>
      <c r="I17" s="19">
        <v>-43</v>
      </c>
      <c r="J17" s="19">
        <v>-43</v>
      </c>
      <c r="K17" s="19">
        <v>-43</v>
      </c>
      <c r="L17" s="19">
        <v>-43</v>
      </c>
    </row>
    <row r="18" spans="3:12" x14ac:dyDescent="0.25">
      <c r="C18" s="13" t="s">
        <v>303</v>
      </c>
      <c r="F18" s="67"/>
      <c r="G18" s="67"/>
      <c r="H18" s="19"/>
      <c r="I18" s="19"/>
      <c r="J18" s="19"/>
      <c r="K18" s="19"/>
      <c r="L18" s="19"/>
    </row>
    <row r="19" spans="3:12" x14ac:dyDescent="0.25">
      <c r="C19" s="164" t="s">
        <v>306</v>
      </c>
      <c r="D19" s="56"/>
      <c r="E19" s="56"/>
      <c r="F19" s="61">
        <f>F14+F16+F17+F15</f>
        <v>4086</v>
      </c>
      <c r="G19" s="61">
        <f t="shared" ref="G19:L19" si="5">G14+G16+G17+G15</f>
        <v>4043</v>
      </c>
      <c r="H19" s="61">
        <f t="shared" si="5"/>
        <v>4000</v>
      </c>
      <c r="I19" s="61">
        <f t="shared" si="5"/>
        <v>3957</v>
      </c>
      <c r="J19" s="61">
        <f t="shared" si="5"/>
        <v>3914</v>
      </c>
      <c r="K19" s="61">
        <f t="shared" si="5"/>
        <v>3871</v>
      </c>
      <c r="L19" s="61">
        <f t="shared" si="5"/>
        <v>3828</v>
      </c>
    </row>
    <row r="20" spans="3:12" x14ac:dyDescent="0.25">
      <c r="C20" s="1" t="s">
        <v>307</v>
      </c>
      <c r="F20" s="67">
        <f>4341+1536+42</f>
        <v>5919</v>
      </c>
      <c r="G20" s="67">
        <f>6070+1620+88</f>
        <v>7778</v>
      </c>
      <c r="H20" s="19">
        <f t="shared" ref="H20:L20" si="6">G20+G22</f>
        <v>9553</v>
      </c>
      <c r="I20" s="19">
        <f t="shared" si="6"/>
        <v>12231.686934828089</v>
      </c>
      <c r="J20" s="19">
        <f t="shared" si="6"/>
        <v>15133.107854602602</v>
      </c>
      <c r="K20" s="19">
        <f t="shared" si="6"/>
        <v>18334.033212600491</v>
      </c>
      <c r="L20" s="19">
        <f t="shared" si="6"/>
        <v>22235.710938352033</v>
      </c>
    </row>
    <row r="21" spans="3:12" x14ac:dyDescent="0.25">
      <c r="C21" s="13" t="s">
        <v>300</v>
      </c>
      <c r="F21" s="67">
        <f>-1527-515-33</f>
        <v>-2075</v>
      </c>
      <c r="G21" s="19">
        <f>F21+F23+F24</f>
        <v>-3308</v>
      </c>
      <c r="H21" s="19">
        <f>G21+G23+G24</f>
        <v>-4647</v>
      </c>
      <c r="I21" s="19">
        <f t="shared" ref="I21:L21" si="7">H21+H23+H24</f>
        <v>-6615.023143216833</v>
      </c>
      <c r="J21" s="19">
        <f t="shared" si="7"/>
        <v>-9134.885277449499</v>
      </c>
      <c r="K21" s="19">
        <f t="shared" si="7"/>
        <v>-12252.472055074784</v>
      </c>
      <c r="L21" s="19">
        <f t="shared" si="7"/>
        <v>-16029.484686803438</v>
      </c>
    </row>
    <row r="22" spans="3:12" x14ac:dyDescent="0.25">
      <c r="C22" s="13" t="s">
        <v>301</v>
      </c>
      <c r="F22" s="67">
        <f>1788-59+86-2+46</f>
        <v>1859</v>
      </c>
      <c r="G22" s="67">
        <f>2168-164+2-231</f>
        <v>1775</v>
      </c>
      <c r="H22" s="67">
        <f>H41*(Buyer!H166)</f>
        <v>2678.6869348280893</v>
      </c>
      <c r="I22" s="67">
        <f>I41*(Buyer!I166)</f>
        <v>2901.4209197745131</v>
      </c>
      <c r="J22" s="67">
        <f>J41*(Buyer!J166)</f>
        <v>3200.9253579978895</v>
      </c>
      <c r="K22" s="67">
        <f>K41*(Buyer!K166)</f>
        <v>3901.6777257515419</v>
      </c>
      <c r="L22" s="67">
        <f>L41*(Buyer!L166)</f>
        <v>4614.9509212232851</v>
      </c>
    </row>
    <row r="23" spans="3:12" x14ac:dyDescent="0.25">
      <c r="C23" s="13" t="s">
        <v>302</v>
      </c>
      <c r="F23" s="67">
        <f>-1076-160-8</f>
        <v>-1244</v>
      </c>
      <c r="G23" s="67">
        <f>-1421-149</f>
        <v>-1570</v>
      </c>
      <c r="H23" s="19">
        <f>MAX(H20*H38,-H20-H21)</f>
        <v>-1968.0231432168332</v>
      </c>
      <c r="I23" s="19">
        <f t="shared" ref="I23:L23" si="8">MAX(I20*I38,-I20-I21)</f>
        <v>-2519.8621342326651</v>
      </c>
      <c r="J23" s="19">
        <f t="shared" si="8"/>
        <v>-3117.5867776252862</v>
      </c>
      <c r="K23" s="19">
        <f t="shared" si="8"/>
        <v>-3777.012631728654</v>
      </c>
      <c r="L23" s="19">
        <f t="shared" si="8"/>
        <v>-4580.801186282476</v>
      </c>
    </row>
    <row r="24" spans="3:12" x14ac:dyDescent="0.25">
      <c r="C24" s="13" t="s">
        <v>303</v>
      </c>
      <c r="F24" s="67">
        <v>11</v>
      </c>
      <c r="G24" s="67">
        <v>231</v>
      </c>
      <c r="H24" s="67"/>
      <c r="I24" s="67"/>
      <c r="J24" s="67"/>
      <c r="K24" s="67"/>
      <c r="L24" s="67"/>
    </row>
    <row r="25" spans="3:12" x14ac:dyDescent="0.25">
      <c r="C25" s="164" t="s">
        <v>308</v>
      </c>
      <c r="D25" s="56"/>
      <c r="E25" s="56"/>
      <c r="F25" s="61">
        <f>F20+F22+F23+F21+F24</f>
        <v>4470</v>
      </c>
      <c r="G25" s="61">
        <f t="shared" ref="G25:L25" si="9">G20+G22+G23+G21+G24</f>
        <v>4906</v>
      </c>
      <c r="H25" s="70">
        <f t="shared" si="9"/>
        <v>5616.6637916112559</v>
      </c>
      <c r="I25" s="70">
        <f t="shared" si="9"/>
        <v>5998.2225771531048</v>
      </c>
      <c r="J25" s="70">
        <f t="shared" si="9"/>
        <v>6081.5611575257062</v>
      </c>
      <c r="K25" s="70">
        <f t="shared" si="9"/>
        <v>6206.2262515485963</v>
      </c>
      <c r="L25" s="70">
        <f t="shared" si="9"/>
        <v>6240.3759864894037</v>
      </c>
    </row>
    <row r="26" spans="3:12" x14ac:dyDescent="0.25">
      <c r="C26" s="1" t="s">
        <v>309</v>
      </c>
      <c r="F26" s="67">
        <v>1671</v>
      </c>
      <c r="G26" s="19">
        <f>F29</f>
        <v>1608</v>
      </c>
      <c r="H26" s="19">
        <f>G29</f>
        <v>1140</v>
      </c>
      <c r="I26" s="19">
        <f t="shared" ref="I26:L26" si="10">H29</f>
        <v>1325.3068919275979</v>
      </c>
      <c r="J26" s="19">
        <f t="shared" si="10"/>
        <v>1486.573894606046</v>
      </c>
      <c r="K26" s="19">
        <f t="shared" si="10"/>
        <v>1653.8279577222361</v>
      </c>
      <c r="L26" s="19">
        <f t="shared" si="10"/>
        <v>1926.6393617635258</v>
      </c>
    </row>
    <row r="27" spans="3:12" x14ac:dyDescent="0.25">
      <c r="C27" s="13" t="s">
        <v>310</v>
      </c>
      <c r="F27" s="67">
        <v>664</v>
      </c>
      <c r="G27" s="67">
        <v>234</v>
      </c>
      <c r="H27" s="67">
        <f>H43*(Buyer!H166)</f>
        <v>682.13940351686881</v>
      </c>
      <c r="I27" s="67">
        <f>I43*(Buyer!I166)</f>
        <v>738.85959192665757</v>
      </c>
      <c r="J27" s="67">
        <f>J43*(Buyer!J166)</f>
        <v>815.12971374791482</v>
      </c>
      <c r="K27" s="67">
        <f>K43*(Buyer!K166)</f>
        <v>993.57938471821342</v>
      </c>
      <c r="L27" s="67">
        <f>L43*(Buyer!L166)</f>
        <v>1175.2175395087402</v>
      </c>
    </row>
    <row r="28" spans="3:12" x14ac:dyDescent="0.25">
      <c r="C28" s="13" t="s">
        <v>302</v>
      </c>
      <c r="F28" s="67">
        <v>-727</v>
      </c>
      <c r="G28" s="67">
        <v>-702</v>
      </c>
      <c r="H28" s="19">
        <f>MAX(H26*H39,-H26)</f>
        <v>-496.83251158927089</v>
      </c>
      <c r="I28" s="19">
        <f t="shared" ref="I28:L28" si="11">MAX(I26*I39,-I26)</f>
        <v>-577.59258924820961</v>
      </c>
      <c r="J28" s="19">
        <f t="shared" si="11"/>
        <v>-647.87565063172451</v>
      </c>
      <c r="K28" s="19">
        <f t="shared" si="11"/>
        <v>-720.7679806769238</v>
      </c>
      <c r="L28" s="19">
        <f t="shared" si="11"/>
        <v>-839.66409915063377</v>
      </c>
    </row>
    <row r="29" spans="3:12" x14ac:dyDescent="0.25">
      <c r="C29" s="164" t="s">
        <v>311</v>
      </c>
      <c r="D29" s="56"/>
      <c r="E29" s="56"/>
      <c r="F29" s="61">
        <f>SUM(F26:F28)</f>
        <v>1608</v>
      </c>
      <c r="G29" s="61">
        <f>SUM(G26:G28)</f>
        <v>1140</v>
      </c>
      <c r="H29" s="61">
        <f>H26+H27+H28</f>
        <v>1325.3068919275979</v>
      </c>
      <c r="I29" s="61">
        <f t="shared" ref="I29:L29" si="12">I26+I27+I28</f>
        <v>1486.573894606046</v>
      </c>
      <c r="J29" s="61">
        <f t="shared" si="12"/>
        <v>1653.8279577222361</v>
      </c>
      <c r="K29" s="61">
        <f t="shared" si="12"/>
        <v>1926.6393617635258</v>
      </c>
      <c r="L29" s="61">
        <f t="shared" si="12"/>
        <v>2262.1928021216322</v>
      </c>
    </row>
    <row r="30" spans="3:12" x14ac:dyDescent="0.25">
      <c r="C30" s="1" t="s">
        <v>312</v>
      </c>
      <c r="F30" s="67">
        <v>6625</v>
      </c>
      <c r="G30" s="19">
        <f>F30+F32</f>
        <v>9117</v>
      </c>
      <c r="H30" s="19">
        <f t="shared" ref="H30:L30" si="13">G30+G32</f>
        <v>12713</v>
      </c>
      <c r="I30" s="19">
        <f t="shared" si="13"/>
        <v>17139.113133868956</v>
      </c>
      <c r="J30" s="19">
        <f t="shared" si="13"/>
        <v>21933.259501973851</v>
      </c>
      <c r="K30" s="19">
        <f t="shared" si="13"/>
        <v>27222.290326502767</v>
      </c>
      <c r="L30" s="19">
        <f t="shared" si="13"/>
        <v>33669.205343535599</v>
      </c>
    </row>
    <row r="31" spans="3:12" x14ac:dyDescent="0.25">
      <c r="C31" s="13" t="s">
        <v>300</v>
      </c>
      <c r="F31" s="67">
        <v>-2402</v>
      </c>
      <c r="G31" s="19">
        <f>F31+F33+F34</f>
        <v>-3682</v>
      </c>
      <c r="H31" s="19">
        <f>G31+G33+G34</f>
        <v>-5631</v>
      </c>
      <c r="I31" s="19">
        <f t="shared" ref="I31:L31" si="14">H31+H33+H34</f>
        <v>-8275.2934760151566</v>
      </c>
      <c r="J31" s="19">
        <f t="shared" si="14"/>
        <v>-11840.214819881701</v>
      </c>
      <c r="K31" s="19">
        <f t="shared" si="14"/>
        <v>-16402.314639658063</v>
      </c>
      <c r="L31" s="19">
        <f t="shared" si="14"/>
        <v>-22064.528492608726</v>
      </c>
    </row>
    <row r="32" spans="3:12" x14ac:dyDescent="0.25">
      <c r="C32" s="13" t="s">
        <v>301</v>
      </c>
      <c r="F32" s="67">
        <f>2564-72</f>
        <v>2492</v>
      </c>
      <c r="G32" s="67">
        <f>3669-73</f>
        <v>3596</v>
      </c>
      <c r="H32" s="67">
        <f>H42*(Buyer!H166)</f>
        <v>4426.1131338689547</v>
      </c>
      <c r="I32" s="67">
        <f>I42*(Buyer!I166)</f>
        <v>4794.1463681048945</v>
      </c>
      <c r="J32" s="67">
        <f>J42*(Buyer!J166)</f>
        <v>5289.0308245289161</v>
      </c>
      <c r="K32" s="67">
        <f>K42*(Buyer!K166)</f>
        <v>6446.9150170328312</v>
      </c>
      <c r="L32" s="67">
        <f>L42*(Buyer!L166)</f>
        <v>7625.4879280612604</v>
      </c>
    </row>
    <row r="33" spans="3:12" x14ac:dyDescent="0.25">
      <c r="C33" s="13" t="s">
        <v>302</v>
      </c>
      <c r="F33" s="67">
        <f>-1331</f>
        <v>-1331</v>
      </c>
      <c r="G33" s="67">
        <f>-1961</f>
        <v>-1961</v>
      </c>
      <c r="H33" s="67">
        <f>H30*H40</f>
        <v>-2644.293476015157</v>
      </c>
      <c r="I33" s="67">
        <f t="shared" ref="I33:L33" si="15">I30*I40</f>
        <v>-3564.9213438665438</v>
      </c>
      <c r="J33" s="67">
        <f t="shared" si="15"/>
        <v>-4562.0998197763638</v>
      </c>
      <c r="K33" s="67">
        <f t="shared" si="15"/>
        <v>-5662.2138529506637</v>
      </c>
      <c r="L33" s="67">
        <f t="shared" si="15"/>
        <v>-7003.1668396543582</v>
      </c>
    </row>
    <row r="34" spans="3:12" x14ac:dyDescent="0.25">
      <c r="C34" s="13" t="s">
        <v>303</v>
      </c>
      <c r="F34" s="67">
        <f>51</f>
        <v>51</v>
      </c>
      <c r="G34" s="67">
        <v>12</v>
      </c>
      <c r="H34" s="67"/>
      <c r="I34" s="67"/>
      <c r="J34" s="67"/>
      <c r="K34" s="67"/>
      <c r="L34" s="67"/>
    </row>
    <row r="35" spans="3:12" x14ac:dyDescent="0.25">
      <c r="C35" s="164" t="s">
        <v>313</v>
      </c>
      <c r="D35" s="56"/>
      <c r="E35" s="56"/>
      <c r="F35" s="61">
        <f>F30+F32+F33+F31+F34</f>
        <v>5435</v>
      </c>
      <c r="G35" s="61">
        <f t="shared" ref="G35:L35" si="16">G30+G32+G33+G31+G34</f>
        <v>7082</v>
      </c>
      <c r="H35" s="61">
        <f t="shared" si="16"/>
        <v>8863.8196578537991</v>
      </c>
      <c r="I35" s="61">
        <f t="shared" si="16"/>
        <v>10093.044682092152</v>
      </c>
      <c r="J35" s="61">
        <f t="shared" si="16"/>
        <v>10819.9756868447</v>
      </c>
      <c r="K35" s="61">
        <f t="shared" si="16"/>
        <v>11604.676850926873</v>
      </c>
      <c r="L35" s="61">
        <f t="shared" si="16"/>
        <v>12226.997939333771</v>
      </c>
    </row>
    <row r="37" spans="3:12" x14ac:dyDescent="0.25">
      <c r="C37" s="10" t="s">
        <v>314</v>
      </c>
      <c r="D37" s="130"/>
      <c r="E37" s="131"/>
      <c r="F37" s="131"/>
      <c r="G37" s="132"/>
      <c r="H37" s="133"/>
      <c r="I37" s="133"/>
      <c r="J37" s="133"/>
      <c r="K37" s="133"/>
      <c r="L37" s="133"/>
    </row>
    <row r="38" spans="3:12" x14ac:dyDescent="0.25">
      <c r="C38" t="s">
        <v>315</v>
      </c>
      <c r="F38" s="48">
        <f>F23/F20</f>
        <v>-0.21017063693191418</v>
      </c>
      <c r="G38" s="48">
        <f>G23/G20</f>
        <v>-0.20185137567498071</v>
      </c>
      <c r="H38" s="43">
        <f t="shared" ref="H38:H43" si="17">AVERAGE(E38:G38)</f>
        <v>-0.20601100630344743</v>
      </c>
      <c r="I38" s="43">
        <f t="shared" ref="I38:L43" si="18">H38</f>
        <v>-0.20601100630344743</v>
      </c>
      <c r="J38" s="43">
        <f t="shared" si="18"/>
        <v>-0.20601100630344743</v>
      </c>
      <c r="K38" s="43">
        <f t="shared" si="18"/>
        <v>-0.20601100630344743</v>
      </c>
      <c r="L38" s="43">
        <f t="shared" si="18"/>
        <v>-0.20601100630344743</v>
      </c>
    </row>
    <row r="39" spans="3:12" x14ac:dyDescent="0.25">
      <c r="C39" t="s">
        <v>316</v>
      </c>
      <c r="F39" s="48">
        <f>F28/F26</f>
        <v>-0.43506882106523043</v>
      </c>
      <c r="G39" s="48">
        <f>G28/G26</f>
        <v>-0.43656716417910446</v>
      </c>
      <c r="H39" s="43">
        <f t="shared" si="17"/>
        <v>-0.43581799262216747</v>
      </c>
      <c r="I39" s="43">
        <f t="shared" si="18"/>
        <v>-0.43581799262216747</v>
      </c>
      <c r="J39" s="43">
        <f t="shared" si="18"/>
        <v>-0.43581799262216747</v>
      </c>
      <c r="K39" s="43">
        <f t="shared" si="18"/>
        <v>-0.43581799262216747</v>
      </c>
      <c r="L39" s="43">
        <f t="shared" si="18"/>
        <v>-0.43581799262216747</v>
      </c>
    </row>
    <row r="40" spans="3:12" x14ac:dyDescent="0.25">
      <c r="C40" t="s">
        <v>317</v>
      </c>
      <c r="F40" s="48">
        <f>F33/F30</f>
        <v>-0.20090566037735849</v>
      </c>
      <c r="G40" s="48">
        <f>G33/G30</f>
        <v>-0.21509268399692882</v>
      </c>
      <c r="H40" s="43">
        <f t="shared" si="17"/>
        <v>-0.20799917218714364</v>
      </c>
      <c r="I40" s="43">
        <f t="shared" si="18"/>
        <v>-0.20799917218714364</v>
      </c>
      <c r="J40" s="43">
        <f t="shared" si="18"/>
        <v>-0.20799917218714364</v>
      </c>
      <c r="K40" s="43">
        <f t="shared" si="18"/>
        <v>-0.20799917218714364</v>
      </c>
      <c r="L40" s="43">
        <f t="shared" si="18"/>
        <v>-0.20799917218714364</v>
      </c>
    </row>
    <row r="41" spans="3:12" x14ac:dyDescent="0.25">
      <c r="C41" t="s">
        <v>318</v>
      </c>
      <c r="F41" s="48">
        <f>F22/(Buyer!F166)</f>
        <v>5.6474519632414366E-3</v>
      </c>
      <c r="G41" s="48">
        <f>G22/(Buyer!G166)</f>
        <v>4.714212487484098E-3</v>
      </c>
      <c r="H41" s="43">
        <f t="shared" si="17"/>
        <v>5.1808322253627673E-3</v>
      </c>
      <c r="I41" s="43">
        <f t="shared" si="18"/>
        <v>5.1808322253627673E-3</v>
      </c>
      <c r="J41" s="43">
        <f t="shared" si="18"/>
        <v>5.1808322253627673E-3</v>
      </c>
      <c r="K41" s="43">
        <f t="shared" si="18"/>
        <v>5.1808322253627673E-3</v>
      </c>
      <c r="L41" s="43">
        <f t="shared" si="18"/>
        <v>5.1808322253627673E-3</v>
      </c>
    </row>
    <row r="42" spans="3:12" x14ac:dyDescent="0.25">
      <c r="C42" t="s">
        <v>319</v>
      </c>
      <c r="F42" s="48">
        <f>F32/(Buyer!F166)</f>
        <v>7.5704412546517812E-3</v>
      </c>
      <c r="G42" s="48">
        <f>G32/(Buyer!G166)</f>
        <v>9.5505961154889098E-3</v>
      </c>
      <c r="H42" s="43">
        <f t="shared" si="17"/>
        <v>8.5605186850703455E-3</v>
      </c>
      <c r="I42" s="43">
        <f t="shared" si="18"/>
        <v>8.5605186850703455E-3</v>
      </c>
      <c r="J42" s="43">
        <f t="shared" si="18"/>
        <v>8.5605186850703455E-3</v>
      </c>
      <c r="K42" s="43">
        <f t="shared" si="18"/>
        <v>8.5605186850703455E-3</v>
      </c>
      <c r="L42" s="43">
        <f t="shared" si="18"/>
        <v>8.5605186850703455E-3</v>
      </c>
    </row>
    <row r="43" spans="3:12" x14ac:dyDescent="0.25">
      <c r="C43" t="s">
        <v>320</v>
      </c>
      <c r="F43" s="48">
        <f>F27/(Buyer!F166)</f>
        <v>2.0171641224272802E-3</v>
      </c>
      <c r="G43" s="48">
        <f>G27/(Buyer!G166)</f>
        <v>6.2147928004015716E-4</v>
      </c>
      <c r="H43" s="45">
        <f t="shared" si="17"/>
        <v>1.3193217012337187E-3</v>
      </c>
      <c r="I43" s="45">
        <f t="shared" si="18"/>
        <v>1.3193217012337187E-3</v>
      </c>
      <c r="J43" s="45">
        <f t="shared" si="18"/>
        <v>1.3193217012337187E-3</v>
      </c>
      <c r="K43" s="45">
        <f t="shared" si="18"/>
        <v>1.3193217012337187E-3</v>
      </c>
      <c r="L43" s="45">
        <f t="shared" si="18"/>
        <v>1.3193217012337187E-3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504C-A39D-4B58-B2DC-77A83CDA5E44}">
  <dimension ref="B2:M71"/>
  <sheetViews>
    <sheetView showGridLines="0" workbookViewId="0">
      <selection activeCell="N20" sqref="N20"/>
    </sheetView>
  </sheetViews>
  <sheetFormatPr defaultRowHeight="15" x14ac:dyDescent="0.25"/>
  <cols>
    <col min="1" max="2" width="2.7109375" customWidth="1"/>
    <col min="3" max="3" width="40.7109375" customWidth="1"/>
    <col min="4" max="6" width="11.5703125" customWidth="1"/>
    <col min="7" max="7" width="12.140625" bestFit="1" customWidth="1"/>
    <col min="8" max="8" width="11.5703125" customWidth="1"/>
    <col min="9" max="9" width="12.140625" bestFit="1" customWidth="1"/>
    <col min="10" max="10" width="13.7109375" customWidth="1"/>
    <col min="11" max="11" width="14" customWidth="1"/>
    <col min="12" max="12" width="13.42578125" customWidth="1"/>
  </cols>
  <sheetData>
    <row r="2" spans="2:13" x14ac:dyDescent="0.25">
      <c r="B2" s="1" t="str">
        <f>Company_Name&amp;" - Deposits - "&amp;Scenario&amp;" Case"</f>
        <v>TCS Group Holding PLC - Deposits - Base Case</v>
      </c>
    </row>
    <row r="3" spans="2:13" x14ac:dyDescent="0.25">
      <c r="B3" t="str">
        <f>Buyer!B3</f>
        <v>(RUB in Millions Except Per Share and Per Unit Data)</v>
      </c>
      <c r="F3" s="59"/>
      <c r="G3" s="59"/>
      <c r="H3" s="59"/>
      <c r="I3" s="59"/>
      <c r="J3" s="59"/>
      <c r="K3" s="59"/>
      <c r="L3" s="59"/>
    </row>
    <row r="5" spans="2:13" x14ac:dyDescent="0.25">
      <c r="B5" s="2"/>
      <c r="C5" s="2"/>
      <c r="D5" s="3"/>
      <c r="E5" s="4" t="s">
        <v>55</v>
      </c>
      <c r="F5" s="4"/>
      <c r="G5" s="4"/>
      <c r="H5" s="5" t="s">
        <v>0</v>
      </c>
      <c r="I5" s="4"/>
      <c r="J5" s="4"/>
      <c r="K5" s="4"/>
      <c r="L5" s="4"/>
    </row>
    <row r="6" spans="2:13" x14ac:dyDescent="0.25">
      <c r="B6" s="6" t="s">
        <v>321</v>
      </c>
      <c r="C6" s="6"/>
      <c r="D6" s="7" t="s">
        <v>1</v>
      </c>
      <c r="E6" s="8">
        <f>Buyer!E23</f>
        <v>43465</v>
      </c>
      <c r="F6" s="8">
        <f>Buyer!F23</f>
        <v>43830</v>
      </c>
      <c r="G6" s="8">
        <f>Buyer!G23</f>
        <v>44196</v>
      </c>
      <c r="H6" s="8">
        <f>Buyer!H23</f>
        <v>44561</v>
      </c>
      <c r="I6" s="8">
        <f>Buyer!I23</f>
        <v>44926</v>
      </c>
      <c r="J6" s="8">
        <f>Buyer!J23</f>
        <v>45291</v>
      </c>
      <c r="K6" s="8">
        <f>Buyer!K23</f>
        <v>45657</v>
      </c>
      <c r="L6" s="8">
        <f>Buyer!L23</f>
        <v>46022</v>
      </c>
    </row>
    <row r="7" spans="2:13" x14ac:dyDescent="0.25">
      <c r="C7" s="10" t="s">
        <v>322</v>
      </c>
      <c r="D7" s="130"/>
      <c r="E7" s="131"/>
      <c r="F7" s="131"/>
      <c r="G7" s="132"/>
      <c r="H7" s="133"/>
      <c r="I7" s="133"/>
      <c r="J7" s="133"/>
      <c r="K7" s="133"/>
      <c r="L7" s="133"/>
    </row>
    <row r="8" spans="2:13" x14ac:dyDescent="0.25">
      <c r="C8" s="13" t="s">
        <v>323</v>
      </c>
      <c r="D8" s="14" t="s">
        <v>3</v>
      </c>
      <c r="E8" s="173">
        <f>E9+E10</f>
        <v>237864</v>
      </c>
      <c r="F8" s="173">
        <f t="shared" ref="F8:L8" si="0">F9+F10</f>
        <v>348953</v>
      </c>
      <c r="G8" s="173">
        <f t="shared" si="0"/>
        <v>533110</v>
      </c>
      <c r="H8" s="173">
        <f t="shared" si="0"/>
        <v>650288.68675747083</v>
      </c>
      <c r="I8" s="173">
        <f t="shared" si="0"/>
        <v>752304.1275900529</v>
      </c>
      <c r="J8" s="173">
        <f t="shared" si="0"/>
        <v>865158.3887918028</v>
      </c>
      <c r="K8" s="173">
        <f t="shared" si="0"/>
        <v>974134.52536025806</v>
      </c>
      <c r="L8" s="173">
        <f t="shared" si="0"/>
        <v>1090036.0294286872</v>
      </c>
    </row>
    <row r="9" spans="2:13" x14ac:dyDescent="0.25">
      <c r="C9" s="174" t="s">
        <v>324</v>
      </c>
      <c r="D9" s="14" t="s">
        <v>3</v>
      </c>
      <c r="E9" s="67">
        <v>137637</v>
      </c>
      <c r="F9" s="67">
        <f>199408+12253</f>
        <v>211661</v>
      </c>
      <c r="G9" s="67">
        <f>323145+73970</f>
        <v>397115</v>
      </c>
      <c r="H9" s="19">
        <f>H18*H24*H36*Units</f>
        <v>487716.51506810315</v>
      </c>
      <c r="I9" s="19">
        <f>I18*I24*I36*Units</f>
        <v>564228.0956925397</v>
      </c>
      <c r="J9" s="19">
        <f>J18*J24*J36*Units</f>
        <v>648868.7915938521</v>
      </c>
      <c r="K9" s="19">
        <f>K18*K24*K36*Units</f>
        <v>730600.89402019361</v>
      </c>
      <c r="L9" s="19">
        <f>L18*L24*L36*Units</f>
        <v>817527.02207151533</v>
      </c>
    </row>
    <row r="10" spans="2:13" x14ac:dyDescent="0.25">
      <c r="C10" s="174" t="s">
        <v>325</v>
      </c>
      <c r="D10" s="14" t="s">
        <v>3</v>
      </c>
      <c r="E10" s="67">
        <v>100227</v>
      </c>
      <c r="F10" s="67">
        <v>137292</v>
      </c>
      <c r="G10" s="67">
        <v>135995</v>
      </c>
      <c r="H10" s="19">
        <f>H18*H24*(1-H36)*Units</f>
        <v>162572.17168936771</v>
      </c>
      <c r="I10" s="19">
        <f>I18*I24*(1-I36)*Units</f>
        <v>188076.03189751322</v>
      </c>
      <c r="J10" s="19">
        <f>J18*J24*(1-J36)*Units</f>
        <v>216289.59719795067</v>
      </c>
      <c r="K10" s="19">
        <f>K18*K24*(1-K36)*Units</f>
        <v>243533.63134006452</v>
      </c>
      <c r="L10" s="19">
        <f>L18*L24*(1-L36)*Units</f>
        <v>272509.00735717179</v>
      </c>
      <c r="M10" s="136"/>
    </row>
    <row r="11" spans="2:13" x14ac:dyDescent="0.25">
      <c r="C11" s="13" t="s">
        <v>326</v>
      </c>
      <c r="D11" s="14" t="s">
        <v>3</v>
      </c>
      <c r="E11" s="20">
        <f>E12+E13</f>
        <v>43052</v>
      </c>
      <c r="F11" s="20">
        <f t="shared" ref="F11:L11" si="1">F12+F13</f>
        <v>62661</v>
      </c>
      <c r="G11" s="20">
        <f t="shared" si="1"/>
        <v>93727</v>
      </c>
      <c r="H11" s="20">
        <f t="shared" si="1"/>
        <v>143402.31</v>
      </c>
      <c r="I11" s="20">
        <f t="shared" si="1"/>
        <v>200763.234</v>
      </c>
      <c r="J11" s="20">
        <f t="shared" si="1"/>
        <v>260992.20420000001</v>
      </c>
      <c r="K11" s="20">
        <f t="shared" si="1"/>
        <v>313190.64503999997</v>
      </c>
      <c r="L11" s="20">
        <f t="shared" si="1"/>
        <v>360169.24179599993</v>
      </c>
      <c r="M11" s="20"/>
    </row>
    <row r="12" spans="2:13" x14ac:dyDescent="0.25">
      <c r="C12" s="174" t="s">
        <v>324</v>
      </c>
      <c r="D12" s="14" t="s">
        <v>3</v>
      </c>
      <c r="E12" s="67">
        <f>41702+552</f>
        <v>42254</v>
      </c>
      <c r="F12" s="67">
        <f>60174+495</f>
        <v>60669</v>
      </c>
      <c r="G12" s="67">
        <f>89199+2267</f>
        <v>91466</v>
      </c>
      <c r="H12" s="19">
        <f>G11*(1+H30)*H37</f>
        <v>139942.98000000001</v>
      </c>
      <c r="I12" s="19">
        <f t="shared" ref="I12:L12" si="2">H11*(1+I30)*I37</f>
        <v>195920.17199999999</v>
      </c>
      <c r="J12" s="19">
        <f t="shared" si="2"/>
        <v>254696.2236</v>
      </c>
      <c r="K12" s="19">
        <f t="shared" si="2"/>
        <v>305635.46831999999</v>
      </c>
      <c r="L12" s="19">
        <f t="shared" si="2"/>
        <v>351480.7885679999</v>
      </c>
      <c r="M12" s="175"/>
    </row>
    <row r="13" spans="2:13" x14ac:dyDescent="0.25">
      <c r="C13" s="174" t="s">
        <v>325</v>
      </c>
      <c r="D13" s="14" t="s">
        <v>3</v>
      </c>
      <c r="E13" s="67">
        <v>798</v>
      </c>
      <c r="F13" s="67">
        <f>1880+112</f>
        <v>1992</v>
      </c>
      <c r="G13" s="67">
        <f>2213+48</f>
        <v>2261</v>
      </c>
      <c r="H13" s="19">
        <f>G11*(1+H30)*(1-H37)</f>
        <v>3459.3300000000013</v>
      </c>
      <c r="I13" s="19">
        <f t="shared" ref="I13:L13" si="3">H11*(1+I30)*(1-I37)</f>
        <v>4843.0620000000017</v>
      </c>
      <c r="J13" s="19">
        <f t="shared" si="3"/>
        <v>6295.9806000000026</v>
      </c>
      <c r="K13" s="19">
        <f t="shared" si="3"/>
        <v>7555.1767200000022</v>
      </c>
      <c r="L13" s="19">
        <f t="shared" si="3"/>
        <v>8688.4532280000021</v>
      </c>
    </row>
    <row r="14" spans="2:13" x14ac:dyDescent="0.25">
      <c r="C14" s="83" t="s">
        <v>327</v>
      </c>
      <c r="D14" s="78" t="s">
        <v>3</v>
      </c>
      <c r="E14" s="137">
        <f>E8+E11</f>
        <v>280916</v>
      </c>
      <c r="F14" s="137">
        <f>F8+F11</f>
        <v>411614</v>
      </c>
      <c r="G14" s="137">
        <f>G8+G11</f>
        <v>626837</v>
      </c>
      <c r="H14" s="137">
        <f t="shared" ref="H14:L14" si="4">H8+H11</f>
        <v>793690.99675747077</v>
      </c>
      <c r="I14" s="137">
        <f t="shared" si="4"/>
        <v>953067.36159005295</v>
      </c>
      <c r="J14" s="137">
        <f t="shared" si="4"/>
        <v>1126150.5929918028</v>
      </c>
      <c r="K14" s="137">
        <f t="shared" si="4"/>
        <v>1287325.1704002582</v>
      </c>
      <c r="L14" s="137">
        <f t="shared" si="4"/>
        <v>1450205.2712246871</v>
      </c>
    </row>
    <row r="15" spans="2:13" x14ac:dyDescent="0.25">
      <c r="C15" s="138" t="s">
        <v>328</v>
      </c>
      <c r="D15" s="14" t="s">
        <v>11</v>
      </c>
      <c r="E15" s="139" t="str">
        <f>IFERROR(+E14/#REF!-1,"N/A")</f>
        <v>N/A</v>
      </c>
      <c r="F15" s="139">
        <f t="shared" ref="F15:L15" si="5">IFERROR(+F14/E14-1,"N/A")</f>
        <v>0.46525651796266509</v>
      </c>
      <c r="G15" s="140">
        <f t="shared" si="5"/>
        <v>0.52287580111463661</v>
      </c>
      <c r="H15" s="139">
        <f t="shared" si="5"/>
        <v>0.26618402672061592</v>
      </c>
      <c r="I15" s="139">
        <f t="shared" si="5"/>
        <v>0.20080404777639549</v>
      </c>
      <c r="J15" s="139">
        <f t="shared" si="5"/>
        <v>0.18160650377638143</v>
      </c>
      <c r="K15" s="139">
        <f t="shared" si="5"/>
        <v>0.14311991523288969</v>
      </c>
      <c r="L15" s="139">
        <f t="shared" si="5"/>
        <v>0.12652599713698276</v>
      </c>
    </row>
    <row r="17" spans="3:12" x14ac:dyDescent="0.25">
      <c r="C17" s="10" t="s">
        <v>329</v>
      </c>
      <c r="D17" s="130"/>
      <c r="E17" s="131"/>
      <c r="F17" s="131"/>
      <c r="G17" s="132"/>
      <c r="H17" s="133"/>
      <c r="I17" s="133"/>
      <c r="J17" s="133"/>
      <c r="K17" s="133"/>
      <c r="L17" s="133"/>
    </row>
    <row r="18" spans="3:12" x14ac:dyDescent="0.25">
      <c r="C18" s="13" t="s">
        <v>323</v>
      </c>
      <c r="D18" s="14" t="s">
        <v>240</v>
      </c>
      <c r="E18" s="67">
        <v>27885.013999999999</v>
      </c>
      <c r="F18" s="67">
        <v>30529.934000000001</v>
      </c>
      <c r="G18" s="68">
        <v>33068.881000000001</v>
      </c>
      <c r="H18" s="19">
        <f>Loans!H13*Deposits!H21</f>
        <v>37981.492986894147</v>
      </c>
      <c r="I18" s="19">
        <f>Loans!I13*Deposits!I21</f>
        <v>41515.14156357295</v>
      </c>
      <c r="J18" s="19">
        <f>Loans!J13*Deposits!J21</f>
        <v>45246.033173142103</v>
      </c>
      <c r="K18" s="19">
        <f>Loans!K13*Deposits!K21</f>
        <v>48413.344647891448</v>
      </c>
      <c r="L18" s="19">
        <f>Loans!L13*Deposits!L21</f>
        <v>51608.625394652277</v>
      </c>
    </row>
    <row r="20" spans="3:12" x14ac:dyDescent="0.25">
      <c r="C20" s="10" t="s">
        <v>330</v>
      </c>
      <c r="D20" s="130"/>
      <c r="E20" s="131"/>
      <c r="F20" s="131"/>
      <c r="G20" s="132"/>
      <c r="H20" s="133"/>
      <c r="I20" s="133"/>
      <c r="J20" s="133"/>
      <c r="K20" s="133"/>
      <c r="L20" s="133"/>
    </row>
    <row r="21" spans="3:12" x14ac:dyDescent="0.25">
      <c r="C21" s="13" t="s">
        <v>323</v>
      </c>
      <c r="D21" s="14" t="s">
        <v>11</v>
      </c>
      <c r="E21" s="142">
        <f>E18/Loans!E13</f>
        <v>0.26848216426266852</v>
      </c>
      <c r="F21" s="142">
        <f>F18/Loans!F13</f>
        <v>0.27853669840696371</v>
      </c>
      <c r="G21" s="142">
        <f>G18/Loans!G13</f>
        <v>0.30716574972064342</v>
      </c>
      <c r="H21" s="153">
        <f>G21+0.72%</f>
        <v>0.31436574972064341</v>
      </c>
      <c r="I21" s="153">
        <f t="shared" ref="I21:J21" si="6">H21+0.72%</f>
        <v>0.32156574972064339</v>
      </c>
      <c r="J21" s="153">
        <f t="shared" si="6"/>
        <v>0.32876574972064337</v>
      </c>
      <c r="K21" s="153">
        <v>0.33</v>
      </c>
      <c r="L21" s="153">
        <v>0.33</v>
      </c>
    </row>
    <row r="23" spans="3:12" x14ac:dyDescent="0.25">
      <c r="C23" s="10" t="str">
        <f>Company_Name&amp;" - Deposit Market Share:"</f>
        <v>TCS Group Holding PLC - Deposit Market Share:</v>
      </c>
      <c r="D23" s="130"/>
      <c r="E23" s="131"/>
      <c r="F23" s="131"/>
      <c r="G23" s="132"/>
      <c r="H23" s="133"/>
      <c r="I23" s="133"/>
      <c r="J23" s="133"/>
      <c r="K23" s="133"/>
      <c r="L23" s="133"/>
    </row>
    <row r="24" spans="3:12" x14ac:dyDescent="0.25">
      <c r="C24" s="13" t="str">
        <f>+$C$8</f>
        <v>Individuals</v>
      </c>
      <c r="D24" s="14" t="s">
        <v>11</v>
      </c>
      <c r="E24" s="176">
        <f>E8/(E18*Units)</f>
        <v>8.5301732321167202E-3</v>
      </c>
      <c r="F24" s="176">
        <f>F8/(F18*Units)</f>
        <v>1.1429864211301603E-2</v>
      </c>
      <c r="G24" s="176">
        <f>G8/(G18*Units)</f>
        <v>1.6121198658037447E-2</v>
      </c>
      <c r="H24" s="42">
        <f>INDEX(H25:H27,MATCH(Scenario,$C25:$C27,0))</f>
        <v>1.7121198658037448E-2</v>
      </c>
      <c r="I24" s="42">
        <f>INDEX(I25:I27,MATCH(Scenario,$C25:$C27,0))</f>
        <v>1.8121198658037449E-2</v>
      </c>
      <c r="J24" s="42">
        <f>INDEX(J25:J27,MATCH(Scenario,$C25:$C27,0))</f>
        <v>1.912119865803745E-2</v>
      </c>
      <c r="K24" s="42">
        <f>INDEX(K25:K27,MATCH(Scenario,$C25:$C27,0))</f>
        <v>2.0121198658037451E-2</v>
      </c>
      <c r="L24" s="42">
        <f>INDEX(L25:L27,MATCH(Scenario,$C25:$C27,0))</f>
        <v>2.1121198658037452E-2</v>
      </c>
    </row>
    <row r="25" spans="3:12" x14ac:dyDescent="0.25">
      <c r="C25" s="41" t="s">
        <v>46</v>
      </c>
      <c r="D25" s="14" t="s">
        <v>11</v>
      </c>
      <c r="E25" s="42"/>
      <c r="F25" s="42"/>
      <c r="G25" s="42"/>
      <c r="H25" s="43">
        <f>G24+0.1%</f>
        <v>1.7121198658037448E-2</v>
      </c>
      <c r="I25" s="43">
        <f>H25+0.1%</f>
        <v>1.8121198658037449E-2</v>
      </c>
      <c r="J25" s="43">
        <f>I25+0.1%</f>
        <v>1.912119865803745E-2</v>
      </c>
      <c r="K25" s="43">
        <f>J25+0.1%</f>
        <v>2.0121198658037451E-2</v>
      </c>
      <c r="L25" s="43">
        <f>K25+0.1%</f>
        <v>2.1121198658037452E-2</v>
      </c>
    </row>
    <row r="26" spans="3:12" x14ac:dyDescent="0.25">
      <c r="C26" s="41" t="s">
        <v>52</v>
      </c>
      <c r="D26" s="14" t="s">
        <v>11</v>
      </c>
      <c r="E26" s="42"/>
      <c r="F26" s="42"/>
      <c r="G26" s="42"/>
      <c r="H26" s="43">
        <f>G24+0.3%</f>
        <v>1.9121198658037446E-2</v>
      </c>
      <c r="I26" s="43">
        <f>H26+0.3%</f>
        <v>2.2121198658037446E-2</v>
      </c>
      <c r="J26" s="43">
        <f>I26+0.3%</f>
        <v>2.5121198658037445E-2</v>
      </c>
      <c r="K26" s="43">
        <f>J26+0.3%</f>
        <v>2.8121198658037444E-2</v>
      </c>
      <c r="L26" s="43">
        <f>K26+0.3%</f>
        <v>3.1121198658037443E-2</v>
      </c>
    </row>
    <row r="27" spans="3:12" x14ac:dyDescent="0.25">
      <c r="C27" s="41" t="s">
        <v>53</v>
      </c>
      <c r="D27" s="14" t="s">
        <v>11</v>
      </c>
      <c r="E27" s="42"/>
      <c r="F27" s="42"/>
      <c r="G27" s="42"/>
      <c r="H27" s="45">
        <f>G24+0.05%</f>
        <v>1.6621198658037448E-2</v>
      </c>
      <c r="I27" s="45">
        <f>H27+0.05%</f>
        <v>1.7121198658037448E-2</v>
      </c>
      <c r="J27" s="45">
        <f t="shared" ref="J27:L27" si="7">I27+0.05%</f>
        <v>1.7621198658037449E-2</v>
      </c>
      <c r="K27" s="45">
        <f t="shared" si="7"/>
        <v>1.8121198658037449E-2</v>
      </c>
      <c r="L27" s="45">
        <f t="shared" si="7"/>
        <v>1.8621198658037449E-2</v>
      </c>
    </row>
    <row r="29" spans="3:12" x14ac:dyDescent="0.25">
      <c r="C29" s="10" t="str">
        <f>Company_Name&amp;" - LE Deposits Growth:"</f>
        <v>TCS Group Holding PLC - LE Deposits Growth:</v>
      </c>
      <c r="D29" s="130"/>
      <c r="E29" s="131"/>
      <c r="F29" s="131"/>
      <c r="G29" s="132"/>
      <c r="H29" s="133"/>
      <c r="I29" s="133"/>
      <c r="J29" s="133"/>
      <c r="K29" s="133"/>
      <c r="L29" s="133"/>
    </row>
    <row r="30" spans="3:12" x14ac:dyDescent="0.25">
      <c r="C30" s="13" t="s">
        <v>326</v>
      </c>
      <c r="D30" s="14" t="s">
        <v>11</v>
      </c>
      <c r="E30" s="139" t="str">
        <f>IFERROR(+E29/#REF!-1,"N/A")</f>
        <v>N/A</v>
      </c>
      <c r="F30" s="139">
        <f>IFERROR(+F11/E11-1,"N/A")</f>
        <v>0.45547245191860997</v>
      </c>
      <c r="G30" s="139">
        <f>IFERROR(+G11/F11-1,"N/A")</f>
        <v>0.49577887362155093</v>
      </c>
      <c r="H30" s="42">
        <f>INDEX(H31:H33,MATCH(Scenario,$C31:$C33,0))</f>
        <v>0.53</v>
      </c>
      <c r="I30" s="42">
        <f>INDEX(I31:I33,MATCH(Scenario,$C31:$C33,0))</f>
        <v>0.4</v>
      </c>
      <c r="J30" s="42">
        <f>INDEX(J31:J33,MATCH(Scenario,$C31:$C33,0))</f>
        <v>0.3</v>
      </c>
      <c r="K30" s="42">
        <f>INDEX(K31:K33,MATCH(Scenario,$C31:$C33,0))</f>
        <v>0.2</v>
      </c>
      <c r="L30" s="42">
        <f>INDEX(L31:L33,MATCH(Scenario,$C31:$C33,0))</f>
        <v>0.15</v>
      </c>
    </row>
    <row r="31" spans="3:12" x14ac:dyDescent="0.25">
      <c r="C31" s="41" t="s">
        <v>46</v>
      </c>
      <c r="D31" s="14" t="s">
        <v>11</v>
      </c>
      <c r="E31" s="42"/>
      <c r="F31" s="42"/>
      <c r="G31" s="42"/>
      <c r="H31" s="43">
        <v>0.53</v>
      </c>
      <c r="I31" s="43">
        <v>0.4</v>
      </c>
      <c r="J31" s="43">
        <v>0.3</v>
      </c>
      <c r="K31" s="43">
        <v>0.2</v>
      </c>
      <c r="L31" s="43">
        <v>0.15</v>
      </c>
    </row>
    <row r="32" spans="3:12" x14ac:dyDescent="0.25">
      <c r="C32" s="41" t="s">
        <v>52</v>
      </c>
      <c r="D32" s="14" t="s">
        <v>11</v>
      </c>
      <c r="E32" s="42"/>
      <c r="F32" s="42"/>
      <c r="G32" s="42"/>
      <c r="H32" s="43">
        <f>H31+5%</f>
        <v>0.58000000000000007</v>
      </c>
      <c r="I32" s="43">
        <f t="shared" ref="I32:L32" si="8">I31+5%</f>
        <v>0.45</v>
      </c>
      <c r="J32" s="43">
        <f t="shared" si="8"/>
        <v>0.35</v>
      </c>
      <c r="K32" s="43">
        <f t="shared" si="8"/>
        <v>0.25</v>
      </c>
      <c r="L32" s="43">
        <f t="shared" si="8"/>
        <v>0.2</v>
      </c>
    </row>
    <row r="33" spans="2:12" x14ac:dyDescent="0.25">
      <c r="C33" s="41" t="s">
        <v>53</v>
      </c>
      <c r="D33" s="14" t="s">
        <v>11</v>
      </c>
      <c r="E33" s="42"/>
      <c r="F33" s="42"/>
      <c r="G33" s="42"/>
      <c r="H33" s="45">
        <f>H31-10%</f>
        <v>0.43000000000000005</v>
      </c>
      <c r="I33" s="45">
        <f t="shared" ref="I33:L33" si="9">I31-10%</f>
        <v>0.30000000000000004</v>
      </c>
      <c r="J33" s="45">
        <f t="shared" si="9"/>
        <v>0.19999999999999998</v>
      </c>
      <c r="K33" s="45">
        <f t="shared" si="9"/>
        <v>0.1</v>
      </c>
      <c r="L33" s="45">
        <f t="shared" si="9"/>
        <v>4.9999999999999989E-2</v>
      </c>
    </row>
    <row r="35" spans="2:12" x14ac:dyDescent="0.25">
      <c r="C35" s="10" t="str">
        <f>Company_Name&amp;" - Share of Demand Deposits by Segment:"</f>
        <v>TCS Group Holding PLC - Share of Demand Deposits by Segment:</v>
      </c>
      <c r="D35" s="130"/>
      <c r="E35" s="131"/>
      <c r="F35" s="131"/>
      <c r="G35" s="132"/>
      <c r="H35" s="133"/>
      <c r="I35" s="133"/>
      <c r="J35" s="133"/>
      <c r="K35" s="133"/>
      <c r="L35" s="133"/>
    </row>
    <row r="36" spans="2:12" x14ac:dyDescent="0.25">
      <c r="C36" s="13" t="s">
        <v>323</v>
      </c>
      <c r="D36" s="14" t="s">
        <v>11</v>
      </c>
      <c r="E36" s="139">
        <f>E9/E8</f>
        <v>0.5786373726162849</v>
      </c>
      <c r="F36" s="139">
        <f t="shared" ref="F36:G36" si="10">F9/F8</f>
        <v>0.60656019578567888</v>
      </c>
      <c r="G36" s="139">
        <f t="shared" si="10"/>
        <v>0.74490255294404528</v>
      </c>
      <c r="H36" s="43">
        <v>0.75</v>
      </c>
      <c r="I36" s="43">
        <v>0.75</v>
      </c>
      <c r="J36" s="43">
        <v>0.75</v>
      </c>
      <c r="K36" s="43">
        <v>0.75</v>
      </c>
      <c r="L36" s="43">
        <v>0.75</v>
      </c>
    </row>
    <row r="37" spans="2:12" x14ac:dyDescent="0.25">
      <c r="C37" s="13" t="s">
        <v>331</v>
      </c>
      <c r="D37" s="14" t="s">
        <v>11</v>
      </c>
      <c r="E37" s="142">
        <f>E12/E11</f>
        <v>0.98146427575954664</v>
      </c>
      <c r="F37" s="142">
        <f t="shared" ref="F37:G37" si="11">F12/F11</f>
        <v>0.96820989131995983</v>
      </c>
      <c r="G37" s="142">
        <f t="shared" si="11"/>
        <v>0.97587674842894789</v>
      </c>
      <c r="H37" s="45">
        <f>G37</f>
        <v>0.97587674842894789</v>
      </c>
      <c r="I37" s="45">
        <f t="shared" ref="I37:L37" si="12">H37</f>
        <v>0.97587674842894789</v>
      </c>
      <c r="J37" s="45">
        <f t="shared" si="12"/>
        <v>0.97587674842894789</v>
      </c>
      <c r="K37" s="45">
        <f t="shared" si="12"/>
        <v>0.97587674842894789</v>
      </c>
      <c r="L37" s="45">
        <f t="shared" si="12"/>
        <v>0.97587674842894789</v>
      </c>
    </row>
    <row r="38" spans="2:12" x14ac:dyDescent="0.25">
      <c r="C38" s="41"/>
      <c r="D38" s="14"/>
      <c r="E38" s="42"/>
      <c r="F38" s="42"/>
      <c r="G38" s="42"/>
      <c r="H38" s="42"/>
      <c r="I38" s="42"/>
      <c r="J38" s="42"/>
      <c r="K38" s="42"/>
      <c r="L38" s="42"/>
    </row>
    <row r="39" spans="2:12" x14ac:dyDescent="0.25">
      <c r="C39" s="10" t="str">
        <f>Company_Name&amp;" - Key Metrics:"</f>
        <v>TCS Group Holding PLC - Key Metrics:</v>
      </c>
      <c r="D39" s="130"/>
      <c r="E39" s="131"/>
      <c r="F39" s="131"/>
      <c r="G39" s="132"/>
      <c r="H39" s="133"/>
      <c r="I39" s="133"/>
      <c r="J39" s="133"/>
      <c r="K39" s="133"/>
      <c r="L39" s="133"/>
    </row>
    <row r="40" spans="2:12" x14ac:dyDescent="0.25">
      <c r="C40" s="13" t="s">
        <v>332</v>
      </c>
      <c r="D40" s="14" t="s">
        <v>11</v>
      </c>
      <c r="E40" s="48">
        <f>Loans!E10/Deposits!E14</f>
        <v>0.83551666690398552</v>
      </c>
      <c r="F40" s="48">
        <f>Loans!F10/Deposits!F14</f>
        <v>0.93269908214978114</v>
      </c>
      <c r="G40" s="48">
        <f>Loans!G10/Deposits!G14</f>
        <v>0.7107573420203338</v>
      </c>
      <c r="H40" s="48">
        <f>Loans!H10/Deposits!H14</f>
        <v>0.79311907196563358</v>
      </c>
      <c r="I40" s="48">
        <f>Loans!I10/Deposits!I14</f>
        <v>0.76218006438102504</v>
      </c>
      <c r="J40" s="48">
        <f>Loans!J10/Deposits!J14</f>
        <v>0.75607336831642658</v>
      </c>
      <c r="K40" s="48">
        <f>Loans!K10/Deposits!K14</f>
        <v>0.83852114545108536</v>
      </c>
      <c r="L40" s="48">
        <f>Loans!L10/Deposits!L14</f>
        <v>0.92918350520342552</v>
      </c>
    </row>
    <row r="42" spans="2:12" x14ac:dyDescent="0.25">
      <c r="B42" s="2"/>
      <c r="C42" s="2"/>
      <c r="D42" s="3"/>
      <c r="E42" s="4" t="s">
        <v>55</v>
      </c>
      <c r="F42" s="4"/>
      <c r="G42" s="4"/>
      <c r="H42" s="5" t="s">
        <v>0</v>
      </c>
      <c r="I42" s="4"/>
      <c r="J42" s="4"/>
      <c r="K42" s="4"/>
      <c r="L42" s="4"/>
    </row>
    <row r="43" spans="2:12" x14ac:dyDescent="0.25">
      <c r="B43" s="6" t="s">
        <v>333</v>
      </c>
      <c r="C43" s="6"/>
      <c r="D43" s="7" t="s">
        <v>1</v>
      </c>
      <c r="E43" s="8">
        <f>E6</f>
        <v>43465</v>
      </c>
      <c r="F43" s="8">
        <f t="shared" ref="F43:L43" si="13">F6</f>
        <v>43830</v>
      </c>
      <c r="G43" s="8">
        <f t="shared" si="13"/>
        <v>44196</v>
      </c>
      <c r="H43" s="8">
        <f t="shared" si="13"/>
        <v>44561</v>
      </c>
      <c r="I43" s="8">
        <f t="shared" si="13"/>
        <v>44926</v>
      </c>
      <c r="J43" s="8">
        <f t="shared" si="13"/>
        <v>45291</v>
      </c>
      <c r="K43" s="8">
        <f t="shared" si="13"/>
        <v>45657</v>
      </c>
      <c r="L43" s="8">
        <f t="shared" si="13"/>
        <v>46022</v>
      </c>
    </row>
    <row r="44" spans="2:12" x14ac:dyDescent="0.25">
      <c r="C44" s="10" t="s">
        <v>322</v>
      </c>
      <c r="D44" s="130"/>
      <c r="E44" s="131"/>
      <c r="F44" s="131"/>
      <c r="G44" s="132"/>
      <c r="H44" s="133"/>
      <c r="I44" s="133"/>
      <c r="J44" s="133"/>
      <c r="K44" s="133"/>
      <c r="L44" s="133"/>
    </row>
    <row r="45" spans="2:12" x14ac:dyDescent="0.25">
      <c r="C45" s="13" t="s">
        <v>323</v>
      </c>
      <c r="D45" s="14" t="s">
        <v>3</v>
      </c>
      <c r="E45" s="173">
        <f>E46+E47</f>
        <v>11246</v>
      </c>
      <c r="F45" s="173">
        <f t="shared" ref="F45:L45" si="14">F46+F47</f>
        <v>15994</v>
      </c>
      <c r="G45" s="173">
        <f t="shared" si="14"/>
        <v>16089</v>
      </c>
      <c r="H45" s="173">
        <f t="shared" si="14"/>
        <v>23913.117205334998</v>
      </c>
      <c r="I45" s="173">
        <f t="shared" si="14"/>
        <v>43411.288718480515</v>
      </c>
      <c r="J45" s="173">
        <f t="shared" si="14"/>
        <v>36313.23410034737</v>
      </c>
      <c r="K45" s="173">
        <f t="shared" si="14"/>
        <v>37614.905361908881</v>
      </c>
      <c r="L45" s="173">
        <f t="shared" si="14"/>
        <v>43245.905312154879</v>
      </c>
    </row>
    <row r="46" spans="2:12" x14ac:dyDescent="0.25">
      <c r="C46" s="174" t="s">
        <v>324</v>
      </c>
      <c r="D46" s="14" t="s">
        <v>3</v>
      </c>
      <c r="E46" s="67">
        <v>5963</v>
      </c>
      <c r="F46" s="67">
        <v>8988</v>
      </c>
      <c r="G46" s="67">
        <v>9590</v>
      </c>
      <c r="H46" s="19">
        <f>AVERAGE(G9:H9)*H55</f>
        <v>17256.798795562299</v>
      </c>
      <c r="I46" s="19">
        <f t="shared" ref="I46:L47" si="15">AVERAGE(H9:I9)*I55</f>
        <v>31824.396800170627</v>
      </c>
      <c r="J46" s="19">
        <f t="shared" si="15"/>
        <v>26388.400286812328</v>
      </c>
      <c r="K46" s="19">
        <f t="shared" si="15"/>
        <v>27248.555190014398</v>
      </c>
      <c r="L46" s="19">
        <f t="shared" si="15"/>
        <v>31354.111785664019</v>
      </c>
    </row>
    <row r="47" spans="2:12" x14ac:dyDescent="0.25">
      <c r="C47" s="174" t="s">
        <v>325</v>
      </c>
      <c r="D47" s="14" t="s">
        <v>3</v>
      </c>
      <c r="E47" s="67">
        <v>5283</v>
      </c>
      <c r="F47" s="67">
        <v>7006</v>
      </c>
      <c r="G47" s="67">
        <v>6499</v>
      </c>
      <c r="H47" s="19">
        <f>AVERAGE(G10:H10)*H56</f>
        <v>6656.318409772698</v>
      </c>
      <c r="I47" s="19">
        <f t="shared" si="15"/>
        <v>11586.891918309891</v>
      </c>
      <c r="J47" s="19">
        <f t="shared" si="15"/>
        <v>9924.8338135350441</v>
      </c>
      <c r="K47" s="19">
        <f t="shared" si="15"/>
        <v>10366.350171894481</v>
      </c>
      <c r="L47" s="19">
        <f t="shared" si="15"/>
        <v>11891.793526490863</v>
      </c>
    </row>
    <row r="48" spans="2:12" x14ac:dyDescent="0.25">
      <c r="C48" s="13" t="s">
        <v>326</v>
      </c>
      <c r="D48" s="14" t="s">
        <v>3</v>
      </c>
      <c r="E48" s="20">
        <f>E49+E50</f>
        <v>1302</v>
      </c>
      <c r="F48" s="20">
        <f t="shared" ref="F48:L48" si="16">F49+F50</f>
        <v>1461</v>
      </c>
      <c r="G48" s="20">
        <f t="shared" si="16"/>
        <v>1046</v>
      </c>
      <c r="H48" s="20">
        <f t="shared" si="16"/>
        <v>2071.6482255209153</v>
      </c>
      <c r="I48" s="20">
        <f t="shared" si="16"/>
        <v>6706.5354415228458</v>
      </c>
      <c r="J48" s="20">
        <f t="shared" si="16"/>
        <v>5073.0138260098174</v>
      </c>
      <c r="K48" s="20">
        <f t="shared" si="16"/>
        <v>5159.8167112539486</v>
      </c>
      <c r="L48" s="20">
        <f t="shared" si="16"/>
        <v>6387.7377229794474</v>
      </c>
    </row>
    <row r="49" spans="3:12" x14ac:dyDescent="0.25">
      <c r="C49" s="174" t="s">
        <v>324</v>
      </c>
      <c r="D49" s="14" t="s">
        <v>3</v>
      </c>
      <c r="E49" s="67">
        <v>1275.0941285989384</v>
      </c>
      <c r="F49" s="67">
        <v>1409.2192010956155</v>
      </c>
      <c r="G49" s="67">
        <v>748.92411269000661</v>
      </c>
      <c r="H49" s="19">
        <f t="shared" ref="H49:L50" si="17">AVERAGE(G12:H12)*H58</f>
        <v>2006.9545759432385</v>
      </c>
      <c r="I49" s="19">
        <f t="shared" si="17"/>
        <v>6523.3894384915302</v>
      </c>
      <c r="J49" s="19">
        <f t="shared" si="17"/>
        <v>4921.9748007094686</v>
      </c>
      <c r="K49" s="19">
        <f t="shared" si="17"/>
        <v>4999.7052813900364</v>
      </c>
      <c r="L49" s="19">
        <f t="shared" si="17"/>
        <v>6191.8488675286781</v>
      </c>
    </row>
    <row r="50" spans="3:12" x14ac:dyDescent="0.25">
      <c r="C50" s="174" t="s">
        <v>325</v>
      </c>
      <c r="D50" s="14" t="s">
        <v>3</v>
      </c>
      <c r="E50" s="67">
        <v>26.905871401061731</v>
      </c>
      <c r="F50" s="67">
        <v>51.780798904384554</v>
      </c>
      <c r="G50" s="67">
        <v>297.07588730999339</v>
      </c>
      <c r="H50" s="19">
        <f t="shared" si="17"/>
        <v>64.693649577676766</v>
      </c>
      <c r="I50" s="19">
        <f t="shared" si="17"/>
        <v>183.1460030313159</v>
      </c>
      <c r="J50" s="19">
        <f t="shared" si="17"/>
        <v>151.03902530034878</v>
      </c>
      <c r="K50" s="19">
        <f t="shared" si="17"/>
        <v>160.11142986391198</v>
      </c>
      <c r="L50" s="19">
        <f t="shared" si="17"/>
        <v>195.88885545076948</v>
      </c>
    </row>
    <row r="51" spans="3:12" x14ac:dyDescent="0.25">
      <c r="C51" s="83" t="s">
        <v>327</v>
      </c>
      <c r="D51" s="78" t="s">
        <v>3</v>
      </c>
      <c r="E51" s="137">
        <f>E45+E48</f>
        <v>12548</v>
      </c>
      <c r="F51" s="137">
        <f>F45+F48</f>
        <v>17455</v>
      </c>
      <c r="G51" s="137">
        <f>G45+G48</f>
        <v>17135</v>
      </c>
      <c r="H51" s="137">
        <f t="shared" ref="H51:L51" si="18">H45+H48</f>
        <v>25984.765430855914</v>
      </c>
      <c r="I51" s="137">
        <f t="shared" si="18"/>
        <v>50117.824160003358</v>
      </c>
      <c r="J51" s="137">
        <f t="shared" si="18"/>
        <v>41386.247926357188</v>
      </c>
      <c r="K51" s="137">
        <f t="shared" si="18"/>
        <v>42774.722073162833</v>
      </c>
      <c r="L51" s="137">
        <f t="shared" si="18"/>
        <v>49633.64303513433</v>
      </c>
    </row>
    <row r="53" spans="3:12" x14ac:dyDescent="0.25">
      <c r="C53" s="10" t="s">
        <v>92</v>
      </c>
      <c r="D53" s="10"/>
      <c r="E53" s="10"/>
      <c r="F53" s="10"/>
      <c r="G53" s="10"/>
      <c r="H53" s="10"/>
      <c r="I53" s="10"/>
      <c r="J53" s="10"/>
      <c r="K53" s="10"/>
      <c r="L53" s="10"/>
    </row>
    <row r="54" spans="3:12" x14ac:dyDescent="0.25">
      <c r="C54" s="13" t="s">
        <v>323</v>
      </c>
      <c r="D54" s="14" t="s">
        <v>11</v>
      </c>
      <c r="E54" s="75">
        <f>E45/E8</f>
        <v>4.7279117478895502E-2</v>
      </c>
      <c r="F54" s="75">
        <f t="shared" ref="F54:G59" si="19">F45/AVERAGE(F8,E8)</f>
        <v>5.4511031548165785E-2</v>
      </c>
      <c r="G54" s="75">
        <f t="shared" si="19"/>
        <v>3.6480387455317814E-2</v>
      </c>
      <c r="H54" s="75">
        <f>H45/AVERAGE(G8:H8)</f>
        <v>4.0414304110573715E-2</v>
      </c>
      <c r="I54" s="75">
        <f t="shared" ref="I54:L54" si="20">I45/AVERAGE(H8:I8)</f>
        <v>6.1901484556906333E-2</v>
      </c>
      <c r="J54" s="75">
        <f t="shared" si="20"/>
        <v>4.4901484556906332E-2</v>
      </c>
      <c r="K54" s="75">
        <f t="shared" si="20"/>
        <v>4.0901484556906335E-2</v>
      </c>
      <c r="L54" s="75">
        <f t="shared" si="20"/>
        <v>4.1901484556906329E-2</v>
      </c>
    </row>
    <row r="55" spans="3:12" x14ac:dyDescent="0.25">
      <c r="C55" s="174" t="s">
        <v>324</v>
      </c>
      <c r="D55" s="14" t="s">
        <v>11</v>
      </c>
      <c r="E55" s="75">
        <f>E46/E9</f>
        <v>4.3324106163313642E-2</v>
      </c>
      <c r="F55" s="75">
        <f t="shared" si="19"/>
        <v>5.1463220516578964E-2</v>
      </c>
      <c r="G55" s="75">
        <f t="shared" si="19"/>
        <v>3.1505841228957776E-2</v>
      </c>
      <c r="H55" s="75">
        <f>Buyer!H$24+H63</f>
        <v>3.9005841228957783E-2</v>
      </c>
      <c r="I55" s="75">
        <f>Buyer!I$24+I63</f>
        <v>6.0505841228957781E-2</v>
      </c>
      <c r="J55" s="75">
        <f>Buyer!J$24+J63</f>
        <v>4.350584122895778E-2</v>
      </c>
      <c r="K55" s="75">
        <f>Buyer!K$24+K63</f>
        <v>3.9505841228957783E-2</v>
      </c>
      <c r="L55" s="75">
        <f>Buyer!L$24+L63</f>
        <v>4.0505841228957784E-2</v>
      </c>
    </row>
    <row r="56" spans="3:12" x14ac:dyDescent="0.25">
      <c r="C56" s="174" t="s">
        <v>325</v>
      </c>
      <c r="D56" s="14" t="s">
        <v>11</v>
      </c>
      <c r="E56" s="75">
        <f>E47/E10</f>
        <v>5.271034751114969E-2</v>
      </c>
      <c r="F56" s="75">
        <f t="shared" si="19"/>
        <v>5.8993175282819478E-2</v>
      </c>
      <c r="G56" s="75">
        <f t="shared" si="19"/>
        <v>4.7561720828286747E-2</v>
      </c>
      <c r="H56" s="75">
        <f>Buyer!H$24+H64</f>
        <v>4.4588414540751978E-2</v>
      </c>
      <c r="I56" s="75">
        <f>Buyer!I$24+I64</f>
        <v>6.6088414540751983E-2</v>
      </c>
      <c r="J56" s="75">
        <f>Buyer!J$24+J64</f>
        <v>4.9088414540751975E-2</v>
      </c>
      <c r="K56" s="75">
        <f>Buyer!K$24+K64</f>
        <v>4.5088414540751978E-2</v>
      </c>
      <c r="L56" s="75">
        <f>Buyer!L$24+L64</f>
        <v>4.6088414540751979E-2</v>
      </c>
    </row>
    <row r="57" spans="3:12" x14ac:dyDescent="0.25">
      <c r="C57" s="13" t="s">
        <v>326</v>
      </c>
      <c r="D57" s="14" t="s">
        <v>11</v>
      </c>
      <c r="E57" s="75">
        <f t="shared" ref="E57:E59" si="21">E48/E11</f>
        <v>3.0242497444950292E-2</v>
      </c>
      <c r="F57" s="75">
        <f t="shared" si="19"/>
        <v>2.7640876713365434E-2</v>
      </c>
      <c r="G57" s="75">
        <f t="shared" si="19"/>
        <v>1.3376985446453693E-2</v>
      </c>
      <c r="H57" s="75">
        <f>H48/AVERAGE(G11:H11)</f>
        <v>1.7472730178491349E-2</v>
      </c>
      <c r="I57" s="75">
        <f t="shared" ref="I57:L57" si="22">I48/AVERAGE(H11:I11)</f>
        <v>3.8972730178491351E-2</v>
      </c>
      <c r="J57" s="75">
        <f t="shared" si="22"/>
        <v>2.1972730178491346E-2</v>
      </c>
      <c r="K57" s="75">
        <f t="shared" si="22"/>
        <v>1.7972730178491349E-2</v>
      </c>
      <c r="L57" s="75">
        <f t="shared" si="22"/>
        <v>1.897273017849135E-2</v>
      </c>
    </row>
    <row r="58" spans="3:12" x14ac:dyDescent="0.25">
      <c r="C58" s="174" t="s">
        <v>324</v>
      </c>
      <c r="D58" s="14" t="s">
        <v>11</v>
      </c>
      <c r="E58" s="75">
        <f t="shared" si="21"/>
        <v>3.0176885705470214E-2</v>
      </c>
      <c r="F58" s="75">
        <f t="shared" si="19"/>
        <v>2.738395113037155E-2</v>
      </c>
      <c r="G58" s="75">
        <f t="shared" si="19"/>
        <v>9.8455202641076229E-3</v>
      </c>
      <c r="H58" s="75">
        <f>Buyer!H$24+H66</f>
        <v>1.7345520264107628E-2</v>
      </c>
      <c r="I58" s="75">
        <f>Buyer!I$24+I66</f>
        <v>3.8845520264107626E-2</v>
      </c>
      <c r="J58" s="75">
        <f>Buyer!J$24+J66</f>
        <v>2.1845520264107625E-2</v>
      </c>
      <c r="K58" s="75">
        <f>Buyer!K$24+K66</f>
        <v>1.7845520264107628E-2</v>
      </c>
      <c r="L58" s="75">
        <f>Buyer!L$24+L66</f>
        <v>1.8845520264107629E-2</v>
      </c>
    </row>
    <row r="59" spans="3:12" x14ac:dyDescent="0.25">
      <c r="C59" s="174" t="s">
        <v>325</v>
      </c>
      <c r="D59" s="16" t="s">
        <v>11</v>
      </c>
      <c r="E59" s="76">
        <f t="shared" si="21"/>
        <v>3.371663082839816E-2</v>
      </c>
      <c r="F59" s="76">
        <f t="shared" si="19"/>
        <v>3.7118852261207563E-2</v>
      </c>
      <c r="G59" s="76">
        <f t="shared" si="19"/>
        <v>0.13970180451915984</v>
      </c>
      <c r="H59" s="76">
        <f>Buyer!H$24+H67</f>
        <v>2.2618852261207571E-2</v>
      </c>
      <c r="I59" s="76">
        <f>Buyer!I$24+I67</f>
        <v>4.411885226120757E-2</v>
      </c>
      <c r="J59" s="76">
        <f>Buyer!J$24+J67</f>
        <v>2.7118852261207568E-2</v>
      </c>
      <c r="K59" s="76">
        <f>Buyer!K$24+K67</f>
        <v>2.3118852261207572E-2</v>
      </c>
      <c r="L59" s="76">
        <f>Buyer!L$24+L67</f>
        <v>2.4118852261207573E-2</v>
      </c>
    </row>
    <row r="60" spans="3:12" x14ac:dyDescent="0.25">
      <c r="C60" s="83"/>
    </row>
    <row r="61" spans="3:12" x14ac:dyDescent="0.25">
      <c r="C61" s="10" t="s">
        <v>334</v>
      </c>
      <c r="D61" s="10"/>
      <c r="E61" s="10"/>
      <c r="F61" s="10"/>
      <c r="G61" s="10"/>
      <c r="H61" s="10"/>
      <c r="I61" s="10"/>
      <c r="J61" s="10"/>
      <c r="K61" s="10"/>
      <c r="L61" s="10"/>
    </row>
    <row r="62" spans="3:12" x14ac:dyDescent="0.25">
      <c r="C62" s="13" t="s">
        <v>323</v>
      </c>
      <c r="D62" s="14" t="s">
        <v>11</v>
      </c>
      <c r="E62" s="75"/>
      <c r="F62" s="75"/>
      <c r="G62" s="75"/>
      <c r="H62" s="75"/>
      <c r="I62" s="75"/>
      <c r="J62" s="75"/>
      <c r="K62" s="75"/>
      <c r="L62" s="75"/>
    </row>
    <row r="63" spans="3:12" x14ac:dyDescent="0.25">
      <c r="C63" s="174" t="s">
        <v>324</v>
      </c>
      <c r="D63" s="14" t="s">
        <v>11</v>
      </c>
      <c r="E63" s="75">
        <f>E55-Buyer!E$24</f>
        <v>-3.0675893836686355E-2</v>
      </c>
      <c r="F63" s="75">
        <f>F55-Buyer!F$24</f>
        <v>-2.1536779483421031E-2</v>
      </c>
      <c r="G63" s="75">
        <f>G55-Buyer!G$24</f>
        <v>-1.9494158771042221E-2</v>
      </c>
      <c r="H63" s="159">
        <f>G63+0.1%</f>
        <v>-1.849415877104222E-2</v>
      </c>
      <c r="I63" s="159">
        <f t="shared" ref="I63:L63" si="23">H63+0.1%</f>
        <v>-1.7494158771042219E-2</v>
      </c>
      <c r="J63" s="159">
        <f t="shared" si="23"/>
        <v>-1.6494158771042218E-2</v>
      </c>
      <c r="K63" s="159">
        <f t="shared" si="23"/>
        <v>-1.5494158771042217E-2</v>
      </c>
      <c r="L63" s="159">
        <f t="shared" si="23"/>
        <v>-1.4494158771042216E-2</v>
      </c>
    </row>
    <row r="64" spans="3:12" x14ac:dyDescent="0.25">
      <c r="C64" s="174" t="s">
        <v>325</v>
      </c>
      <c r="D64" s="14" t="s">
        <v>11</v>
      </c>
      <c r="E64" s="75">
        <f>E56-Buyer!E$24</f>
        <v>-2.1289652488850307E-2</v>
      </c>
      <c r="F64" s="75">
        <f>F56-Buyer!F$24</f>
        <v>-1.4006824717180517E-2</v>
      </c>
      <c r="G64" s="75">
        <f>G56-Buyer!G$24</f>
        <v>-3.4382791717132502E-3</v>
      </c>
      <c r="H64" s="159">
        <f>AVERAGE(E64:G64)</f>
        <v>-1.2911585459248025E-2</v>
      </c>
      <c r="I64" s="159">
        <f>I63-($H$63-$H$64)</f>
        <v>-1.1911585459248024E-2</v>
      </c>
      <c r="J64" s="159">
        <f t="shared" ref="J64:L64" si="24">J63-($H$63-$H$64)</f>
        <v>-1.0911585459248023E-2</v>
      </c>
      <c r="K64" s="159">
        <f t="shared" si="24"/>
        <v>-9.9115854592480221E-3</v>
      </c>
      <c r="L64" s="159">
        <f t="shared" si="24"/>
        <v>-8.9115854592480212E-3</v>
      </c>
    </row>
    <row r="65" spans="3:12" x14ac:dyDescent="0.25">
      <c r="C65" s="13" t="s">
        <v>326</v>
      </c>
      <c r="D65" s="14" t="s">
        <v>11</v>
      </c>
      <c r="E65" s="75"/>
      <c r="F65" s="75"/>
      <c r="G65" s="75"/>
      <c r="H65" s="75"/>
      <c r="I65" s="75"/>
      <c r="J65" s="75"/>
      <c r="K65" s="75"/>
      <c r="L65" s="75"/>
    </row>
    <row r="66" spans="3:12" x14ac:dyDescent="0.25">
      <c r="C66" s="174" t="s">
        <v>324</v>
      </c>
      <c r="D66" s="14" t="s">
        <v>11</v>
      </c>
      <c r="E66" s="75">
        <f>E58-Buyer!E$24</f>
        <v>-4.3823114294529786E-2</v>
      </c>
      <c r="F66" s="75">
        <f>F58-Buyer!F$24</f>
        <v>-4.5616048869628445E-2</v>
      </c>
      <c r="G66" s="75">
        <f>G58-Buyer!G$24</f>
        <v>-4.1154479735892376E-2</v>
      </c>
      <c r="H66" s="159">
        <f>G66+0.1%</f>
        <v>-4.0154479735892375E-2</v>
      </c>
      <c r="I66" s="159">
        <f t="shared" ref="I66:L67" si="25">H66+0.1%</f>
        <v>-3.9154479735892374E-2</v>
      </c>
      <c r="J66" s="159">
        <f t="shared" si="25"/>
        <v>-3.8154479735892373E-2</v>
      </c>
      <c r="K66" s="159">
        <f t="shared" si="25"/>
        <v>-3.7154479735892372E-2</v>
      </c>
      <c r="L66" s="159">
        <f t="shared" si="25"/>
        <v>-3.6154479735892371E-2</v>
      </c>
    </row>
    <row r="67" spans="3:12" x14ac:dyDescent="0.25">
      <c r="C67" s="174" t="s">
        <v>325</v>
      </c>
      <c r="D67" s="16" t="s">
        <v>11</v>
      </c>
      <c r="E67" s="76">
        <f>E59-Buyer!E$24</f>
        <v>-4.0283369171601836E-2</v>
      </c>
      <c r="F67" s="76">
        <f>F59-Buyer!F$24</f>
        <v>-3.5881147738792432E-2</v>
      </c>
      <c r="G67" s="76">
        <f>G59-Buyer!G$24</f>
        <v>8.8701804519159849E-2</v>
      </c>
      <c r="H67" s="177">
        <f>F67+0.1%</f>
        <v>-3.4881147738792431E-2</v>
      </c>
      <c r="I67" s="177">
        <f>H67+0.1%</f>
        <v>-3.388114773879243E-2</v>
      </c>
      <c r="J67" s="177">
        <f t="shared" si="25"/>
        <v>-3.2881147738792429E-2</v>
      </c>
      <c r="K67" s="177">
        <f t="shared" si="25"/>
        <v>-3.1881147738792429E-2</v>
      </c>
      <c r="L67" s="177">
        <f t="shared" si="25"/>
        <v>-3.0881147738792428E-2</v>
      </c>
    </row>
    <row r="68" spans="3:12" x14ac:dyDescent="0.25">
      <c r="C68" s="83"/>
    </row>
    <row r="69" spans="3:12" x14ac:dyDescent="0.25">
      <c r="C69" s="10" t="s">
        <v>105</v>
      </c>
      <c r="D69" s="130"/>
      <c r="E69" s="131"/>
      <c r="F69" s="131"/>
      <c r="G69" s="132"/>
      <c r="H69" s="133"/>
      <c r="I69" s="133"/>
      <c r="J69" s="133"/>
      <c r="K69" s="133"/>
      <c r="L69" s="133"/>
    </row>
    <row r="70" spans="3:12" x14ac:dyDescent="0.25">
      <c r="C70" s="13" t="s">
        <v>335</v>
      </c>
      <c r="D70" s="14" t="s">
        <v>3</v>
      </c>
      <c r="E70" s="173">
        <v>1174</v>
      </c>
      <c r="F70" s="173">
        <v>1870</v>
      </c>
      <c r="G70" s="173">
        <v>1745</v>
      </c>
      <c r="H70" s="173">
        <f>AVERAGE(G8:H8)*H71</f>
        <v>3010.8806006108266</v>
      </c>
      <c r="I70" s="173">
        <f t="shared" ref="I70:L70" si="26">AVERAGE(H8:I8)*I71</f>
        <v>3568.5686848667115</v>
      </c>
      <c r="J70" s="173">
        <f t="shared" si="26"/>
        <v>4115.254281828833</v>
      </c>
      <c r="K70" s="173">
        <f t="shared" si="26"/>
        <v>4679.6497376850184</v>
      </c>
      <c r="L70" s="173">
        <f t="shared" si="26"/>
        <v>5251.7981888210734</v>
      </c>
    </row>
    <row r="71" spans="3:12" x14ac:dyDescent="0.25">
      <c r="C71" s="60" t="s">
        <v>336</v>
      </c>
      <c r="D71" s="16" t="s">
        <v>11</v>
      </c>
      <c r="E71" s="178">
        <f>E70/E8</f>
        <v>4.9355934483570445E-3</v>
      </c>
      <c r="F71" s="178">
        <f>F70/AVERAGE(F8,E8)</f>
        <v>6.3733668247511572E-3</v>
      </c>
      <c r="G71" s="178">
        <f>G70/AVERAGE(G8,F8)</f>
        <v>3.9566334830958786E-3</v>
      </c>
      <c r="H71" s="177">
        <f>AVERAGE(E71:G71)</f>
        <v>5.0885312520680273E-3</v>
      </c>
      <c r="I71" s="177">
        <f>H71</f>
        <v>5.0885312520680273E-3</v>
      </c>
      <c r="J71" s="177">
        <f t="shared" ref="J71:L71" si="27">I71</f>
        <v>5.0885312520680273E-3</v>
      </c>
      <c r="K71" s="177">
        <f t="shared" si="27"/>
        <v>5.0885312520680273E-3</v>
      </c>
      <c r="L71" s="177">
        <f t="shared" si="27"/>
        <v>5.0885312520680273E-3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28</vt:i4>
      </vt:variant>
    </vt:vector>
  </HeadingPairs>
  <TitlesOfParts>
    <vt:vector size="43" baseType="lpstr">
      <vt:lpstr>Summary</vt:lpstr>
      <vt:lpstr>IRR-Synergies</vt:lpstr>
      <vt:lpstr>Contrib.</vt:lpstr>
      <vt:lpstr>Merger-Model</vt:lpstr>
      <vt:lpstr>Consolidation Adj</vt:lpstr>
      <vt:lpstr>Marks</vt:lpstr>
      <vt:lpstr>Seller---&gt;</vt:lpstr>
      <vt:lpstr>DDM</vt:lpstr>
      <vt:lpstr>Seller</vt:lpstr>
      <vt:lpstr>Buyer---&gt;</vt:lpstr>
      <vt:lpstr>Buyer</vt:lpstr>
      <vt:lpstr>Loans</vt:lpstr>
      <vt:lpstr>Capital &amp; Dividends</vt:lpstr>
      <vt:lpstr>PPE &amp; Intangibles</vt:lpstr>
      <vt:lpstr>Deposits</vt:lpstr>
      <vt:lpstr>Buyer_Share_Price</vt:lpstr>
      <vt:lpstr>Buyer_shares</vt:lpstr>
      <vt:lpstr>Circ_Ref</vt:lpstr>
      <vt:lpstr>Close_Date</vt:lpstr>
      <vt:lpstr>Combined_CET_1</vt:lpstr>
      <vt:lpstr>Company_Name</vt:lpstr>
      <vt:lpstr>Cost_Synergies_Pct</vt:lpstr>
      <vt:lpstr>Cost_Synergies_Pct_Realized_Year_1</vt:lpstr>
      <vt:lpstr>Cost_Synergies_Pct_Realized_Year_2</vt:lpstr>
      <vt:lpstr>Cost_Synergies_Pct_Realized_Year_3</vt:lpstr>
      <vt:lpstr>Equity_Purchase_Price</vt:lpstr>
      <vt:lpstr>Merger_Costs_Pct_Full_Synergies</vt:lpstr>
      <vt:lpstr>Offer_Price</vt:lpstr>
      <vt:lpstr>Offer_Price_Cash</vt:lpstr>
      <vt:lpstr>Pct_Cash</vt:lpstr>
      <vt:lpstr>'Merger-Model'!Purchase_Premium</vt:lpstr>
      <vt:lpstr>Purchase_Premium</vt:lpstr>
      <vt:lpstr>Rev_Synergies_Margin</vt:lpstr>
      <vt:lpstr>Rev_Synergies_Pct</vt:lpstr>
      <vt:lpstr>Scenario</vt:lpstr>
      <vt:lpstr>Seller_CET_1</vt:lpstr>
      <vt:lpstr>Seller_Name</vt:lpstr>
      <vt:lpstr>Seller_Share_Price</vt:lpstr>
      <vt:lpstr>Seller_shares</vt:lpstr>
      <vt:lpstr>Seller_Shares_at_Offer_Price</vt:lpstr>
      <vt:lpstr>Seller_Tax_Rate</vt:lpstr>
      <vt:lpstr>Seller_Year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cp:lastPrinted>2024-03-20T15:59:29Z</cp:lastPrinted>
  <dcterms:created xsi:type="dcterms:W3CDTF">2024-03-18T06:56:22Z</dcterms:created>
  <dcterms:modified xsi:type="dcterms:W3CDTF">2024-03-22T07:05:33Z</dcterms:modified>
</cp:coreProperties>
</file>