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oxuser\Downloads\"/>
    </mc:Choice>
  </mc:AlternateContent>
  <xr:revisionPtr revIDLastSave="0" documentId="13_ncr:1_{041F8450-C330-4423-9E23-6428B41485AC}" xr6:coauthVersionLast="47" xr6:coauthVersionMax="47" xr10:uidLastSave="{00000000-0000-0000-0000-000000000000}"/>
  <bookViews>
    <workbookView xWindow="-120" yWindow="-120" windowWidth="28080" windowHeight="14175" xr2:uid="{726E95B4-2711-4E35-9ED4-1C05F7D86581}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Company_Name">Sheet1!$D$7</definedName>
    <definedName name="Scenario">Sheet1!$D$19</definedName>
    <definedName name="Units">Sheet1!$D$17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Q135" i="1"/>
  <c r="O138" i="1"/>
  <c r="Q138" i="1" s="1"/>
  <c r="O137" i="1"/>
  <c r="O136" i="1"/>
  <c r="Q136" i="1" s="1"/>
  <c r="O135" i="1"/>
  <c r="N139" i="1"/>
  <c r="F127" i="1"/>
  <c r="F125" i="1"/>
  <c r="I36" i="1"/>
  <c r="F139" i="1"/>
  <c r="F123" i="1"/>
  <c r="F138" i="1"/>
  <c r="F122" i="1"/>
  <c r="F148" i="1"/>
  <c r="H149" i="1"/>
  <c r="I149" i="1"/>
  <c r="J149" i="1"/>
  <c r="K149" i="1"/>
  <c r="L149" i="1"/>
  <c r="H13" i="2"/>
  <c r="H41" i="2"/>
  <c r="H35" i="2"/>
  <c r="H34" i="2"/>
  <c r="H38" i="2"/>
  <c r="H8" i="2"/>
  <c r="H37" i="2"/>
  <c r="H36" i="2"/>
  <c r="H29" i="2"/>
  <c r="H30" i="2"/>
  <c r="H31" i="2"/>
  <c r="H32" i="2"/>
  <c r="H28" i="2"/>
  <c r="H21" i="2"/>
  <c r="H22" i="2"/>
  <c r="H23" i="2"/>
  <c r="H24" i="2"/>
  <c r="H20" i="2"/>
  <c r="H9" i="2"/>
  <c r="H10" i="2"/>
  <c r="H11" i="2"/>
  <c r="H12" i="2"/>
  <c r="H14" i="2"/>
  <c r="H5" i="2"/>
  <c r="H4" i="2"/>
  <c r="Q161" i="1"/>
  <c r="F146" i="1"/>
  <c r="F145" i="1"/>
  <c r="F144" i="1"/>
  <c r="F133" i="1"/>
  <c r="F131" i="1"/>
  <c r="F128" i="1"/>
  <c r="O153" i="1"/>
  <c r="N153" i="1"/>
  <c r="F35" i="1"/>
  <c r="E35" i="1"/>
  <c r="G35" i="1"/>
  <c r="G157" i="1"/>
  <c r="F157" i="1"/>
  <c r="F158" i="1" s="1"/>
  <c r="G154" i="1"/>
  <c r="F154" i="1"/>
  <c r="G145" i="1"/>
  <c r="G146" i="1"/>
  <c r="G144" i="1"/>
  <c r="G139" i="1"/>
  <c r="G138" i="1"/>
  <c r="G122" i="1"/>
  <c r="G133" i="1"/>
  <c r="G131" i="1"/>
  <c r="G129" i="1"/>
  <c r="F129" i="1"/>
  <c r="G128" i="1"/>
  <c r="O139" i="1" l="1"/>
  <c r="I35" i="1"/>
  <c r="I37" i="1" s="1"/>
  <c r="G123" i="1" l="1"/>
  <c r="K129" i="1"/>
  <c r="J129" i="1"/>
  <c r="L157" i="1"/>
  <c r="K157" i="1"/>
  <c r="J157" i="1"/>
  <c r="J158" i="1" s="1"/>
  <c r="I157" i="1"/>
  <c r="H157" i="1"/>
  <c r="G158" i="1"/>
  <c r="L146" i="1"/>
  <c r="K146" i="1"/>
  <c r="J146" i="1"/>
  <c r="I146" i="1"/>
  <c r="H146" i="1"/>
  <c r="L145" i="1"/>
  <c r="K145" i="1"/>
  <c r="J145" i="1"/>
  <c r="I145" i="1"/>
  <c r="H145" i="1"/>
  <c r="L144" i="1"/>
  <c r="G141" i="1"/>
  <c r="F141" i="1"/>
  <c r="L139" i="1"/>
  <c r="K139" i="1"/>
  <c r="L138" i="1"/>
  <c r="L141" i="1" s="1"/>
  <c r="K138" i="1"/>
  <c r="K141" i="1" s="1"/>
  <c r="L134" i="1"/>
  <c r="K134" i="1"/>
  <c r="J134" i="1"/>
  <c r="I134" i="1"/>
  <c r="H134" i="1"/>
  <c r="L133" i="1"/>
  <c r="L132" i="1"/>
  <c r="K132" i="1"/>
  <c r="J132" i="1"/>
  <c r="I132" i="1"/>
  <c r="H132" i="1"/>
  <c r="L131" i="1"/>
  <c r="L130" i="1"/>
  <c r="K130" i="1"/>
  <c r="J130" i="1"/>
  <c r="I130" i="1"/>
  <c r="H130" i="1"/>
  <c r="L129" i="1"/>
  <c r="H129" i="1"/>
  <c r="L128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D116" i="1"/>
  <c r="H115" i="1"/>
  <c r="E100" i="1"/>
  <c r="E101" i="1" s="1"/>
  <c r="E83" i="1"/>
  <c r="E87" i="1" s="1"/>
  <c r="F101" i="1"/>
  <c r="G101" i="1"/>
  <c r="G86" i="1"/>
  <c r="F83" i="1"/>
  <c r="F87" i="1" s="1"/>
  <c r="G83" i="1"/>
  <c r="F91" i="1"/>
  <c r="G91" i="1"/>
  <c r="E74" i="1"/>
  <c r="E73" i="1"/>
  <c r="F74" i="1"/>
  <c r="F73" i="1"/>
  <c r="G74" i="1"/>
  <c r="G73" i="1"/>
  <c r="L96" i="1"/>
  <c r="K96" i="1"/>
  <c r="J96" i="1"/>
  <c r="I96" i="1"/>
  <c r="H96" i="1"/>
  <c r="L95" i="1"/>
  <c r="L101" i="1" s="1"/>
  <c r="K95" i="1"/>
  <c r="K101" i="1" s="1"/>
  <c r="J95" i="1"/>
  <c r="J101" i="1" s="1"/>
  <c r="I95" i="1"/>
  <c r="I101" i="1" s="1"/>
  <c r="H95" i="1"/>
  <c r="H101" i="1" s="1"/>
  <c r="L91" i="1"/>
  <c r="K91" i="1"/>
  <c r="J91" i="1"/>
  <c r="I91" i="1"/>
  <c r="H91" i="1"/>
  <c r="L83" i="1"/>
  <c r="K128" i="1" s="1"/>
  <c r="K83" i="1"/>
  <c r="J83" i="1"/>
  <c r="I83" i="1"/>
  <c r="H83" i="1"/>
  <c r="G80" i="1"/>
  <c r="F80" i="1"/>
  <c r="E80" i="1"/>
  <c r="L79" i="1"/>
  <c r="K79" i="1"/>
  <c r="J79" i="1"/>
  <c r="I79" i="1"/>
  <c r="H79" i="1"/>
  <c r="L78" i="1"/>
  <c r="L80" i="1" s="1"/>
  <c r="K78" i="1"/>
  <c r="K80" i="1" s="1"/>
  <c r="J78" i="1"/>
  <c r="J80" i="1" s="1"/>
  <c r="I78" i="1"/>
  <c r="I80" i="1" s="1"/>
  <c r="H78" i="1"/>
  <c r="H80" i="1" s="1"/>
  <c r="L74" i="1"/>
  <c r="K74" i="1"/>
  <c r="J74" i="1"/>
  <c r="I74" i="1"/>
  <c r="H74" i="1"/>
  <c r="L73" i="1"/>
  <c r="L75" i="1" s="1"/>
  <c r="K73" i="1"/>
  <c r="K75" i="1" s="1"/>
  <c r="J73" i="1"/>
  <c r="J75" i="1" s="1"/>
  <c r="I73" i="1"/>
  <c r="I75" i="1" s="1"/>
  <c r="H73" i="1"/>
  <c r="H75" i="1" s="1"/>
  <c r="D71" i="1"/>
  <c r="H70" i="1"/>
  <c r="E57" i="1"/>
  <c r="E62" i="1" s="1"/>
  <c r="E64" i="1" s="1"/>
  <c r="E53" i="1"/>
  <c r="E43" i="1"/>
  <c r="F57" i="1"/>
  <c r="H64" i="1"/>
  <c r="I64" i="1"/>
  <c r="J64" i="1"/>
  <c r="K64" i="1"/>
  <c r="L64" i="1"/>
  <c r="G57" i="1"/>
  <c r="F53" i="1"/>
  <c r="G53" i="1"/>
  <c r="I38" i="1" l="1"/>
  <c r="K35" i="1" s="1"/>
  <c r="F130" i="1"/>
  <c r="F124" i="1"/>
  <c r="F134" i="1"/>
  <c r="F147" i="1"/>
  <c r="E45" i="1"/>
  <c r="G62" i="1"/>
  <c r="G64" i="1" s="1"/>
  <c r="G147" i="1"/>
  <c r="G124" i="1"/>
  <c r="G130" i="1"/>
  <c r="F62" i="1"/>
  <c r="F64" i="1" s="1"/>
  <c r="K135" i="1"/>
  <c r="I128" i="1"/>
  <c r="I131" i="1"/>
  <c r="J131" i="1"/>
  <c r="G134" i="1"/>
  <c r="J128" i="1"/>
  <c r="I129" i="1"/>
  <c r="K131" i="1"/>
  <c r="H131" i="1"/>
  <c r="L150" i="1"/>
  <c r="H158" i="1"/>
  <c r="L158" i="1"/>
  <c r="H128" i="1"/>
  <c r="K158" i="1"/>
  <c r="L135" i="1"/>
  <c r="I158" i="1"/>
  <c r="J89" i="1"/>
  <c r="G87" i="1"/>
  <c r="I89" i="1"/>
  <c r="K89" i="1"/>
  <c r="F75" i="1"/>
  <c r="F89" i="1" s="1"/>
  <c r="F103" i="1" s="1"/>
  <c r="F105" i="1" s="1"/>
  <c r="F149" i="1" s="1"/>
  <c r="H89" i="1"/>
  <c r="L89" i="1"/>
  <c r="E75" i="1"/>
  <c r="G75" i="1"/>
  <c r="H92" i="1" l="1"/>
  <c r="H103" i="1" s="1"/>
  <c r="H105" i="1" s="1"/>
  <c r="I39" i="1"/>
  <c r="F107" i="1"/>
  <c r="F118" i="1" s="1"/>
  <c r="F150" i="1"/>
  <c r="L152" i="1"/>
  <c r="G89" i="1"/>
  <c r="G103" i="1" s="1"/>
  <c r="G105" i="1" s="1"/>
  <c r="G149" i="1" s="1"/>
  <c r="E89" i="1"/>
  <c r="E103" i="1" s="1"/>
  <c r="E105" i="1" s="1"/>
  <c r="E107" i="1" s="1"/>
  <c r="H97" i="1"/>
  <c r="H99" i="1"/>
  <c r="H98" i="1"/>
  <c r="H100" i="1"/>
  <c r="H104" i="1"/>
  <c r="G107" i="1" l="1"/>
  <c r="G118" i="1" s="1"/>
  <c r="G150" i="1"/>
  <c r="I97" i="1"/>
  <c r="I100" i="1"/>
  <c r="I98" i="1"/>
  <c r="I99" i="1"/>
  <c r="I92" i="1"/>
  <c r="I103" i="1" s="1"/>
  <c r="J99" i="1" l="1"/>
  <c r="H133" i="1" s="1"/>
  <c r="J97" i="1"/>
  <c r="J100" i="1"/>
  <c r="J98" i="1"/>
  <c r="H144" i="1"/>
  <c r="H150" i="1" s="1"/>
  <c r="J92" i="1"/>
  <c r="J103" i="1" s="1"/>
  <c r="I105" i="1"/>
  <c r="I104" i="1"/>
  <c r="J105" i="1" l="1"/>
  <c r="J104" i="1"/>
  <c r="K100" i="1"/>
  <c r="I144" i="1"/>
  <c r="I150" i="1" s="1"/>
  <c r="K98" i="1"/>
  <c r="K99" i="1"/>
  <c r="I133" i="1" s="1"/>
  <c r="K92" i="1"/>
  <c r="K103" i="1" s="1"/>
  <c r="K97" i="1"/>
  <c r="L100" i="1" l="1"/>
  <c r="L98" i="1"/>
  <c r="L99" i="1"/>
  <c r="L92" i="1"/>
  <c r="L103" i="1" s="1"/>
  <c r="L97" i="1"/>
  <c r="K105" i="1"/>
  <c r="K104" i="1"/>
  <c r="K133" i="1" l="1"/>
  <c r="J133" i="1"/>
  <c r="K144" i="1"/>
  <c r="K150" i="1" s="1"/>
  <c r="K152" i="1" s="1"/>
  <c r="J144" i="1"/>
  <c r="J150" i="1" s="1"/>
  <c r="L105" i="1"/>
  <c r="L104" i="1"/>
  <c r="F43" i="1" l="1"/>
  <c r="F42" i="1"/>
  <c r="G43" i="1"/>
  <c r="G42" i="1"/>
  <c r="B2" i="1"/>
  <c r="G23" i="1"/>
  <c r="H60" i="1"/>
  <c r="I60" i="1" s="1"/>
  <c r="J60" i="1" s="1"/>
  <c r="K60" i="1" s="1"/>
  <c r="L60" i="1" s="1"/>
  <c r="H59" i="1"/>
  <c r="I59" i="1" s="1"/>
  <c r="J59" i="1" s="1"/>
  <c r="K59" i="1" s="1"/>
  <c r="L59" i="1" s="1"/>
  <c r="H57" i="1"/>
  <c r="L53" i="1"/>
  <c r="K53" i="1"/>
  <c r="J53" i="1"/>
  <c r="I53" i="1"/>
  <c r="H53" i="1"/>
  <c r="G54" i="1"/>
  <c r="F54" i="1"/>
  <c r="E54" i="1"/>
  <c r="L52" i="1"/>
  <c r="K52" i="1"/>
  <c r="J52" i="1"/>
  <c r="I52" i="1"/>
  <c r="H52" i="1"/>
  <c r="H51" i="1"/>
  <c r="H50" i="1"/>
  <c r="I50" i="1" s="1"/>
  <c r="J50" i="1" s="1"/>
  <c r="K50" i="1" s="1"/>
  <c r="L50" i="1" s="1"/>
  <c r="L32" i="1"/>
  <c r="L45" i="1" s="1"/>
  <c r="K32" i="1"/>
  <c r="K45" i="1" s="1"/>
  <c r="J32" i="1"/>
  <c r="J45" i="1" s="1"/>
  <c r="I32" i="1"/>
  <c r="I45" i="1" s="1"/>
  <c r="H32" i="1"/>
  <c r="H45" i="1" s="1"/>
  <c r="D30" i="1"/>
  <c r="H29" i="1"/>
  <c r="C27" i="1"/>
  <c r="C26" i="1"/>
  <c r="C25" i="1"/>
  <c r="K24" i="1" s="1"/>
  <c r="D23" i="1"/>
  <c r="H22" i="1"/>
  <c r="F132" i="1" l="1"/>
  <c r="G45" i="1"/>
  <c r="F45" i="1"/>
  <c r="G132" i="1"/>
  <c r="H139" i="1"/>
  <c r="H138" i="1"/>
  <c r="H141" i="1" s="1"/>
  <c r="I51" i="1"/>
  <c r="I138" i="1"/>
  <c r="I141" i="1" s="1"/>
  <c r="I139" i="1"/>
  <c r="J138" i="1"/>
  <c r="J141" i="1" s="1"/>
  <c r="J139" i="1"/>
  <c r="H23" i="1"/>
  <c r="I23" i="1" s="1"/>
  <c r="I71" i="1" s="1"/>
  <c r="G71" i="1"/>
  <c r="G116" i="1" s="1"/>
  <c r="L24" i="1"/>
  <c r="F23" i="1"/>
  <c r="G30" i="1"/>
  <c r="F66" i="1"/>
  <c r="G66" i="1"/>
  <c r="I57" i="1"/>
  <c r="J57" i="1" s="1"/>
  <c r="K57" i="1" s="1"/>
  <c r="E66" i="1"/>
  <c r="E68" i="1" s="1"/>
  <c r="I49" i="1"/>
  <c r="I54" i="1" s="1"/>
  <c r="J49" i="1"/>
  <c r="J54" i="1" s="1"/>
  <c r="H49" i="1"/>
  <c r="H54" i="1" s="1"/>
  <c r="L49" i="1"/>
  <c r="L54" i="1" s="1"/>
  <c r="K49" i="1"/>
  <c r="K54" i="1" s="1"/>
  <c r="H24" i="1"/>
  <c r="I24" i="1"/>
  <c r="J24" i="1"/>
  <c r="G135" i="1" l="1"/>
  <c r="G152" i="1" s="1"/>
  <c r="I116" i="1"/>
  <c r="F68" i="1"/>
  <c r="J51" i="1"/>
  <c r="F30" i="1"/>
  <c r="F71" i="1"/>
  <c r="F116" i="1" s="1"/>
  <c r="H30" i="1"/>
  <c r="H71" i="1"/>
  <c r="G68" i="1"/>
  <c r="E23" i="1"/>
  <c r="H66" i="1"/>
  <c r="H68" i="1" s="1"/>
  <c r="I30" i="1"/>
  <c r="J23" i="1"/>
  <c r="J66" i="1"/>
  <c r="I66" i="1"/>
  <c r="I68" i="1" s="1"/>
  <c r="L57" i="1"/>
  <c r="L66" i="1" s="1"/>
  <c r="L68" i="1" s="1"/>
  <c r="K66" i="1"/>
  <c r="K68" i="1" s="1"/>
  <c r="F135" i="1" l="1"/>
  <c r="F152" i="1" s="1"/>
  <c r="F155" i="1" s="1"/>
  <c r="F160" i="1" s="1"/>
  <c r="H116" i="1"/>
  <c r="J71" i="1"/>
  <c r="G155" i="1"/>
  <c r="G160" i="1" s="1"/>
  <c r="K51" i="1"/>
  <c r="E30" i="1"/>
  <c r="E71" i="1"/>
  <c r="E116" i="1" s="1"/>
  <c r="J68" i="1"/>
  <c r="H111" i="1"/>
  <c r="K23" i="1"/>
  <c r="J30" i="1"/>
  <c r="H118" i="1" l="1"/>
  <c r="H135" i="1" s="1"/>
  <c r="H152" i="1" s="1"/>
  <c r="J116" i="1"/>
  <c r="H154" i="1"/>
  <c r="K71" i="1"/>
  <c r="L51" i="1"/>
  <c r="I111" i="1"/>
  <c r="I110" i="1"/>
  <c r="I113" i="1" s="1"/>
  <c r="H110" i="1"/>
  <c r="H113" i="1" s="1"/>
  <c r="L23" i="1"/>
  <c r="K30" i="1"/>
  <c r="H155" i="1" l="1"/>
  <c r="I154" i="1" s="1"/>
  <c r="I118" i="1"/>
  <c r="I135" i="1" s="1"/>
  <c r="I152" i="1" s="1"/>
  <c r="K116" i="1"/>
  <c r="L30" i="1"/>
  <c r="L71" i="1"/>
  <c r="J111" i="1"/>
  <c r="J110" i="1"/>
  <c r="J113" i="1" s="1"/>
  <c r="H160" i="1" l="1"/>
  <c r="I155" i="1"/>
  <c r="I160" i="1" s="1"/>
  <c r="J118" i="1"/>
  <c r="J135" i="1" s="1"/>
  <c r="J152" i="1" s="1"/>
  <c r="L116" i="1"/>
  <c r="K110" i="1"/>
  <c r="K113" i="1" s="1"/>
  <c r="K111" i="1"/>
  <c r="J154" i="1" l="1"/>
  <c r="J155" i="1" s="1"/>
  <c r="J160" i="1" s="1"/>
  <c r="L111" i="1"/>
  <c r="L110" i="1"/>
  <c r="L113" i="1" s="1"/>
  <c r="K154" i="1" l="1"/>
  <c r="K155" i="1" s="1"/>
  <c r="L154" i="1" s="1"/>
  <c r="L155" i="1" s="1"/>
  <c r="L160" i="1" s="1"/>
  <c r="K16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J8" authorId="0" shapeId="0" xr:uid="{CC79E70D-4895-49CD-AEE5-4D38998777A4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IPO Prospectus, pg. 47 of PDF.</t>
        </r>
      </text>
    </comment>
    <comment ref="C129" authorId="0" shapeId="0" xr:uid="{4AC7C147-241C-4AC1-B25E-C049D11069C6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Assuming this is simply a PORTION of the cash balance - netted out in the cash calculation at the bottom.</t>
        </r>
      </text>
    </comment>
    <comment ref="C134" authorId="0" shapeId="0" xr:uid="{7A6B479D-2082-4E4B-B25F-E23AA51362F2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Combining this with the Increase in Provisions for Liabilities and Charges to reduce complexity.</t>
        </r>
      </text>
    </comment>
    <comment ref="C145" authorId="0" shapeId="0" xr:uid="{28C949F1-2910-474D-919F-E92C701F5CB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Negative 5 in second year because it represented a Loan Note repayment then… combining line items.</t>
        </r>
      </text>
    </comment>
    <comment ref="C146" authorId="0" shapeId="0" xr:uid="{E72AD5E4-B137-4608-B979-A2F34B6E2D4E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Negative 5 in second year because it represented a Loan Note repayment then… combining line items.</t>
        </r>
      </text>
    </comment>
  </commentList>
</comments>
</file>

<file path=xl/sharedStrings.xml><?xml version="1.0" encoding="utf-8"?>
<sst xmlns="http://schemas.openxmlformats.org/spreadsheetml/2006/main" count="280" uniqueCount="143">
  <si>
    <t>General Assumptions:</t>
  </si>
  <si>
    <t>Company Name:</t>
  </si>
  <si>
    <t>Stock Information:</t>
  </si>
  <si>
    <t>Ticker:</t>
  </si>
  <si>
    <t>Basic/Diluted Shares Outstanding:</t>
  </si>
  <si>
    <t>Current Share Price:</t>
  </si>
  <si>
    <t>Last Historical Year:</t>
  </si>
  <si>
    <t>Last Twelve Months (LTM) Period:</t>
  </si>
  <si>
    <t xml:space="preserve">Company had no options, warrants, RSUs, convertibles, or </t>
  </si>
  <si>
    <t>Valuation Date:</t>
  </si>
  <si>
    <t>other dilutive securities, so basic shares = diluted shares as</t>
  </si>
  <si>
    <t>of the valuation date.</t>
  </si>
  <si>
    <t>Common Equity Tier 1 (CET 1) Target:</t>
  </si>
  <si>
    <t>Tax Rate:</t>
  </si>
  <si>
    <t>Conversion Units:</t>
  </si>
  <si>
    <t>Selected Scenario</t>
  </si>
  <si>
    <t>Base</t>
  </si>
  <si>
    <t>Enable Circular References?</t>
  </si>
  <si>
    <t>TCSG</t>
  </si>
  <si>
    <t xml:space="preserve">Interest-Earning Assets (IEA) and </t>
  </si>
  <si>
    <t>Interest-Bearing Liabilities (IBL):</t>
  </si>
  <si>
    <t>Average Annual 3-Month LIBOR:</t>
  </si>
  <si>
    <t>%</t>
  </si>
  <si>
    <r>
      <t>(RUB</t>
    </r>
    <r>
      <rPr>
        <sz val="11"/>
        <color indexed="8"/>
        <rFont val="Calibri"/>
        <family val="2"/>
      </rPr>
      <t xml:space="preserve"> in Millions Except Per Share and Per Unit Data)</t>
    </r>
  </si>
  <si>
    <t>Balance Sheet:</t>
  </si>
  <si>
    <t>ASSETS:</t>
  </si>
  <si>
    <t>Cash and Balances at Central Banks:</t>
  </si>
  <si>
    <t>£ M</t>
  </si>
  <si>
    <t>Gross Loans:</t>
  </si>
  <si>
    <t>(-) Allowance for Loan Losses:</t>
  </si>
  <si>
    <t>Total Assets:</t>
  </si>
  <si>
    <t>LIABILITIES &amp; EQUITY:</t>
  </si>
  <si>
    <t>Liabilities:</t>
  </si>
  <si>
    <t>Deposits:</t>
  </si>
  <si>
    <t>Due to Banks:</t>
  </si>
  <si>
    <t>Subordinated Notes:</t>
  </si>
  <si>
    <t>Other Liabilities:</t>
  </si>
  <si>
    <t>Total Liabilities:</t>
  </si>
  <si>
    <t>Equity:</t>
  </si>
  <si>
    <t>Share Capital &amp; Share Premium:</t>
  </si>
  <si>
    <t>Reserves:</t>
  </si>
  <si>
    <t>Retained Earnings:</t>
  </si>
  <si>
    <t>Total Equity:</t>
  </si>
  <si>
    <t>Total Liabilities &amp; Equity:</t>
  </si>
  <si>
    <t>Balance Check:</t>
  </si>
  <si>
    <t>Historical</t>
  </si>
  <si>
    <t>TCS Group Holding PLC</t>
  </si>
  <si>
    <t>Due from CBRF</t>
  </si>
  <si>
    <t>Due from Banks</t>
  </si>
  <si>
    <t>Loans to customers</t>
  </si>
  <si>
    <t>₽</t>
  </si>
  <si>
    <t>₽ M</t>
  </si>
  <si>
    <t>Securities</t>
  </si>
  <si>
    <t>Guarantee deposit</t>
  </si>
  <si>
    <t>PPE</t>
  </si>
  <si>
    <t>Intangible assets</t>
  </si>
  <si>
    <t>Deferred tax</t>
  </si>
  <si>
    <t>Other assets</t>
  </si>
  <si>
    <t>Debt securities</t>
  </si>
  <si>
    <t>Treasury shares</t>
  </si>
  <si>
    <t>NCI</t>
  </si>
  <si>
    <t>Share based payment reserve</t>
  </si>
  <si>
    <t>Common equity</t>
  </si>
  <si>
    <t>Income Statement:</t>
  </si>
  <si>
    <t>Net Interest Income:</t>
  </si>
  <si>
    <t>(+) Interest Income:</t>
  </si>
  <si>
    <t>(-) Interest Expense:</t>
  </si>
  <si>
    <t>Total Net Interest Income:</t>
  </si>
  <si>
    <t>Net Fee and Commission Income:</t>
  </si>
  <si>
    <t>(+) Fee and Commission Income:</t>
  </si>
  <si>
    <t>(-) Fee and Commission Expense:</t>
  </si>
  <si>
    <t>Revenue (Net Operating Income):</t>
  </si>
  <si>
    <t>(-) Provisions for Credit Losses:</t>
  </si>
  <si>
    <t>(-) Provision for Liabilities and Charges:</t>
  </si>
  <si>
    <t>Non-Interest Expenses:</t>
  </si>
  <si>
    <t>(-) Acquisition Costs:</t>
  </si>
  <si>
    <t>(-) Staff Costs:</t>
  </si>
  <si>
    <t>(-) Depreciation (Excluding Operating Leases):</t>
  </si>
  <si>
    <t>(-) Amortization of Intangible Assets:</t>
  </si>
  <si>
    <t>(-) Other Administrative Expenses:</t>
  </si>
  <si>
    <t>Total Non-Interest Expenses:</t>
  </si>
  <si>
    <t>Pre-Tax Income:</t>
  </si>
  <si>
    <t>(-) Income Tax Expense / (+) Tax Benefit:</t>
  </si>
  <si>
    <t>Net Income to Common:</t>
  </si>
  <si>
    <t>Weighted Average Shares:</t>
  </si>
  <si>
    <t>M Shares</t>
  </si>
  <si>
    <t>Earnings Per Share (EPS):</t>
  </si>
  <si>
    <t>£ / Share</t>
  </si>
  <si>
    <t>Что делать с резервом?</t>
  </si>
  <si>
    <t>Other operating income</t>
  </si>
  <si>
    <t>(+) Gains from financial instruments and FX</t>
  </si>
  <si>
    <t>(+) Insurance premium earned</t>
  </si>
  <si>
    <t>(-) Claims incurred</t>
  </si>
  <si>
    <t>(+) Other operating income</t>
  </si>
  <si>
    <t>(-) Depreciation of right-of-use asset</t>
  </si>
  <si>
    <t>Net Income</t>
  </si>
  <si>
    <t>(-) Attributable to NCI</t>
  </si>
  <si>
    <t>Net income to common</t>
  </si>
  <si>
    <t>Dillutaed average shares</t>
  </si>
  <si>
    <t>Cash Flow Statement:</t>
  </si>
  <si>
    <t>Operating Activities:</t>
  </si>
  <si>
    <t>Reverse Income Tax Expense or Benefit:</t>
  </si>
  <si>
    <t>(-) Cash Taxes Paid &amp; Purchase of Tax Losses:</t>
  </si>
  <si>
    <t>Adjustments for Non-Cash Items:</t>
  </si>
  <si>
    <t>(+) Depreciation:</t>
  </si>
  <si>
    <t>(+) Amortization of Intangible Assets:</t>
  </si>
  <si>
    <t>(+) Provisions for Credit Losses:</t>
  </si>
  <si>
    <t>Changes in Operating Assets and Liabilities:</t>
  </si>
  <si>
    <t>Net Cash Flow from Operations:</t>
  </si>
  <si>
    <t>Investing Activities:</t>
  </si>
  <si>
    <t>(-) Net Purchases of PP&amp;E (CapEx):</t>
  </si>
  <si>
    <t>(-) Purchases of Intangible Assets:</t>
  </si>
  <si>
    <t>(-) Investments in Subsidiaries, Net of Cash:</t>
  </si>
  <si>
    <t>Net Cash Flow from Investing:</t>
  </si>
  <si>
    <t>Financing Activities:</t>
  </si>
  <si>
    <t>(+) Increase in Amounts Due to Banks:</t>
  </si>
  <si>
    <t>(+) Increase in Subordinated Notes:</t>
  </si>
  <si>
    <t>(+) Proceeds from Common Share Issuances:</t>
  </si>
  <si>
    <t>(-) Dividends Paid:</t>
  </si>
  <si>
    <t>Net Cash Flow from Financing:</t>
  </si>
  <si>
    <t>Net Change in Cash:</t>
  </si>
  <si>
    <t>Beginning Cash Balance:</t>
  </si>
  <si>
    <t>Ending Cash Balance:</t>
  </si>
  <si>
    <t>Ending Cash on Balance Sheet:</t>
  </si>
  <si>
    <t>Cash &amp; Cash-Equivalents:</t>
  </si>
  <si>
    <t>Matching Cash Check:</t>
  </si>
  <si>
    <t>(+) Increase in Debt issuance:</t>
  </si>
  <si>
    <t>div</t>
  </si>
  <si>
    <t>change</t>
  </si>
  <si>
    <t>b bf</t>
  </si>
  <si>
    <t>b cf</t>
  </si>
  <si>
    <t>changge</t>
  </si>
  <si>
    <t>(+) Change in NCI</t>
  </si>
  <si>
    <t>(+) Shares based expense</t>
  </si>
  <si>
    <t>(-) Change due to revaluation</t>
  </si>
  <si>
    <t>rev</t>
  </si>
  <si>
    <t>(-) Investment Securities - Available for Sale:</t>
  </si>
  <si>
    <t>(-) Mandatory Balances with Central Banks:</t>
  </si>
  <si>
    <t>(-) Loans and Advances to Customers:</t>
  </si>
  <si>
    <t>(-) Guarantee deposit</t>
  </si>
  <si>
    <t>(-) Other Assets:</t>
  </si>
  <si>
    <t>(+) Other Liabilities:</t>
  </si>
  <si>
    <t>(+) Customer Deposits: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</si>
</sst>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6" formatCode="yyyy\-mm\-dd"/>
    <numFmt numFmtId="167" formatCode="0.0%_);\(0.0%\);\-_%_);@_)"/>
    <numFmt numFmtId="168" formatCode="#,##0_);\(#,##0\);\-_);@_)"/>
    <numFmt numFmtId="169" formatCode="&quot;Yes&quot;_);;&quot;No&quot;_)"/>
    <numFmt numFmtId="170" formatCode="&quot;FY&quot;yy"/>
    <numFmt numFmtId="171" formatCode="0.00%_);\(0.00%\);\-_%_);@_)"/>
    <numFmt numFmtId="172" formatCode="_(\£* #,##0.0_);_(\£* \(#,##0.0\);_(\£* &quot;-&quot;??_);_(@_)"/>
    <numFmt numFmtId="173" formatCode="_(* #,##0.0_);_(* \(#,##0.0\);_(* &quot;-&quot;_);_(@_)"/>
    <numFmt numFmtId="174" formatCode="&quot;$&quot;#,##0.0_);\(&quot;$&quot;#,##0.0\);&quot;OK!&quot;;&quot;ERROR&quot;"/>
    <numFmt numFmtId="177" formatCode="_(\Р* #,##0.0_);_(\£* \(#,##0.0\);_(\£* &quot;-&quot;??_);_(@_)"/>
    <numFmt numFmtId="178" formatCode="_(\₽* #,##0.0_);_(\£* \(#,##0.0\);_(\£* &quot;-&quot;??_);_(@_)"/>
    <numFmt numFmtId="179" formatCode="yyyy"/>
    <numFmt numFmtId="180" formatCode="_(&quot;$&quot;* #,##0.0_);_(&quot;$&quot;* \(#,##0.0\);_(&quot;$&quot;* &quot;-&quot;_);_(@_)"/>
    <numFmt numFmtId="181" formatCode="#,##0.0_);\(#,##0.0\);\-_);@_)"/>
    <numFmt numFmtId="182" formatCode="_(\£* #,##0.00_);_(\£* \(#,##0.00\);_(\£* &quot;-&quot;??_);_(@_)"/>
    <numFmt numFmtId="186" formatCode="_-* #,##0.0_-;\-* #,##0.0_-;_-* &quot;-&quot;_-;_-@_-"/>
    <numFmt numFmtId="187" formatCode="&quot;$&quot;#,##0.000_);\(&quot;$&quot;#,##0.000\);&quot;OK!&quot;;&quot;ERROR&quot;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0" xfId="0" applyFont="1"/>
    <xf numFmtId="0" fontId="3" fillId="0" borderId="0" xfId="0" applyFont="1"/>
    <xf numFmtId="0" fontId="1" fillId="2" borderId="2" xfId="0" applyFont="1" applyFill="1" applyBorder="1"/>
    <xf numFmtId="0" fontId="6" fillId="3" borderId="1" xfId="0" applyFont="1" applyFill="1" applyBorder="1" applyAlignment="1">
      <alignment horizontal="centerContinuous"/>
    </xf>
    <xf numFmtId="0" fontId="3" fillId="4" borderId="2" xfId="0" applyFont="1" applyFill="1" applyBorder="1"/>
    <xf numFmtId="0" fontId="0" fillId="4" borderId="2" xfId="0" applyFill="1" applyBorder="1"/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164" fontId="6" fillId="3" borderId="3" xfId="0" applyNumberFormat="1" applyFont="1" applyFill="1" applyBorder="1"/>
    <xf numFmtId="166" fontId="6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center"/>
    </xf>
    <xf numFmtId="168" fontId="6" fillId="3" borderId="1" xfId="0" applyNumberFormat="1" applyFont="1" applyFill="1" applyBorder="1" applyAlignment="1">
      <alignment horizontal="center"/>
    </xf>
    <xf numFmtId="0" fontId="7" fillId="0" borderId="0" xfId="0" applyFont="1"/>
    <xf numFmtId="169" fontId="6" fillId="3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10" fillId="2" borderId="0" xfId="0" applyFont="1" applyFill="1"/>
    <xf numFmtId="0" fontId="1" fillId="2" borderId="4" xfId="0" applyFont="1" applyFill="1" applyBorder="1" applyAlignment="1">
      <alignment horizontal="centerContinuous"/>
    </xf>
    <xf numFmtId="0" fontId="1" fillId="2" borderId="5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170" fontId="1" fillId="5" borderId="2" xfId="0" applyNumberFormat="1" applyFont="1" applyFill="1" applyBorder="1" applyAlignment="1">
      <alignment horizontal="center"/>
    </xf>
    <xf numFmtId="170" fontId="1" fillId="5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71" fontId="11" fillId="0" borderId="0" xfId="0" applyNumberFormat="1" applyFont="1" applyAlignment="1">
      <alignment horizontal="right"/>
    </xf>
    <xf numFmtId="171" fontId="3" fillId="0" borderId="0" xfId="0" applyNumberFormat="1" applyFont="1" applyAlignment="1">
      <alignment horizontal="righ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right"/>
    </xf>
    <xf numFmtId="171" fontId="6" fillId="3" borderId="7" xfId="0" applyNumberFormat="1" applyFont="1" applyFill="1" applyBorder="1" applyAlignment="1">
      <alignment horizontal="right"/>
    </xf>
    <xf numFmtId="171" fontId="6" fillId="3" borderId="1" xfId="0" applyNumberFormat="1" applyFont="1" applyFill="1" applyBorder="1" applyAlignment="1">
      <alignment horizontal="right"/>
    </xf>
    <xf numFmtId="0" fontId="0" fillId="0" borderId="0" xfId="0" applyFont="1"/>
    <xf numFmtId="0" fontId="3" fillId="4" borderId="8" xfId="0" applyFont="1" applyFill="1" applyBorder="1" applyAlignment="1">
      <alignment horizontal="left"/>
    </xf>
    <xf numFmtId="0" fontId="0" fillId="4" borderId="8" xfId="0" applyFill="1" applyBorder="1" applyAlignment="1">
      <alignment horizontal="centerContinuous"/>
    </xf>
    <xf numFmtId="0" fontId="0" fillId="0" borderId="0" xfId="0" applyAlignment="1">
      <alignment horizontal="left"/>
    </xf>
    <xf numFmtId="172" fontId="6" fillId="0" borderId="0" xfId="0" applyNumberFormat="1" applyFont="1"/>
    <xf numFmtId="172" fontId="11" fillId="0" borderId="0" xfId="0" applyNumberFormat="1" applyFont="1"/>
    <xf numFmtId="172" fontId="12" fillId="0" borderId="0" xfId="0" applyNumberFormat="1" applyFont="1"/>
    <xf numFmtId="173" fontId="6" fillId="0" borderId="0" xfId="0" applyNumberFormat="1" applyFont="1"/>
    <xf numFmtId="173" fontId="11" fillId="0" borderId="0" xfId="0" applyNumberFormat="1" applyFont="1"/>
    <xf numFmtId="173" fontId="0" fillId="0" borderId="0" xfId="0" applyNumberFormat="1"/>
    <xf numFmtId="0" fontId="4" fillId="0" borderId="2" xfId="0" applyFont="1" applyBorder="1" applyAlignment="1">
      <alignment horizontal="center"/>
    </xf>
    <xf numFmtId="173" fontId="13" fillId="0" borderId="0" xfId="0" applyNumberFormat="1" applyFont="1"/>
    <xf numFmtId="0" fontId="3" fillId="0" borderId="9" xfId="0" applyFont="1" applyBorder="1" applyAlignment="1">
      <alignment horizontal="left"/>
    </xf>
    <xf numFmtId="173" fontId="14" fillId="0" borderId="9" xfId="0" applyNumberFormat="1" applyFont="1" applyBorder="1"/>
    <xf numFmtId="173" fontId="14" fillId="0" borderId="0" xfId="0" applyNumberFormat="1" applyFont="1"/>
    <xf numFmtId="172" fontId="3" fillId="0" borderId="0" xfId="0" applyNumberFormat="1" applyFont="1"/>
    <xf numFmtId="173" fontId="12" fillId="0" borderId="0" xfId="0" applyNumberFormat="1" applyFont="1"/>
    <xf numFmtId="0" fontId="3" fillId="0" borderId="9" xfId="0" applyFont="1" applyBorder="1"/>
    <xf numFmtId="43" fontId="0" fillId="0" borderId="0" xfId="0" applyNumberFormat="1"/>
    <xf numFmtId="0" fontId="12" fillId="0" borderId="0" xfId="0" applyFont="1"/>
    <xf numFmtId="174" fontId="0" fillId="0" borderId="0" xfId="0" applyNumberFormat="1"/>
    <xf numFmtId="174" fontId="3" fillId="0" borderId="0" xfId="0" applyNumberFormat="1" applyFont="1"/>
    <xf numFmtId="177" fontId="6" fillId="3" borderId="1" xfId="0" applyNumberFormat="1" applyFont="1" applyFill="1" applyBorder="1"/>
    <xf numFmtId="0" fontId="15" fillId="0" borderId="0" xfId="0" applyFont="1"/>
    <xf numFmtId="178" fontId="14" fillId="0" borderId="0" xfId="0" applyNumberFormat="1" applyFont="1"/>
    <xf numFmtId="173" fontId="3" fillId="0" borderId="9" xfId="0" applyNumberFormat="1" applyFont="1" applyBorder="1"/>
    <xf numFmtId="0" fontId="14" fillId="0" borderId="0" xfId="0" applyFont="1" applyAlignment="1">
      <alignment horizontal="left"/>
    </xf>
    <xf numFmtId="0" fontId="10" fillId="0" borderId="0" xfId="0" applyFont="1"/>
    <xf numFmtId="179" fontId="1" fillId="0" borderId="0" xfId="0" applyNumberFormat="1" applyFont="1" applyAlignment="1">
      <alignment horizontal="center"/>
    </xf>
    <xf numFmtId="179" fontId="1" fillId="0" borderId="9" xfId="0" applyNumberFormat="1" applyFont="1" applyBorder="1" applyAlignment="1">
      <alignment horizontal="center"/>
    </xf>
    <xf numFmtId="0" fontId="12" fillId="0" borderId="0" xfId="0" applyFont="1" applyAlignment="1">
      <alignment horizontal="left" indent="1"/>
    </xf>
    <xf numFmtId="172" fontId="14" fillId="0" borderId="0" xfId="0" applyNumberFormat="1" applyFont="1"/>
    <xf numFmtId="0" fontId="12" fillId="0" borderId="2" xfId="0" applyFont="1" applyBorder="1" applyAlignment="1">
      <alignment horizontal="left" indent="1"/>
    </xf>
    <xf numFmtId="173" fontId="12" fillId="0" borderId="2" xfId="0" applyNumberFormat="1" applyFont="1" applyBorder="1"/>
    <xf numFmtId="173" fontId="14" fillId="0" borderId="2" xfId="0" applyNumberFormat="1" applyFont="1" applyBorder="1"/>
    <xf numFmtId="180" fontId="0" fillId="0" borderId="0" xfId="0" applyNumberFormat="1"/>
    <xf numFmtId="173" fontId="6" fillId="0" borderId="2" xfId="0" applyNumberFormat="1" applyFont="1" applyBorder="1"/>
    <xf numFmtId="173" fontId="11" fillId="0" borderId="2" xfId="0" applyNumberFormat="1" applyFont="1" applyBorder="1"/>
    <xf numFmtId="181" fontId="0" fillId="0" borderId="0" xfId="0" applyNumberFormat="1"/>
    <xf numFmtId="181" fontId="0" fillId="0" borderId="2" xfId="0" applyNumberFormat="1" applyBorder="1"/>
    <xf numFmtId="173" fontId="16" fillId="0" borderId="0" xfId="0" applyNumberFormat="1" applyFont="1"/>
    <xf numFmtId="173" fontId="16" fillId="0" borderId="2" xfId="0" applyNumberFormat="1" applyFont="1" applyBorder="1"/>
    <xf numFmtId="164" fontId="16" fillId="0" borderId="0" xfId="0" applyNumberFormat="1" applyFont="1"/>
    <xf numFmtId="164" fontId="6" fillId="0" borderId="0" xfId="0" applyNumberFormat="1" applyFont="1"/>
    <xf numFmtId="164" fontId="11" fillId="0" borderId="0" xfId="0" applyNumberFormat="1" applyFont="1"/>
    <xf numFmtId="164" fontId="12" fillId="0" borderId="0" xfId="0" applyNumberFormat="1" applyFont="1"/>
    <xf numFmtId="182" fontId="14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Border="1"/>
    <xf numFmtId="173" fontId="14" fillId="0" borderId="0" xfId="0" applyNumberFormat="1" applyFont="1" applyBorder="1"/>
    <xf numFmtId="173" fontId="6" fillId="0" borderId="0" xfId="0" applyNumberFormat="1" applyFont="1" applyBorder="1"/>
    <xf numFmtId="173" fontId="0" fillId="0" borderId="0" xfId="0" applyNumberFormat="1" applyBorder="1"/>
    <xf numFmtId="172" fontId="12" fillId="0" borderId="0" xfId="0" applyNumberFormat="1" applyFont="1" applyBorder="1"/>
    <xf numFmtId="0" fontId="0" fillId="0" borderId="0" xfId="0" applyFont="1" applyBorder="1"/>
    <xf numFmtId="41" fontId="18" fillId="0" borderId="0" xfId="0" applyNumberFormat="1" applyFont="1"/>
    <xf numFmtId="186" fontId="14" fillId="0" borderId="9" xfId="0" applyNumberFormat="1" applyFont="1" applyBorder="1"/>
    <xf numFmtId="173" fontId="3" fillId="0" borderId="0" xfId="0" applyNumberFormat="1" applyFont="1"/>
    <xf numFmtId="42" fontId="0" fillId="0" borderId="0" xfId="0" applyNumberFormat="1"/>
    <xf numFmtId="173" fontId="16" fillId="0" borderId="9" xfId="0" applyNumberFormat="1" applyFont="1" applyBorder="1"/>
    <xf numFmtId="173" fontId="17" fillId="0" borderId="9" xfId="0" applyNumberFormat="1" applyFont="1" applyBorder="1"/>
    <xf numFmtId="187" fontId="0" fillId="0" borderId="0" xfId="0" applyNumberFormat="1"/>
    <xf numFmtId="187" fontId="3" fillId="0" borderId="0" xfId="0" applyNumberFormat="1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 indent="1"/>
    </xf>
    <xf numFmtId="173" fontId="6" fillId="6" borderId="0" xfId="0" applyNumberFormat="1" applyFont="1" applyFill="1"/>
    <xf numFmtId="164" fontId="0" fillId="0" borderId="0" xfId="0" applyNumberFormat="1"/>
    <xf numFmtId="0" fontId="0" fillId="4" borderId="0" xfId="0" applyFill="1" applyBorder="1" applyAlignment="1">
      <alignment horizontal="centerContinuous"/>
    </xf>
    <xf numFmtId="173" fontId="3" fillId="0" borderId="0" xfId="0" applyNumberFormat="1" applyFont="1" applyBorder="1"/>
    <xf numFmtId="164" fontId="0" fillId="6" borderId="0" xfId="0" applyNumberFormat="1" applyFill="1"/>
    <xf numFmtId="173" fontId="6" fillId="0" borderId="0" xfId="0" applyNumberFormat="1" applyFont="1" applyFill="1"/>
    <xf numFmtId="173" fontId="14" fillId="0" borderId="9" xfId="0" applyNumberFormat="1" applyFont="1" applyFill="1" applyBorder="1"/>
    <xf numFmtId="41" fontId="18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@InsightSquad%20Banks-02-17-Tweaking-Numbers-Af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@InsightSquad%20Banks-03-16-Valuation-Summary-Interpretation-Af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-Model"/>
      <sheetName val="Loans"/>
      <sheetName val="1H-Stub"/>
      <sheetName val="Capital"/>
      <sheetName val="Summary"/>
    </sheetNames>
    <sheetDataSet>
      <sheetData sheetId="0" refreshError="1"/>
      <sheetData sheetId="1">
        <row r="6">
          <cell r="D6" t="str">
            <v>Units:</v>
          </cell>
        </row>
        <row r="19">
          <cell r="C19" t="str">
            <v>Base</v>
          </cell>
        </row>
        <row r="20">
          <cell r="C20" t="str">
            <v>Upside</v>
          </cell>
        </row>
        <row r="21">
          <cell r="C21" t="str">
            <v>Downside</v>
          </cell>
        </row>
        <row r="65">
          <cell r="J65" t="str">
            <v>Projected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-Model"/>
      <sheetName val="Loans"/>
      <sheetName val="1H-Stub"/>
      <sheetName val="Capital"/>
      <sheetName val="Summary"/>
      <sheetName val="Val-Graph"/>
      <sheetName val="DDM"/>
      <sheetName val="Res-Inc"/>
      <sheetName val="Cost-Equity"/>
      <sheetName val="Regression"/>
      <sheetName val="Public-Comps"/>
      <sheetName val="Pub-Comps-Data"/>
      <sheetName val="MA-Comps"/>
      <sheetName val="Inputs"/>
    </sheetNames>
    <sheetDataSet>
      <sheetData sheetId="0"/>
      <sheetData sheetId="1">
        <row r="6">
          <cell r="D6" t="str">
            <v>Units:</v>
          </cell>
        </row>
        <row r="65">
          <cell r="J65" t="str">
            <v>Projected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2E2C-FFC0-45C0-9B09-6566333A71C3}">
  <dimension ref="B1:Q163"/>
  <sheetViews>
    <sheetView showGridLines="0" tabSelected="1" topLeftCell="A122" workbookViewId="0">
      <selection activeCell="F100" sqref="F100"/>
    </sheetView>
  </sheetViews>
  <sheetFormatPr defaultRowHeight="15" x14ac:dyDescent="0.25"/>
  <cols>
    <col min="3" max="3" width="43.5703125" customWidth="1"/>
    <col min="4" max="4" width="14.28515625" customWidth="1"/>
    <col min="5" max="5" width="11.5703125" customWidth="1"/>
    <col min="6" max="7" width="15.28515625" bestFit="1" customWidth="1"/>
    <col min="9" max="11" width="11.5703125" bestFit="1" customWidth="1"/>
    <col min="14" max="14" width="10.5703125" bestFit="1" customWidth="1"/>
  </cols>
  <sheetData>
    <row r="1" spans="2:14" x14ac:dyDescent="0.25">
      <c r="D1" s="1"/>
    </row>
    <row r="2" spans="2:14" x14ac:dyDescent="0.25">
      <c r="B2" s="2" t="str">
        <f>Company_Name&amp;" - Model - "&amp;Scenario&amp;" Case"</f>
        <v>TCS Group Holding PLC - Model - Base Case</v>
      </c>
    </row>
    <row r="3" spans="2:14" x14ac:dyDescent="0.25">
      <c r="B3" s="31" t="s">
        <v>23</v>
      </c>
    </row>
    <row r="5" spans="2:14" x14ac:dyDescent="0.25">
      <c r="B5" s="3" t="s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2:14" x14ac:dyDescent="0.25">
      <c r="D6" s="1"/>
    </row>
    <row r="7" spans="2:14" x14ac:dyDescent="0.25">
      <c r="C7" t="s">
        <v>1</v>
      </c>
      <c r="D7" s="4" t="s">
        <v>46</v>
      </c>
      <c r="E7" s="4"/>
      <c r="G7" s="5" t="s">
        <v>2</v>
      </c>
      <c r="H7" s="6"/>
      <c r="I7" s="6"/>
      <c r="J7" s="6"/>
    </row>
    <row r="8" spans="2:14" x14ac:dyDescent="0.25">
      <c r="C8" t="s">
        <v>3</v>
      </c>
      <c r="D8" s="7" t="s">
        <v>18</v>
      </c>
      <c r="G8" s="8" t="s">
        <v>4</v>
      </c>
      <c r="J8" s="9">
        <v>197.60400000000001</v>
      </c>
    </row>
    <row r="9" spans="2:14" x14ac:dyDescent="0.25">
      <c r="G9" s="8" t="s">
        <v>5</v>
      </c>
      <c r="J9" s="53">
        <v>2366.1999999999998</v>
      </c>
    </row>
    <row r="10" spans="2:14" x14ac:dyDescent="0.25">
      <c r="C10" t="s">
        <v>6</v>
      </c>
      <c r="D10" s="10">
        <v>44196</v>
      </c>
    </row>
    <row r="11" spans="2:14" x14ac:dyDescent="0.25">
      <c r="C11" t="s">
        <v>7</v>
      </c>
      <c r="D11" s="10">
        <v>44196</v>
      </c>
      <c r="G11" t="s">
        <v>8</v>
      </c>
    </row>
    <row r="12" spans="2:14" x14ac:dyDescent="0.25">
      <c r="C12" t="s">
        <v>9</v>
      </c>
      <c r="D12" s="10">
        <v>44196</v>
      </c>
      <c r="G12" t="s">
        <v>10</v>
      </c>
    </row>
    <row r="13" spans="2:14" x14ac:dyDescent="0.25">
      <c r="C13" s="2"/>
      <c r="G13" t="s">
        <v>11</v>
      </c>
    </row>
    <row r="14" spans="2:14" x14ac:dyDescent="0.25">
      <c r="C14" t="s">
        <v>12</v>
      </c>
      <c r="D14" s="11">
        <v>0.13</v>
      </c>
    </row>
    <row r="15" spans="2:14" x14ac:dyDescent="0.25">
      <c r="C15" t="s">
        <v>13</v>
      </c>
      <c r="D15" s="11">
        <v>0.2</v>
      </c>
    </row>
    <row r="16" spans="2:14" x14ac:dyDescent="0.25">
      <c r="C16" s="2"/>
    </row>
    <row r="17" spans="2:16" x14ac:dyDescent="0.25">
      <c r="C17" t="s">
        <v>14</v>
      </c>
      <c r="D17" s="12">
        <v>1000</v>
      </c>
      <c r="I17" s="2"/>
    </row>
    <row r="18" spans="2:16" x14ac:dyDescent="0.25">
      <c r="C18" s="2"/>
      <c r="E18" s="13"/>
      <c r="I18" s="2"/>
    </row>
    <row r="19" spans="2:16" x14ac:dyDescent="0.25">
      <c r="C19" t="s">
        <v>15</v>
      </c>
      <c r="D19" s="12" t="s">
        <v>16</v>
      </c>
      <c r="I19" s="2"/>
    </row>
    <row r="20" spans="2:16" x14ac:dyDescent="0.25">
      <c r="C20" t="s">
        <v>17</v>
      </c>
      <c r="D20" s="14">
        <v>1</v>
      </c>
      <c r="I20" s="2"/>
    </row>
    <row r="22" spans="2:16" x14ac:dyDescent="0.25">
      <c r="B22" s="15" t="s">
        <v>19</v>
      </c>
      <c r="C22" s="15"/>
      <c r="D22" s="16"/>
      <c r="E22" s="17"/>
      <c r="F22" s="17"/>
      <c r="G22" s="17"/>
      <c r="H22" s="18" t="str">
        <f>+[1]Loans!$J$65</f>
        <v>Projected</v>
      </c>
      <c r="I22" s="17"/>
      <c r="J22" s="17"/>
      <c r="K22" s="17"/>
      <c r="L22" s="17"/>
    </row>
    <row r="23" spans="2:16" x14ac:dyDescent="0.25">
      <c r="B23" s="19" t="s">
        <v>20</v>
      </c>
      <c r="C23" s="19"/>
      <c r="D23" s="20" t="str">
        <f>+[1]Loans!$D$6</f>
        <v>Units:</v>
      </c>
      <c r="E23" s="21">
        <f>EOMONTH(F23,-12)</f>
        <v>43465</v>
      </c>
      <c r="F23" s="21">
        <f>EOMONTH(G23,-12)</f>
        <v>43830</v>
      </c>
      <c r="G23" s="22">
        <f>D10</f>
        <v>44196</v>
      </c>
      <c r="H23" s="21">
        <f>EOMONTH(G23,12)</f>
        <v>44561</v>
      </c>
      <c r="I23" s="21">
        <f t="shared" ref="I23:L23" si="0">EOMONTH(H23,12)</f>
        <v>44926</v>
      </c>
      <c r="J23" s="21">
        <f t="shared" si="0"/>
        <v>45291</v>
      </c>
      <c r="K23" s="21">
        <f t="shared" si="0"/>
        <v>45657</v>
      </c>
      <c r="L23" s="21">
        <f t="shared" si="0"/>
        <v>46022</v>
      </c>
    </row>
    <row r="24" spans="2:16" x14ac:dyDescent="0.25">
      <c r="C24" s="23" t="s">
        <v>21</v>
      </c>
      <c r="D24" s="24" t="s">
        <v>22</v>
      </c>
      <c r="E24" s="25">
        <v>4.7000000000000002E-3</v>
      </c>
      <c r="F24" s="25">
        <v>2.7499999999999998E-3</v>
      </c>
      <c r="G24" s="25">
        <v>2.3E-3</v>
      </c>
      <c r="H24" s="26">
        <f>INDEX(H25:H27,MATCH(Scenario,$C25:$C27,0))</f>
        <v>3.5000000000000001E-3</v>
      </c>
      <c r="I24" s="26">
        <f>INDEX(I25:I27,MATCH(Scenario,$C25:$C27,0))</f>
        <v>6.4999999999999997E-3</v>
      </c>
      <c r="J24" s="26">
        <f>INDEX(J25:J27,MATCH(Scenario,$C25:$C27,0))</f>
        <v>8.5000000000000006E-3</v>
      </c>
      <c r="K24" s="26">
        <f>INDEX(K25:K27,MATCH(Scenario,$C25:$C27,0))</f>
        <v>1.0500000000000001E-2</v>
      </c>
      <c r="L24" s="26">
        <f>INDEX(L25:L27,MATCH(Scenario,$C25:$C27,0))</f>
        <v>1.35E-2</v>
      </c>
    </row>
    <row r="25" spans="2:16" x14ac:dyDescent="0.25">
      <c r="C25" s="27" t="str">
        <f>+[1]Loans!$C$19</f>
        <v>Base</v>
      </c>
      <c r="D25" s="24" t="s">
        <v>22</v>
      </c>
      <c r="E25" s="28"/>
      <c r="F25" s="28"/>
      <c r="G25" s="28"/>
      <c r="H25" s="29">
        <v>3.5000000000000001E-3</v>
      </c>
      <c r="I25" s="29">
        <v>6.4999999999999997E-3</v>
      </c>
      <c r="J25" s="29">
        <v>8.5000000000000006E-3</v>
      </c>
      <c r="K25" s="29">
        <v>1.0500000000000001E-2</v>
      </c>
      <c r="L25" s="29">
        <v>1.35E-2</v>
      </c>
    </row>
    <row r="26" spans="2:16" x14ac:dyDescent="0.25">
      <c r="C26" s="27" t="str">
        <f>+[1]Loans!$C$20</f>
        <v>Upside</v>
      </c>
      <c r="D26" s="24" t="s">
        <v>22</v>
      </c>
      <c r="E26" s="28"/>
      <c r="F26" s="28"/>
      <c r="G26" s="28"/>
      <c r="H26" s="29">
        <v>5.0000000000000001E-3</v>
      </c>
      <c r="I26" s="29">
        <v>8.5000000000000006E-3</v>
      </c>
      <c r="J26" s="29">
        <v>1.0500000000000001E-2</v>
      </c>
      <c r="K26" s="29">
        <v>1.2500000000000001E-2</v>
      </c>
      <c r="L26" s="29">
        <v>1.55E-2</v>
      </c>
    </row>
    <row r="27" spans="2:16" x14ac:dyDescent="0.25">
      <c r="C27" s="27" t="str">
        <f>+[1]Loans!$C$21</f>
        <v>Downside</v>
      </c>
      <c r="D27" s="24" t="s">
        <v>22</v>
      </c>
      <c r="E27" s="28"/>
      <c r="F27" s="28"/>
      <c r="G27" s="28"/>
      <c r="H27" s="30">
        <v>3.0000000000000001E-3</v>
      </c>
      <c r="I27" s="30">
        <v>4.4999999999999997E-3</v>
      </c>
      <c r="J27" s="30">
        <v>6.4999999999999997E-3</v>
      </c>
      <c r="K27" s="30">
        <v>8.5000000000000006E-3</v>
      </c>
      <c r="L27" s="30">
        <v>1.0500000000000001E-2</v>
      </c>
    </row>
    <row r="29" spans="2:16" x14ac:dyDescent="0.25">
      <c r="B29" s="15"/>
      <c r="C29" s="15"/>
      <c r="D29" s="16"/>
      <c r="E29" s="17" t="s">
        <v>45</v>
      </c>
      <c r="F29" s="17"/>
      <c r="G29" s="17"/>
      <c r="H29" s="18" t="str">
        <f>+[1]Loans!$J$65</f>
        <v>Projected</v>
      </c>
      <c r="I29" s="17"/>
      <c r="J29" s="17"/>
      <c r="K29" s="17"/>
      <c r="L29" s="17"/>
    </row>
    <row r="30" spans="2:16" x14ac:dyDescent="0.25">
      <c r="B30" s="19" t="s">
        <v>24</v>
      </c>
      <c r="C30" s="19"/>
      <c r="D30" s="20" t="str">
        <f>+[1]Loans!$D$6</f>
        <v>Units:</v>
      </c>
      <c r="E30" s="21">
        <f>E23</f>
        <v>43465</v>
      </c>
      <c r="F30" s="21">
        <f>F23</f>
        <v>43830</v>
      </c>
      <c r="G30" s="22">
        <f>G23</f>
        <v>44196</v>
      </c>
      <c r="H30" s="21">
        <f>H23</f>
        <v>44561</v>
      </c>
      <c r="I30" s="21">
        <f t="shared" ref="I30:L30" si="1">I23</f>
        <v>44926</v>
      </c>
      <c r="J30" s="21">
        <f t="shared" si="1"/>
        <v>45291</v>
      </c>
      <c r="K30" s="21">
        <f t="shared" si="1"/>
        <v>45657</v>
      </c>
      <c r="L30" s="21">
        <f t="shared" si="1"/>
        <v>46022</v>
      </c>
    </row>
    <row r="31" spans="2:16" x14ac:dyDescent="0.25">
      <c r="B31" s="32" t="s">
        <v>25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spans="2:16" x14ac:dyDescent="0.25">
      <c r="C32" s="34" t="s">
        <v>26</v>
      </c>
      <c r="D32" s="24" t="s">
        <v>51</v>
      </c>
      <c r="E32" s="38">
        <v>33802</v>
      </c>
      <c r="F32" s="38">
        <v>55564</v>
      </c>
      <c r="G32" s="38">
        <v>136351</v>
      </c>
      <c r="H32" s="37" t="e">
        <f>+H$285*#REF!</f>
        <v>#REF!</v>
      </c>
      <c r="I32" s="37" t="e">
        <f t="shared" ref="I32:L32" si="2">+I$285*#REF!</f>
        <v>#REF!</v>
      </c>
      <c r="J32" s="37" t="e">
        <f t="shared" ref="J32:L32" si="3">+J$285*#REF!</f>
        <v>#REF!</v>
      </c>
      <c r="K32" s="37" t="e">
        <f t="shared" ref="K32:L32" si="4">+K$285*#REF!</f>
        <v>#REF!</v>
      </c>
      <c r="L32" s="37" t="e">
        <f t="shared" ref="L32" si="5">+L$285*#REF!</f>
        <v>#REF!</v>
      </c>
      <c r="P32" s="54"/>
    </row>
    <row r="33" spans="2:17" x14ac:dyDescent="0.25">
      <c r="C33" s="34" t="s">
        <v>47</v>
      </c>
      <c r="D33" s="24" t="s">
        <v>51</v>
      </c>
      <c r="E33" s="95">
        <v>2435</v>
      </c>
      <c r="F33" s="95">
        <v>3448</v>
      </c>
      <c r="G33" s="38">
        <v>5379</v>
      </c>
      <c r="H33" s="37"/>
      <c r="I33" s="37"/>
      <c r="J33" s="37"/>
      <c r="K33" s="37"/>
      <c r="L33" s="37"/>
    </row>
    <row r="34" spans="2:17" x14ac:dyDescent="0.25">
      <c r="C34" s="34" t="s">
        <v>48</v>
      </c>
      <c r="D34" s="24" t="s">
        <v>51</v>
      </c>
      <c r="E34" s="38">
        <v>776</v>
      </c>
      <c r="F34" s="38">
        <v>2084</v>
      </c>
      <c r="G34" s="38">
        <v>1887</v>
      </c>
      <c r="H34" s="37"/>
      <c r="I34" s="37"/>
      <c r="J34" s="37"/>
      <c r="K34" s="37"/>
      <c r="L34" s="37"/>
    </row>
    <row r="35" spans="2:17" ht="15.75" x14ac:dyDescent="0.25">
      <c r="C35" s="93" t="s">
        <v>28</v>
      </c>
      <c r="D35" s="24"/>
      <c r="E35" s="38">
        <f>-E36+E37</f>
        <v>234710</v>
      </c>
      <c r="F35" s="38">
        <f>-F36+F37</f>
        <v>383912</v>
      </c>
      <c r="G35" s="38">
        <f>-G36+G37</f>
        <v>447421</v>
      </c>
      <c r="H35" s="37"/>
      <c r="I35" s="37">
        <f>F35-E35</f>
        <v>149202</v>
      </c>
      <c r="J35" s="37"/>
      <c r="K35" s="37">
        <f>I35-I38</f>
        <v>157237</v>
      </c>
      <c r="L35" s="37"/>
      <c r="N35" s="40"/>
    </row>
    <row r="36" spans="2:17" ht="15.75" x14ac:dyDescent="0.25">
      <c r="C36" s="94" t="s">
        <v>29</v>
      </c>
      <c r="D36" s="24"/>
      <c r="E36" s="38">
        <v>-36221</v>
      </c>
      <c r="F36" s="38">
        <v>-54737</v>
      </c>
      <c r="G36" s="38">
        <v>-70900</v>
      </c>
      <c r="H36" s="37"/>
      <c r="I36" s="37">
        <f>F36-E36</f>
        <v>-18516</v>
      </c>
      <c r="J36" s="37"/>
      <c r="K36" s="37"/>
      <c r="L36" s="37"/>
      <c r="N36" s="96"/>
    </row>
    <row r="37" spans="2:17" x14ac:dyDescent="0.25">
      <c r="C37" s="23" t="s">
        <v>49</v>
      </c>
      <c r="D37" s="24" t="s">
        <v>51</v>
      </c>
      <c r="E37" s="38">
        <v>198489</v>
      </c>
      <c r="F37" s="38">
        <v>329175</v>
      </c>
      <c r="G37" s="38">
        <v>376521</v>
      </c>
      <c r="H37" s="37"/>
      <c r="I37" s="37">
        <f>I35-I36</f>
        <v>167718</v>
      </c>
      <c r="J37" s="37"/>
      <c r="K37" s="37"/>
      <c r="L37" s="37"/>
      <c r="N37" s="105"/>
      <c r="Q37" s="54" t="s">
        <v>50</v>
      </c>
    </row>
    <row r="38" spans="2:17" x14ac:dyDescent="0.25">
      <c r="C38" s="34" t="s">
        <v>52</v>
      </c>
      <c r="D38" s="24" t="s">
        <v>51</v>
      </c>
      <c r="E38" s="95">
        <v>100140</v>
      </c>
      <c r="F38" s="95">
        <v>135178</v>
      </c>
      <c r="G38" s="38">
        <v>238454</v>
      </c>
      <c r="H38" s="37"/>
      <c r="I38" s="37">
        <f>F91-I36</f>
        <v>-8035</v>
      </c>
      <c r="J38" s="37"/>
      <c r="K38" s="37"/>
      <c r="L38" s="37"/>
      <c r="N38" s="40"/>
    </row>
    <row r="39" spans="2:17" x14ac:dyDescent="0.25">
      <c r="C39" s="34" t="s">
        <v>53</v>
      </c>
      <c r="D39" s="24" t="s">
        <v>51</v>
      </c>
      <c r="E39" s="95">
        <v>4603</v>
      </c>
      <c r="F39" s="95">
        <v>8877</v>
      </c>
      <c r="G39" s="38">
        <v>15475</v>
      </c>
      <c r="H39" s="37"/>
      <c r="I39" s="37">
        <f>I37-I38</f>
        <v>175753</v>
      </c>
      <c r="J39" s="37"/>
      <c r="K39" s="37"/>
      <c r="L39" s="37"/>
    </row>
    <row r="40" spans="2:17" x14ac:dyDescent="0.25">
      <c r="C40" s="34" t="s">
        <v>54</v>
      </c>
      <c r="D40" s="24" t="s">
        <v>51</v>
      </c>
      <c r="E40" s="38">
        <v>8369</v>
      </c>
      <c r="F40" s="38">
        <v>10560</v>
      </c>
      <c r="G40" s="38">
        <v>10481</v>
      </c>
      <c r="H40" s="37"/>
      <c r="I40" s="37"/>
      <c r="J40" s="37"/>
      <c r="K40" s="37"/>
      <c r="L40" s="37"/>
    </row>
    <row r="41" spans="2:17" x14ac:dyDescent="0.25">
      <c r="C41" s="34" t="s">
        <v>55</v>
      </c>
      <c r="D41" s="24" t="s">
        <v>51</v>
      </c>
      <c r="E41" s="38">
        <v>4223</v>
      </c>
      <c r="F41" s="38">
        <v>5435</v>
      </c>
      <c r="G41" s="38">
        <v>7082</v>
      </c>
      <c r="H41" s="37"/>
      <c r="I41" s="37"/>
      <c r="J41" s="83"/>
      <c r="K41" s="37"/>
      <c r="L41" s="37"/>
    </row>
    <row r="42" spans="2:17" x14ac:dyDescent="0.25">
      <c r="C42" s="34" t="s">
        <v>56</v>
      </c>
      <c r="D42" s="24" t="s">
        <v>51</v>
      </c>
      <c r="E42" s="38">
        <v>1104</v>
      </c>
      <c r="F42" s="38">
        <f>815+1517</f>
        <v>2332</v>
      </c>
      <c r="G42" s="38">
        <f>3133+947</f>
        <v>4080</v>
      </c>
      <c r="H42" s="37"/>
      <c r="I42" s="37"/>
      <c r="J42" s="37"/>
      <c r="K42" s="37"/>
      <c r="L42" s="37"/>
      <c r="O42">
        <v>1</v>
      </c>
      <c r="P42">
        <v>2</v>
      </c>
    </row>
    <row r="43" spans="2:17" x14ac:dyDescent="0.25">
      <c r="C43" s="34" t="s">
        <v>57</v>
      </c>
      <c r="D43" s="24" t="s">
        <v>51</v>
      </c>
      <c r="E43" s="38">
        <f>3024+15642+1182+1710</f>
        <v>21558</v>
      </c>
      <c r="F43" s="38">
        <f>21673+2510+2799+390</f>
        <v>27372</v>
      </c>
      <c r="G43" s="38">
        <f>3386+31070+24064+29+5035</f>
        <v>63584</v>
      </c>
      <c r="H43" s="37"/>
      <c r="I43" s="37"/>
      <c r="J43" s="37"/>
      <c r="K43" s="37"/>
      <c r="L43" s="37"/>
      <c r="O43">
        <v>1</v>
      </c>
      <c r="P43">
        <v>1</v>
      </c>
    </row>
    <row r="44" spans="2:17" x14ac:dyDescent="0.25">
      <c r="C44" s="34"/>
      <c r="D44" s="1"/>
      <c r="E44" s="81"/>
      <c r="F44" s="81"/>
      <c r="G44" s="81"/>
      <c r="H44" s="82"/>
      <c r="I44" s="40"/>
      <c r="J44" s="40"/>
      <c r="K44" s="40"/>
      <c r="L44" s="40"/>
      <c r="O44">
        <v>1</v>
      </c>
      <c r="P44">
        <v>1</v>
      </c>
    </row>
    <row r="45" spans="2:17" x14ac:dyDescent="0.25">
      <c r="C45" s="2" t="s">
        <v>30</v>
      </c>
      <c r="D45" s="24" t="s">
        <v>51</v>
      </c>
      <c r="E45" s="80">
        <f>SUM(E37:E44,E32:E34)</f>
        <v>375499</v>
      </c>
      <c r="F45" s="80">
        <f t="shared" ref="F45:G45" si="6">SUM(F37:F44,F32:F34)</f>
        <v>580025</v>
      </c>
      <c r="G45" s="80">
        <f t="shared" si="6"/>
        <v>859294</v>
      </c>
      <c r="H45" s="55" t="e">
        <f>SUM(H32:H44)</f>
        <v>#REF!</v>
      </c>
      <c r="I45" s="55" t="e">
        <f>SUM(I32:I44)</f>
        <v>#REF!</v>
      </c>
      <c r="J45" s="55" t="e">
        <f>SUM(J32:J44)</f>
        <v>#REF!</v>
      </c>
      <c r="K45" s="55" t="e">
        <f>SUM(K32:K44)</f>
        <v>#REF!</v>
      </c>
      <c r="L45" s="55" t="e">
        <f>SUM(L32:L44)</f>
        <v>#REF!</v>
      </c>
      <c r="O45">
        <v>1</v>
      </c>
      <c r="P45">
        <v>2</v>
      </c>
    </row>
    <row r="46" spans="2:17" x14ac:dyDescent="0.25">
      <c r="C46" s="2"/>
      <c r="D46" s="1"/>
      <c r="E46" s="46"/>
      <c r="F46" s="46"/>
      <c r="G46" s="46"/>
      <c r="H46" s="46"/>
      <c r="I46" s="46"/>
      <c r="J46" s="46"/>
      <c r="K46" s="46"/>
      <c r="L46" s="46"/>
    </row>
    <row r="47" spans="2:17" x14ac:dyDescent="0.25">
      <c r="B47" s="32" t="s">
        <v>31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P47">
        <v>1</v>
      </c>
    </row>
    <row r="48" spans="2:17" x14ac:dyDescent="0.25">
      <c r="C48" s="2" t="s">
        <v>32</v>
      </c>
      <c r="D48" s="1"/>
    </row>
    <row r="49" spans="3:14" x14ac:dyDescent="0.25">
      <c r="C49" s="8" t="s">
        <v>33</v>
      </c>
      <c r="D49" s="24" t="s">
        <v>51</v>
      </c>
      <c r="E49" s="35">
        <v>280916</v>
      </c>
      <c r="F49" s="35">
        <v>411614</v>
      </c>
      <c r="G49" s="36">
        <v>626837</v>
      </c>
      <c r="H49" s="37" t="e">
        <f>+#REF!/#REF!</f>
        <v>#REF!</v>
      </c>
      <c r="I49" s="37" t="e">
        <f>+#REF!/#REF!</f>
        <v>#REF!</v>
      </c>
      <c r="J49" s="37" t="e">
        <f>+#REF!/#REF!</f>
        <v>#REF!</v>
      </c>
      <c r="K49" s="37" t="e">
        <f>+#REF!/#REF!</f>
        <v>#REF!</v>
      </c>
      <c r="L49" s="37" t="e">
        <f>+#REF!/#REF!</f>
        <v>#REF!</v>
      </c>
    </row>
    <row r="50" spans="3:14" x14ac:dyDescent="0.25">
      <c r="C50" s="8" t="s">
        <v>34</v>
      </c>
      <c r="D50" s="24" t="s">
        <v>51</v>
      </c>
      <c r="E50" s="38">
        <v>2708</v>
      </c>
      <c r="F50" s="38">
        <v>23</v>
      </c>
      <c r="G50" s="39">
        <v>4819</v>
      </c>
      <c r="H50" s="47" t="e">
        <f>+G50+#REF!</f>
        <v>#REF!</v>
      </c>
      <c r="I50" s="47" t="e">
        <f t="shared" ref="I50" si="7">+H50+#REF!</f>
        <v>#REF!</v>
      </c>
      <c r="J50" s="47" t="e">
        <f t="shared" ref="J50" si="8">+I50+#REF!</f>
        <v>#REF!</v>
      </c>
      <c r="K50" s="47" t="e">
        <f t="shared" ref="K50" si="9">+J50+#REF!</f>
        <v>#REF!</v>
      </c>
      <c r="L50" s="47" t="e">
        <f t="shared" ref="L50" si="10">+K50+#REF!</f>
        <v>#REF!</v>
      </c>
    </row>
    <row r="51" spans="3:14" x14ac:dyDescent="0.25">
      <c r="C51" s="8" t="s">
        <v>35</v>
      </c>
      <c r="D51" s="24" t="s">
        <v>51</v>
      </c>
      <c r="E51" s="38">
        <v>20644</v>
      </c>
      <c r="F51" s="38">
        <v>18487</v>
      </c>
      <c r="G51" s="39">
        <v>20755</v>
      </c>
      <c r="H51" s="47" t="e">
        <f>+G51+#REF!+H101</f>
        <v>#REF!</v>
      </c>
      <c r="I51" s="47" t="e">
        <f>+H51+#REF!+I101</f>
        <v>#REF!</v>
      </c>
      <c r="J51" s="47" t="e">
        <f>+I51+#REF!+J101</f>
        <v>#REF!</v>
      </c>
      <c r="K51" s="47" t="e">
        <f>+J51+#REF!+K101</f>
        <v>#REF!</v>
      </c>
      <c r="L51" s="47" t="e">
        <f>+K51+#REF!+L101</f>
        <v>#REF!</v>
      </c>
    </row>
    <row r="52" spans="3:14" x14ac:dyDescent="0.25">
      <c r="C52" s="8" t="s">
        <v>58</v>
      </c>
      <c r="D52" s="24" t="s">
        <v>51</v>
      </c>
      <c r="E52" s="38">
        <v>9605</v>
      </c>
      <c r="F52" s="38">
        <v>26078</v>
      </c>
      <c r="G52" s="39">
        <v>23910</v>
      </c>
      <c r="H52" s="40" t="e">
        <f>+H$272*#REF!</f>
        <v>#REF!</v>
      </c>
      <c r="I52" s="40" t="e">
        <f t="shared" ref="I52:L52" si="11">+I$272*#REF!</f>
        <v>#REF!</v>
      </c>
      <c r="J52" s="40" t="e">
        <f t="shared" ref="J52:L52" si="12">+J$272*#REF!</f>
        <v>#REF!</v>
      </c>
      <c r="K52" s="40" t="e">
        <f t="shared" ref="K52:L52" si="13">+K$272*#REF!</f>
        <v>#REF!</v>
      </c>
      <c r="L52" s="40" t="e">
        <f t="shared" ref="L52" si="14">+L$272*#REF!</f>
        <v>#REF!</v>
      </c>
    </row>
    <row r="53" spans="3:14" x14ac:dyDescent="0.25">
      <c r="C53" s="8" t="s">
        <v>36</v>
      </c>
      <c r="D53" s="41" t="s">
        <v>51</v>
      </c>
      <c r="E53" s="38">
        <f>3+51+1821+2859+11201+3441</f>
        <v>19376</v>
      </c>
      <c r="F53" s="38">
        <f>4874+14648+6280+142+1207+590</f>
        <v>27741</v>
      </c>
      <c r="G53" s="39">
        <f>109+5905+34337+6067+333+9206</f>
        <v>55957</v>
      </c>
      <c r="H53" s="47" t="e">
        <f t="shared" ref="H53:L53" si="15">+H$272*#REF!</f>
        <v>#REF!</v>
      </c>
      <c r="I53" s="47" t="e">
        <f t="shared" ref="I53:L53" si="16">+I$272*#REF!</f>
        <v>#REF!</v>
      </c>
      <c r="J53" s="47" t="e">
        <f t="shared" ref="J53:L53" si="17">+J$272*#REF!</f>
        <v>#REF!</v>
      </c>
      <c r="K53" s="47" t="e">
        <f t="shared" ref="K53:L53" si="18">+K$272*#REF!</f>
        <v>#REF!</v>
      </c>
      <c r="L53" s="47" t="e">
        <f t="shared" ref="L53" si="19">+L$272*#REF!</f>
        <v>#REF!</v>
      </c>
    </row>
    <row r="54" spans="3:14" x14ac:dyDescent="0.25">
      <c r="C54" s="48" t="s">
        <v>37</v>
      </c>
      <c r="D54" s="24" t="s">
        <v>51</v>
      </c>
      <c r="E54" s="44">
        <f t="shared" ref="E54:H54" si="20">SUM(E49:E53)</f>
        <v>333249</v>
      </c>
      <c r="F54" s="44">
        <f t="shared" si="20"/>
        <v>483943</v>
      </c>
      <c r="G54" s="44">
        <f t="shared" si="20"/>
        <v>732278</v>
      </c>
      <c r="H54" s="44" t="e">
        <f t="shared" si="20"/>
        <v>#REF!</v>
      </c>
      <c r="I54" s="44" t="e">
        <f t="shared" ref="I54:L54" si="21">SUM(I49:I53)</f>
        <v>#REF!</v>
      </c>
      <c r="J54" s="44" t="e">
        <f t="shared" si="21"/>
        <v>#REF!</v>
      </c>
      <c r="K54" s="44" t="e">
        <f t="shared" si="21"/>
        <v>#REF!</v>
      </c>
      <c r="L54" s="44" t="e">
        <f t="shared" si="21"/>
        <v>#REF!</v>
      </c>
    </row>
    <row r="55" spans="3:14" x14ac:dyDescent="0.25">
      <c r="C55" s="2"/>
      <c r="D55" s="1"/>
      <c r="G55" s="49"/>
      <c r="H55" s="50"/>
      <c r="I55" s="50"/>
      <c r="J55" s="50"/>
      <c r="K55" s="50"/>
      <c r="L55" s="50"/>
    </row>
    <row r="56" spans="3:14" x14ac:dyDescent="0.25">
      <c r="C56" s="2" t="s">
        <v>38</v>
      </c>
      <c r="D56" s="1"/>
      <c r="H56" s="50"/>
      <c r="I56" s="50"/>
      <c r="J56" s="50"/>
      <c r="K56" s="50"/>
      <c r="L56" s="50"/>
    </row>
    <row r="57" spans="3:14" x14ac:dyDescent="0.25">
      <c r="C57" s="8" t="s">
        <v>39</v>
      </c>
      <c r="D57" s="24" t="s">
        <v>51</v>
      </c>
      <c r="E57" s="38">
        <f>188+8623</f>
        <v>8811</v>
      </c>
      <c r="F57" s="39">
        <f>230+26998</f>
        <v>27228</v>
      </c>
      <c r="G57" s="39">
        <f>230+26998</f>
        <v>27228</v>
      </c>
      <c r="H57" s="47" t="e">
        <f>+G57+H100+H102</f>
        <v>#REF!</v>
      </c>
      <c r="I57" s="47" t="e">
        <f>+H57+I100+I102</f>
        <v>#REF!</v>
      </c>
      <c r="J57" s="47" t="e">
        <f>+I57+J100+J102</f>
        <v>#REF!</v>
      </c>
      <c r="K57" s="47" t="e">
        <f>+J57+K100+K102</f>
        <v>#REF!</v>
      </c>
      <c r="L57" s="47" t="e">
        <f>+K57+L100+L102</f>
        <v>#REF!</v>
      </c>
    </row>
    <row r="58" spans="3:14" x14ac:dyDescent="0.25">
      <c r="C58" s="8" t="s">
        <v>59</v>
      </c>
      <c r="D58" s="24"/>
      <c r="E58" s="38">
        <v>-3670</v>
      </c>
      <c r="F58" s="38">
        <v>-3164</v>
      </c>
      <c r="G58" s="39">
        <v>-3238</v>
      </c>
      <c r="H58" s="47"/>
      <c r="I58" s="47"/>
      <c r="J58" s="47"/>
      <c r="K58" s="47"/>
      <c r="L58" s="47"/>
    </row>
    <row r="59" spans="3:14" x14ac:dyDescent="0.25">
      <c r="C59" s="8" t="s">
        <v>40</v>
      </c>
      <c r="D59" s="24" t="s">
        <v>51</v>
      </c>
      <c r="E59" s="38">
        <v>1232</v>
      </c>
      <c r="F59" s="38">
        <v>3996</v>
      </c>
      <c r="G59" s="39">
        <v>1849</v>
      </c>
      <c r="H59" s="47" t="e">
        <f>+G59+#REF!</f>
        <v>#REF!</v>
      </c>
      <c r="I59" s="47" t="e">
        <f>+H59+#REF!</f>
        <v>#REF!</v>
      </c>
      <c r="J59" s="47" t="e">
        <f>+I59+#REF!</f>
        <v>#REF!</v>
      </c>
      <c r="K59" s="47" t="e">
        <f>+J59+#REF!</f>
        <v>#REF!</v>
      </c>
      <c r="L59" s="47" t="e">
        <f>+K59+#REF!</f>
        <v>#REF!</v>
      </c>
    </row>
    <row r="60" spans="3:14" x14ac:dyDescent="0.25">
      <c r="C60" s="8" t="s">
        <v>41</v>
      </c>
      <c r="D60" s="24" t="s">
        <v>51</v>
      </c>
      <c r="E60" s="38">
        <v>36785</v>
      </c>
      <c r="F60" s="38">
        <v>66880</v>
      </c>
      <c r="G60" s="39">
        <v>99540</v>
      </c>
      <c r="H60" s="47" t="e">
        <f>+G60+H73+H103</f>
        <v>#REF!</v>
      </c>
      <c r="I60" s="47" t="e">
        <f>+H60+I73+I103</f>
        <v>#REF!</v>
      </c>
      <c r="J60" s="47" t="e">
        <f>+I60+J73+J103</f>
        <v>#REF!</v>
      </c>
      <c r="K60" s="47" t="e">
        <f>+J60+K73+K103</f>
        <v>#REF!</v>
      </c>
      <c r="L60" s="47" t="e">
        <f>+K60+L73+L103</f>
        <v>#REF!</v>
      </c>
    </row>
    <row r="61" spans="3:14" x14ac:dyDescent="0.25">
      <c r="C61" s="8" t="s">
        <v>61</v>
      </c>
      <c r="D61" s="24" t="s">
        <v>51</v>
      </c>
      <c r="E61" s="38">
        <v>-1144</v>
      </c>
      <c r="F61" s="38">
        <v>1039</v>
      </c>
      <c r="G61" s="39">
        <v>1548</v>
      </c>
      <c r="H61" s="47"/>
      <c r="I61" s="47"/>
      <c r="J61" s="47"/>
      <c r="K61" s="47"/>
      <c r="L61" s="47"/>
      <c r="N61" s="78" t="s">
        <v>88</v>
      </c>
    </row>
    <row r="62" spans="3:14" x14ac:dyDescent="0.25">
      <c r="C62" s="48" t="s">
        <v>62</v>
      </c>
      <c r="D62" s="48"/>
      <c r="E62" s="56">
        <f>SUM(E57:E61)</f>
        <v>42014</v>
      </c>
      <c r="F62" s="56">
        <f t="shared" ref="F62:G62" si="22">SUM(F57:F61)</f>
        <v>95979</v>
      </c>
      <c r="G62" s="56">
        <f t="shared" si="22"/>
        <v>126927</v>
      </c>
      <c r="H62" s="48"/>
      <c r="I62" s="48"/>
      <c r="J62" s="48"/>
      <c r="K62" s="48"/>
      <c r="L62" s="48"/>
    </row>
    <row r="63" spans="3:14" x14ac:dyDescent="0.25">
      <c r="C63" s="8" t="s">
        <v>60</v>
      </c>
      <c r="D63" s="41" t="s">
        <v>51</v>
      </c>
      <c r="E63" s="38">
        <v>236</v>
      </c>
      <c r="F63" s="38">
        <v>103</v>
      </c>
      <c r="G63" s="39">
        <v>89</v>
      </c>
      <c r="H63" s="47"/>
      <c r="I63" s="47"/>
      <c r="J63" s="47"/>
      <c r="K63" s="47"/>
      <c r="L63" s="47"/>
    </row>
    <row r="64" spans="3:14" x14ac:dyDescent="0.25">
      <c r="C64" s="48" t="s">
        <v>42</v>
      </c>
      <c r="D64" s="24" t="s">
        <v>51</v>
      </c>
      <c r="E64" s="44">
        <f>SUM(E62:E63)</f>
        <v>42250</v>
      </c>
      <c r="F64" s="44">
        <f t="shared" ref="F64:L64" si="23">SUM(F62:F63)</f>
        <v>96082</v>
      </c>
      <c r="G64" s="44">
        <f t="shared" si="23"/>
        <v>127016</v>
      </c>
      <c r="H64" s="44">
        <f t="shared" si="23"/>
        <v>0</v>
      </c>
      <c r="I64" s="44">
        <f t="shared" si="23"/>
        <v>0</v>
      </c>
      <c r="J64" s="44">
        <f t="shared" si="23"/>
        <v>0</v>
      </c>
      <c r="K64" s="44">
        <f t="shared" si="23"/>
        <v>0</v>
      </c>
      <c r="L64" s="44">
        <f t="shared" si="23"/>
        <v>0</v>
      </c>
    </row>
    <row r="65" spans="2:12" x14ac:dyDescent="0.25">
      <c r="D65" s="1"/>
      <c r="H65" s="50"/>
      <c r="I65" s="50"/>
      <c r="J65" s="50"/>
      <c r="K65" s="50"/>
      <c r="L65" s="50"/>
    </row>
    <row r="66" spans="2:12" x14ac:dyDescent="0.25">
      <c r="C66" s="2" t="s">
        <v>43</v>
      </c>
      <c r="D66" s="24" t="s">
        <v>51</v>
      </c>
      <c r="E66" s="46">
        <f t="shared" ref="E66:L66" si="24">E64+E54</f>
        <v>375499</v>
      </c>
      <c r="F66" s="46">
        <f t="shared" si="24"/>
        <v>580025</v>
      </c>
      <c r="G66" s="46">
        <f t="shared" si="24"/>
        <v>859294</v>
      </c>
      <c r="H66" s="46" t="e">
        <f t="shared" si="24"/>
        <v>#REF!</v>
      </c>
      <c r="I66" s="46" t="e">
        <f t="shared" si="24"/>
        <v>#REF!</v>
      </c>
      <c r="J66" s="46" t="e">
        <f t="shared" si="24"/>
        <v>#REF!</v>
      </c>
      <c r="K66" s="46" t="e">
        <f t="shared" si="24"/>
        <v>#REF!</v>
      </c>
      <c r="L66" s="46" t="e">
        <f t="shared" si="24"/>
        <v>#REF!</v>
      </c>
    </row>
    <row r="67" spans="2:12" x14ac:dyDescent="0.25">
      <c r="D67" s="1"/>
    </row>
    <row r="68" spans="2:12" x14ac:dyDescent="0.25">
      <c r="C68" t="s">
        <v>44</v>
      </c>
      <c r="D68" s="24"/>
      <c r="E68" s="51">
        <f t="shared" ref="E68:L68" si="25">+E45-E66</f>
        <v>0</v>
      </c>
      <c r="F68" s="51">
        <f t="shared" si="25"/>
        <v>0</v>
      </c>
      <c r="G68" s="52">
        <f t="shared" si="25"/>
        <v>0</v>
      </c>
      <c r="H68" s="51" t="e">
        <f t="shared" si="25"/>
        <v>#REF!</v>
      </c>
      <c r="I68" s="51" t="e">
        <f t="shared" si="25"/>
        <v>#REF!</v>
      </c>
      <c r="J68" s="51" t="e">
        <f t="shared" si="25"/>
        <v>#REF!</v>
      </c>
      <c r="K68" s="51" t="e">
        <f t="shared" si="25"/>
        <v>#REF!</v>
      </c>
      <c r="L68" s="51" t="e">
        <f t="shared" si="25"/>
        <v>#REF!</v>
      </c>
    </row>
    <row r="70" spans="2:12" x14ac:dyDescent="0.25">
      <c r="B70" s="15"/>
      <c r="C70" s="15"/>
      <c r="D70" s="16"/>
      <c r="E70" s="17" t="s">
        <v>45</v>
      </c>
      <c r="F70" s="17"/>
      <c r="G70" s="17"/>
      <c r="H70" s="18" t="str">
        <f>+[2]Loans!$J$65</f>
        <v>Projected</v>
      </c>
      <c r="I70" s="17"/>
      <c r="J70" s="17"/>
      <c r="K70" s="17"/>
      <c r="L70" s="17"/>
    </row>
    <row r="71" spans="2:12" x14ac:dyDescent="0.25">
      <c r="B71" s="19" t="s">
        <v>63</v>
      </c>
      <c r="C71" s="19"/>
      <c r="D71" s="20" t="str">
        <f>+[2]Loans!$D$6</f>
        <v>Units:</v>
      </c>
      <c r="E71" s="21">
        <f>E23</f>
        <v>43465</v>
      </c>
      <c r="F71" s="21">
        <f>F23</f>
        <v>43830</v>
      </c>
      <c r="G71" s="21">
        <f>G23</f>
        <v>44196</v>
      </c>
      <c r="H71" s="21">
        <f>H23</f>
        <v>44561</v>
      </c>
      <c r="I71" s="21">
        <f>I23</f>
        <v>44926</v>
      </c>
      <c r="J71" s="21">
        <f>J23</f>
        <v>45291</v>
      </c>
      <c r="K71" s="21">
        <f>K23</f>
        <v>45657</v>
      </c>
      <c r="L71" s="21">
        <f>L23</f>
        <v>46022</v>
      </c>
    </row>
    <row r="72" spans="2:12" x14ac:dyDescent="0.25">
      <c r="C72" s="57" t="s">
        <v>64</v>
      </c>
      <c r="D72" s="58"/>
      <c r="E72" s="59"/>
      <c r="F72" s="59"/>
      <c r="G72" s="60"/>
      <c r="H72" s="59"/>
      <c r="I72" s="59"/>
      <c r="J72" s="59"/>
      <c r="K72" s="59"/>
      <c r="L72" s="59"/>
    </row>
    <row r="73" spans="2:12" x14ac:dyDescent="0.25">
      <c r="C73" s="61" t="s">
        <v>65</v>
      </c>
      <c r="D73" s="24" t="s">
        <v>27</v>
      </c>
      <c r="E73" s="37">
        <f>76269+456</f>
        <v>76725</v>
      </c>
      <c r="F73" s="37">
        <f>111129+118</f>
        <v>111247</v>
      </c>
      <c r="G73" s="62">
        <f>128084+83</f>
        <v>128167</v>
      </c>
      <c r="H73" s="37" t="e">
        <f t="shared" ref="H73" si="26">+#REF!</f>
        <v>#REF!</v>
      </c>
      <c r="I73" s="37" t="e">
        <f t="shared" ref="I73" si="27">+#REF!</f>
        <v>#REF!</v>
      </c>
      <c r="J73" s="37" t="e">
        <f t="shared" ref="J73" si="28">+#REF!</f>
        <v>#REF!</v>
      </c>
      <c r="K73" s="37" t="e">
        <f t="shared" ref="K73" si="29">+#REF!</f>
        <v>#REF!</v>
      </c>
      <c r="L73" s="37" t="e">
        <f t="shared" ref="L73" si="30">+#REF!</f>
        <v>#REF!</v>
      </c>
    </row>
    <row r="74" spans="2:12" x14ac:dyDescent="0.25">
      <c r="C74" s="63" t="s">
        <v>66</v>
      </c>
      <c r="D74" s="41" t="s">
        <v>27</v>
      </c>
      <c r="E74" s="64">
        <f>-15559-1174</f>
        <v>-16733</v>
      </c>
      <c r="F74" s="64">
        <f>-21317-134-1870</f>
        <v>-23321</v>
      </c>
      <c r="G74" s="65">
        <f>-21581-139-1745</f>
        <v>-23465</v>
      </c>
      <c r="H74" s="64" t="e">
        <f t="shared" ref="H74" si="31">+#REF!</f>
        <v>#REF!</v>
      </c>
      <c r="I74" s="64" t="e">
        <f t="shared" ref="I74" si="32">+#REF!</f>
        <v>#REF!</v>
      </c>
      <c r="J74" s="64" t="e">
        <f t="shared" ref="J74" si="33">+#REF!</f>
        <v>#REF!</v>
      </c>
      <c r="K74" s="64" t="e">
        <f t="shared" ref="K74" si="34">+#REF!</f>
        <v>#REF!</v>
      </c>
      <c r="L74" s="64" t="e">
        <f t="shared" ref="L74" si="35">+#REF!</f>
        <v>#REF!</v>
      </c>
    </row>
    <row r="75" spans="2:12" x14ac:dyDescent="0.25">
      <c r="C75" s="57" t="s">
        <v>67</v>
      </c>
      <c r="D75" s="24" t="s">
        <v>27</v>
      </c>
      <c r="E75" s="45">
        <f t="shared" ref="E75:L75" si="36">SUM(E73:E74)</f>
        <v>59992</v>
      </c>
      <c r="F75" s="45">
        <f t="shared" si="36"/>
        <v>87926</v>
      </c>
      <c r="G75" s="45">
        <f t="shared" si="36"/>
        <v>104702</v>
      </c>
      <c r="H75" s="45" t="e">
        <f t="shared" si="36"/>
        <v>#REF!</v>
      </c>
      <c r="I75" s="45" t="e">
        <f t="shared" si="36"/>
        <v>#REF!</v>
      </c>
      <c r="J75" s="45" t="e">
        <f t="shared" si="36"/>
        <v>#REF!</v>
      </c>
      <c r="K75" s="45" t="e">
        <f t="shared" si="36"/>
        <v>#REF!</v>
      </c>
      <c r="L75" s="45" t="e">
        <f t="shared" si="36"/>
        <v>#REF!</v>
      </c>
    </row>
    <row r="76" spans="2:12" x14ac:dyDescent="0.25">
      <c r="C76" s="2"/>
      <c r="D76" s="1"/>
      <c r="E76" s="66"/>
      <c r="F76" s="66"/>
      <c r="G76" s="66"/>
    </row>
    <row r="77" spans="2:12" x14ac:dyDescent="0.25">
      <c r="C77" s="23" t="s">
        <v>68</v>
      </c>
      <c r="D77" s="1"/>
      <c r="E77" s="66"/>
      <c r="F77" s="66"/>
      <c r="G77" s="66"/>
    </row>
    <row r="78" spans="2:12" x14ac:dyDescent="0.25">
      <c r="C78" s="8" t="s">
        <v>69</v>
      </c>
      <c r="D78" s="24" t="s">
        <v>27</v>
      </c>
      <c r="E78" s="38">
        <v>27423</v>
      </c>
      <c r="F78" s="38">
        <v>35858</v>
      </c>
      <c r="G78" s="39">
        <v>47609</v>
      </c>
      <c r="H78" s="69" t="e">
        <f>+#REF!*[2]Loans!#REF!</f>
        <v>#REF!</v>
      </c>
      <c r="I78" s="69" t="e">
        <f>+#REF!*[2]Loans!#REF!</f>
        <v>#REF!</v>
      </c>
      <c r="J78" s="69" t="e">
        <f>+#REF!*[2]Loans!#REF!</f>
        <v>#REF!</v>
      </c>
      <c r="K78" s="69" t="e">
        <f>+#REF!*[2]Loans!#REF!</f>
        <v>#REF!</v>
      </c>
      <c r="L78" s="69" t="e">
        <f>+#REF!*[2]Loans!#REF!</f>
        <v>#REF!</v>
      </c>
    </row>
    <row r="79" spans="2:12" x14ac:dyDescent="0.25">
      <c r="C79" s="8" t="s">
        <v>70</v>
      </c>
      <c r="D79" s="41" t="s">
        <v>27</v>
      </c>
      <c r="E79" s="67">
        <v>-11770</v>
      </c>
      <c r="F79" s="67">
        <v>-15123</v>
      </c>
      <c r="G79" s="68">
        <v>-21599</v>
      </c>
      <c r="H79" s="70" t="e">
        <f>-#REF!*[2]Loans!#REF!</f>
        <v>#REF!</v>
      </c>
      <c r="I79" s="70" t="e">
        <f>-#REF!*[2]Loans!#REF!</f>
        <v>#REF!</v>
      </c>
      <c r="J79" s="70" t="e">
        <f>-#REF!*[2]Loans!#REF!</f>
        <v>#REF!</v>
      </c>
      <c r="K79" s="70" t="e">
        <f>-#REF!*[2]Loans!#REF!</f>
        <v>#REF!</v>
      </c>
      <c r="L79" s="70" t="e">
        <f>-#REF!*[2]Loans!#REF!</f>
        <v>#REF!</v>
      </c>
    </row>
    <row r="80" spans="2:12" x14ac:dyDescent="0.25">
      <c r="C80" s="48" t="s">
        <v>68</v>
      </c>
      <c r="D80" s="24" t="s">
        <v>27</v>
      </c>
      <c r="E80" s="45">
        <f t="shared" ref="E80:G80" si="37">SUM(E78:E79)</f>
        <v>15653</v>
      </c>
      <c r="F80" s="45">
        <f t="shared" si="37"/>
        <v>20735</v>
      </c>
      <c r="G80" s="45">
        <f t="shared" si="37"/>
        <v>26010</v>
      </c>
      <c r="H80" s="45" t="e">
        <f>SUM(H78:H79)</f>
        <v>#REF!</v>
      </c>
      <c r="I80" s="45" t="e">
        <f t="shared" ref="I80:L80" si="38">SUM(I78:I79)</f>
        <v>#REF!</v>
      </c>
      <c r="J80" s="45" t="e">
        <f t="shared" si="38"/>
        <v>#REF!</v>
      </c>
      <c r="K80" s="45" t="e">
        <f t="shared" si="38"/>
        <v>#REF!</v>
      </c>
      <c r="L80" s="45" t="e">
        <f t="shared" si="38"/>
        <v>#REF!</v>
      </c>
    </row>
    <row r="81" spans="3:12" x14ac:dyDescent="0.25">
      <c r="C81" s="79"/>
      <c r="D81" s="24"/>
      <c r="E81" s="45"/>
      <c r="F81" s="45"/>
      <c r="G81" s="45"/>
      <c r="H81" s="45"/>
      <c r="I81" s="45"/>
      <c r="J81" s="45"/>
      <c r="K81" s="45"/>
      <c r="L81" s="45"/>
    </row>
    <row r="82" spans="3:12" x14ac:dyDescent="0.25">
      <c r="C82" s="2" t="s">
        <v>89</v>
      </c>
      <c r="D82" s="1"/>
      <c r="E82" s="66"/>
      <c r="F82" s="66"/>
      <c r="G82" s="66"/>
    </row>
    <row r="83" spans="3:12" x14ac:dyDescent="0.25">
      <c r="C83" s="8" t="s">
        <v>90</v>
      </c>
      <c r="D83" s="24" t="s">
        <v>27</v>
      </c>
      <c r="E83" s="39">
        <f>1784-2155+381+378-808</f>
        <v>-420</v>
      </c>
      <c r="F83" s="39">
        <f>-2563+2216-968+301+389</f>
        <v>-625</v>
      </c>
      <c r="G83" s="39">
        <f>4163-6850+1595+7210+603</f>
        <v>6721</v>
      </c>
      <c r="H83" s="47" t="e">
        <f>+#REF!</f>
        <v>#REF!</v>
      </c>
      <c r="I83" s="47" t="e">
        <f t="shared" ref="I83" si="39">+#REF!</f>
        <v>#REF!</v>
      </c>
      <c r="J83" s="47" t="e">
        <f t="shared" ref="J83" si="40">+#REF!</f>
        <v>#REF!</v>
      </c>
      <c r="K83" s="47" t="e">
        <f t="shared" ref="K83" si="41">+#REF!</f>
        <v>#REF!</v>
      </c>
      <c r="L83" s="47" t="e">
        <f t="shared" ref="L83" si="42">+#REF!</f>
        <v>#REF!</v>
      </c>
    </row>
    <row r="84" spans="3:12" x14ac:dyDescent="0.25">
      <c r="C84" s="8" t="s">
        <v>91</v>
      </c>
      <c r="D84" s="24" t="s">
        <v>27</v>
      </c>
      <c r="E84" s="39">
        <v>6674</v>
      </c>
      <c r="F84" s="39">
        <v>14110</v>
      </c>
      <c r="G84" s="39">
        <v>18567</v>
      </c>
      <c r="H84" s="47"/>
      <c r="I84" s="47"/>
      <c r="J84" s="47"/>
      <c r="K84" s="47"/>
      <c r="L84" s="47"/>
    </row>
    <row r="85" spans="3:12" x14ac:dyDescent="0.25">
      <c r="C85" s="8" t="s">
        <v>92</v>
      </c>
      <c r="D85" s="24" t="s">
        <v>27</v>
      </c>
      <c r="E85" s="39">
        <v>-2126</v>
      </c>
      <c r="F85" s="39">
        <v>-4891</v>
      </c>
      <c r="G85" s="39">
        <v>-3814</v>
      </c>
      <c r="H85" s="47"/>
      <c r="I85" s="47"/>
      <c r="J85" s="47"/>
      <c r="K85" s="47"/>
      <c r="L85" s="47"/>
    </row>
    <row r="86" spans="3:12" x14ac:dyDescent="0.25">
      <c r="C86" s="8" t="s">
        <v>93</v>
      </c>
      <c r="D86" s="24" t="s">
        <v>27</v>
      </c>
      <c r="E86" s="39">
        <v>2971</v>
      </c>
      <c r="F86" s="39">
        <v>722</v>
      </c>
      <c r="G86" s="39">
        <f>1445+168</f>
        <v>1613</v>
      </c>
      <c r="H86" s="47"/>
      <c r="I86" s="47"/>
      <c r="J86" s="47"/>
      <c r="K86" s="47"/>
      <c r="L86" s="47"/>
    </row>
    <row r="87" spans="3:12" x14ac:dyDescent="0.25">
      <c r="C87" s="2" t="s">
        <v>89</v>
      </c>
      <c r="D87" s="24" t="s">
        <v>27</v>
      </c>
      <c r="E87" s="45">
        <f>SUM(E83:E86)</f>
        <v>7099</v>
      </c>
      <c r="F87" s="45">
        <f t="shared" ref="F87" si="43">SUM(F83:F86)</f>
        <v>9316</v>
      </c>
      <c r="G87" s="45">
        <f>SUM(G83:G86)</f>
        <v>23087</v>
      </c>
      <c r="H87" s="47"/>
      <c r="I87" s="47"/>
      <c r="J87" s="47"/>
      <c r="K87" s="47"/>
      <c r="L87" s="47"/>
    </row>
    <row r="88" spans="3:12" x14ac:dyDescent="0.25">
      <c r="C88" s="2"/>
      <c r="D88" s="1"/>
      <c r="E88" s="66"/>
      <c r="F88" s="66"/>
      <c r="G88" s="66"/>
    </row>
    <row r="89" spans="3:12" x14ac:dyDescent="0.25">
      <c r="C89" s="2" t="s">
        <v>71</v>
      </c>
      <c r="D89" s="24" t="s">
        <v>27</v>
      </c>
      <c r="E89" s="45">
        <f>E75+E80+E87</f>
        <v>82744</v>
      </c>
      <c r="F89" s="45">
        <f t="shared" ref="F89:L89" si="44">F75+F80+F87</f>
        <v>117977</v>
      </c>
      <c r="G89" s="45">
        <f>G75+G80+G87</f>
        <v>153799</v>
      </c>
      <c r="H89" s="45" t="e">
        <f t="shared" si="44"/>
        <v>#REF!</v>
      </c>
      <c r="I89" s="45" t="e">
        <f t="shared" si="44"/>
        <v>#REF!</v>
      </c>
      <c r="J89" s="45" t="e">
        <f t="shared" si="44"/>
        <v>#REF!</v>
      </c>
      <c r="K89" s="45" t="e">
        <f t="shared" si="44"/>
        <v>#REF!</v>
      </c>
      <c r="L89" s="45" t="e">
        <f t="shared" si="44"/>
        <v>#REF!</v>
      </c>
    </row>
    <row r="90" spans="3:12" x14ac:dyDescent="0.25">
      <c r="C90" s="2"/>
      <c r="D90" s="1"/>
    </row>
    <row r="91" spans="3:12" x14ac:dyDescent="0.25">
      <c r="C91" t="s">
        <v>72</v>
      </c>
      <c r="D91" s="24" t="s">
        <v>27</v>
      </c>
      <c r="E91" s="38">
        <v>-11607</v>
      </c>
      <c r="F91" s="95">
        <f>-26551</f>
        <v>-26551</v>
      </c>
      <c r="G91" s="39">
        <f>-38972</f>
        <v>-38972</v>
      </c>
      <c r="H91" s="42" t="e">
        <f>-[2]Loans!#REF!</f>
        <v>#REF!</v>
      </c>
      <c r="I91" s="42" t="e">
        <f>-[2]Loans!#REF!</f>
        <v>#REF!</v>
      </c>
      <c r="J91" s="42" t="e">
        <f>-[2]Loans!#REF!</f>
        <v>#REF!</v>
      </c>
      <c r="K91" s="42" t="e">
        <f>-[2]Loans!#REF!</f>
        <v>#REF!</v>
      </c>
      <c r="L91" s="42" t="e">
        <f>-[2]Loans!#REF!</f>
        <v>#REF!</v>
      </c>
    </row>
    <row r="92" spans="3:12" x14ac:dyDescent="0.25">
      <c r="C92" t="s">
        <v>73</v>
      </c>
      <c r="D92" s="24" t="s">
        <v>27</v>
      </c>
      <c r="E92" s="38">
        <v>-192</v>
      </c>
      <c r="F92" s="38">
        <v>-121</v>
      </c>
      <c r="G92" s="39">
        <v>-1575</v>
      </c>
      <c r="H92" s="71" t="e">
        <f>-H89*#REF!</f>
        <v>#REF!</v>
      </c>
      <c r="I92" s="71" t="e">
        <f t="shared" ref="I92" si="45">-I89*#REF!</f>
        <v>#REF!</v>
      </c>
      <c r="J92" s="71" t="e">
        <f t="shared" ref="J92" si="46">-J89*#REF!</f>
        <v>#REF!</v>
      </c>
      <c r="K92" s="71" t="e">
        <f t="shared" ref="K92" si="47">-K89*#REF!</f>
        <v>#REF!</v>
      </c>
      <c r="L92" s="71" t="e">
        <f t="shared" ref="L92" si="48">-L89*#REF!</f>
        <v>#REF!</v>
      </c>
    </row>
    <row r="93" spans="3:12" x14ac:dyDescent="0.25">
      <c r="D93" s="1"/>
    </row>
    <row r="94" spans="3:12" x14ac:dyDescent="0.25">
      <c r="C94" s="2" t="s">
        <v>74</v>
      </c>
      <c r="D94" s="1"/>
      <c r="F94" s="40"/>
    </row>
    <row r="95" spans="3:12" x14ac:dyDescent="0.25">
      <c r="C95" s="8" t="s">
        <v>75</v>
      </c>
      <c r="D95" s="24" t="s">
        <v>27</v>
      </c>
      <c r="E95" s="38">
        <v>-14222</v>
      </c>
      <c r="F95" s="38">
        <v>-18177</v>
      </c>
      <c r="G95" s="39">
        <v>-22588</v>
      </c>
      <c r="H95" s="47" t="e">
        <f>+#REF!</f>
        <v>#REF!</v>
      </c>
      <c r="I95" s="47" t="e">
        <f t="shared" ref="I95" si="49">+#REF!</f>
        <v>#REF!</v>
      </c>
      <c r="J95" s="47" t="e">
        <f t="shared" ref="J95" si="50">+#REF!</f>
        <v>#REF!</v>
      </c>
      <c r="K95" s="47" t="e">
        <f t="shared" ref="K95" si="51">+#REF!</f>
        <v>#REF!</v>
      </c>
      <c r="L95" s="47" t="e">
        <f t="shared" ref="L95" si="52">+#REF!</f>
        <v>#REF!</v>
      </c>
    </row>
    <row r="96" spans="3:12" x14ac:dyDescent="0.25">
      <c r="C96" s="8" t="s">
        <v>76</v>
      </c>
      <c r="D96" s="24" t="s">
        <v>27</v>
      </c>
      <c r="E96" s="38">
        <v>-15602</v>
      </c>
      <c r="F96" s="38">
        <v>-19204</v>
      </c>
      <c r="G96" s="39">
        <v>-24335</v>
      </c>
      <c r="H96" s="47" t="e">
        <f>-#REF!*#REF!/(Units*Units)</f>
        <v>#REF!</v>
      </c>
      <c r="I96" s="47" t="e">
        <f>-#REF!*#REF!/(Units*Units)</f>
        <v>#REF!</v>
      </c>
      <c r="J96" s="47" t="e">
        <f>-#REF!*#REF!/(Units*Units)</f>
        <v>#REF!</v>
      </c>
      <c r="K96" s="47" t="e">
        <f>-#REF!*#REF!/(Units*Units)</f>
        <v>#REF!</v>
      </c>
      <c r="L96" s="47" t="e">
        <f>-#REF!*#REF!/(Units*Units)</f>
        <v>#REF!</v>
      </c>
    </row>
    <row r="97" spans="3:12" x14ac:dyDescent="0.25">
      <c r="C97" s="8" t="s">
        <v>94</v>
      </c>
      <c r="D97" s="24" t="s">
        <v>27</v>
      </c>
      <c r="E97" s="38"/>
      <c r="F97" s="95">
        <v>-727</v>
      </c>
      <c r="G97" s="39">
        <v>-702</v>
      </c>
      <c r="H97" s="47" t="e">
        <f>+H89*J31</f>
        <v>#REF!</v>
      </c>
      <c r="I97" s="47" t="e">
        <f>+I89*K31</f>
        <v>#REF!</v>
      </c>
      <c r="J97" s="47" t="e">
        <f>+J89*L31</f>
        <v>#REF!</v>
      </c>
      <c r="K97" s="47" t="e">
        <f>+K89*M31</f>
        <v>#REF!</v>
      </c>
      <c r="L97" s="47" t="e">
        <f>+L89*N31</f>
        <v>#REF!</v>
      </c>
    </row>
    <row r="98" spans="3:12" x14ac:dyDescent="0.25">
      <c r="C98" s="8" t="s">
        <v>77</v>
      </c>
      <c r="D98" s="24" t="s">
        <v>27</v>
      </c>
      <c r="E98" s="38">
        <v>-823</v>
      </c>
      <c r="F98" s="95">
        <v>-1287</v>
      </c>
      <c r="G98" s="39">
        <v>-1617</v>
      </c>
      <c r="H98" s="47" t="e">
        <f>-H89*#REF!</f>
        <v>#REF!</v>
      </c>
      <c r="I98" s="47" t="e">
        <f t="shared" ref="I98" si="53">-I89*#REF!</f>
        <v>#REF!</v>
      </c>
      <c r="J98" s="47" t="e">
        <f t="shared" ref="J98" si="54">-J89*#REF!</f>
        <v>#REF!</v>
      </c>
      <c r="K98" s="47" t="e">
        <f t="shared" ref="K98" si="55">-K89*#REF!</f>
        <v>#REF!</v>
      </c>
      <c r="L98" s="47" t="e">
        <f t="shared" ref="L98" si="56">-L89*#REF!</f>
        <v>#REF!</v>
      </c>
    </row>
    <row r="99" spans="3:12" x14ac:dyDescent="0.25">
      <c r="C99" s="8" t="s">
        <v>78</v>
      </c>
      <c r="D99" s="24" t="s">
        <v>27</v>
      </c>
      <c r="E99" s="38">
        <v>-899</v>
      </c>
      <c r="F99" s="95">
        <v>-1331</v>
      </c>
      <c r="G99" s="39">
        <v>-1961</v>
      </c>
      <c r="H99" s="47" t="e">
        <f>-H89*#REF!</f>
        <v>#REF!</v>
      </c>
      <c r="I99" s="47" t="e">
        <f t="shared" ref="I99" si="57">-I89*#REF!</f>
        <v>#REF!</v>
      </c>
      <c r="J99" s="47" t="e">
        <f t="shared" ref="J99" si="58">-J89*#REF!</f>
        <v>#REF!</v>
      </c>
      <c r="K99" s="47" t="e">
        <f t="shared" ref="K99" si="59">-K89*#REF!</f>
        <v>#REF!</v>
      </c>
      <c r="L99" s="47" t="e">
        <f t="shared" ref="L99" si="60">-L89*#REF!</f>
        <v>#REF!</v>
      </c>
    </row>
    <row r="100" spans="3:12" x14ac:dyDescent="0.25">
      <c r="C100" s="8" t="s">
        <v>79</v>
      </c>
      <c r="D100" s="41" t="s">
        <v>27</v>
      </c>
      <c r="E100" s="68">
        <f>-21499-SUM(E96:E99)</f>
        <v>-4175</v>
      </c>
      <c r="F100" s="68">
        <f>-27852-SUM(F96:F99)+260</f>
        <v>-5043</v>
      </c>
      <c r="G100" s="68">
        <f>-35621-SUM(G96:G99)+1206</f>
        <v>-5800</v>
      </c>
      <c r="H100" s="72" t="e">
        <f>-H89*#REF!</f>
        <v>#REF!</v>
      </c>
      <c r="I100" s="72" t="e">
        <f>-I89*#REF!</f>
        <v>#REF!</v>
      </c>
      <c r="J100" s="72" t="e">
        <f>-J89*#REF!</f>
        <v>#REF!</v>
      </c>
      <c r="K100" s="72" t="e">
        <f>-K89*#REF!</f>
        <v>#REF!</v>
      </c>
      <c r="L100" s="72" t="e">
        <f>-L89*#REF!</f>
        <v>#REF!</v>
      </c>
    </row>
    <row r="101" spans="3:12" x14ac:dyDescent="0.25">
      <c r="C101" s="43" t="s">
        <v>80</v>
      </c>
      <c r="D101" s="24" t="s">
        <v>27</v>
      </c>
      <c r="E101" s="45">
        <f>SUM(E95:E100)</f>
        <v>-35721</v>
      </c>
      <c r="F101" s="45">
        <f>SUM(F95:F100)</f>
        <v>-45769</v>
      </c>
      <c r="G101" s="45">
        <f>SUM(G95:G100)</f>
        <v>-57003</v>
      </c>
      <c r="H101" s="45" t="e">
        <f>SUM(H95:H100)</f>
        <v>#REF!</v>
      </c>
      <c r="I101" s="45" t="e">
        <f>SUM(I95:I100)</f>
        <v>#REF!</v>
      </c>
      <c r="J101" s="45" t="e">
        <f>SUM(J95:J100)</f>
        <v>#REF!</v>
      </c>
      <c r="K101" s="45" t="e">
        <f>SUM(K95:K100)</f>
        <v>#REF!</v>
      </c>
      <c r="L101" s="45" t="e">
        <f>SUM(L95:L100)</f>
        <v>#REF!</v>
      </c>
    </row>
    <row r="102" spans="3:12" x14ac:dyDescent="0.25">
      <c r="D102" s="1"/>
      <c r="E102" s="40"/>
      <c r="G102" s="66"/>
    </row>
    <row r="103" spans="3:12" x14ac:dyDescent="0.25">
      <c r="C103" s="2" t="s">
        <v>81</v>
      </c>
      <c r="D103" s="24" t="s">
        <v>27</v>
      </c>
      <c r="E103" s="45">
        <f>+E89+E91+E92+E101</f>
        <v>35224</v>
      </c>
      <c r="F103" s="45">
        <f>+F89+F91+F92+F101</f>
        <v>45536</v>
      </c>
      <c r="G103" s="45">
        <f>+G89+G91+G92+G101</f>
        <v>56249</v>
      </c>
      <c r="H103" s="45" t="e">
        <f>+H89+H91+H92+H101</f>
        <v>#REF!</v>
      </c>
      <c r="I103" s="45" t="e">
        <f>+I89+I91+I92+I101</f>
        <v>#REF!</v>
      </c>
      <c r="J103" s="45" t="e">
        <f>+J89+J91+J92+J101</f>
        <v>#REF!</v>
      </c>
      <c r="K103" s="45" t="e">
        <f>+K89+K91+K92+K101</f>
        <v>#REF!</v>
      </c>
      <c r="L103" s="45" t="e">
        <f>+L89+L91+L92+L101</f>
        <v>#REF!</v>
      </c>
    </row>
    <row r="104" spans="3:12" x14ac:dyDescent="0.25">
      <c r="C104" s="8" t="s">
        <v>82</v>
      </c>
      <c r="D104" s="41" t="s">
        <v>27</v>
      </c>
      <c r="E104" s="67">
        <v>-8102</v>
      </c>
      <c r="F104" s="64">
        <v>-9413</v>
      </c>
      <c r="G104" s="65">
        <v>-12036</v>
      </c>
      <c r="H104" s="64" t="e">
        <f>-H103*#REF!</f>
        <v>#REF!</v>
      </c>
      <c r="I104" s="64" t="e">
        <f t="shared" ref="I104" si="61">-I103*#REF!</f>
        <v>#REF!</v>
      </c>
      <c r="J104" s="64" t="e">
        <f t="shared" ref="J104" si="62">-J103*#REF!</f>
        <v>#REF!</v>
      </c>
      <c r="K104" s="64" t="e">
        <f t="shared" ref="K104" si="63">-K103*#REF!</f>
        <v>#REF!</v>
      </c>
      <c r="L104" s="64" t="e">
        <f t="shared" ref="L104" si="64">-L103*#REF!</f>
        <v>#REF!</v>
      </c>
    </row>
    <row r="105" spans="3:12" x14ac:dyDescent="0.25">
      <c r="C105" s="48" t="s">
        <v>95</v>
      </c>
      <c r="D105" s="24" t="s">
        <v>27</v>
      </c>
      <c r="E105" s="45">
        <f t="shared" ref="E105:G105" si="65">SUM(E103:E104)</f>
        <v>27122</v>
      </c>
      <c r="F105" s="45">
        <f t="shared" si="65"/>
        <v>36123</v>
      </c>
      <c r="G105" s="45">
        <f t="shared" si="65"/>
        <v>44213</v>
      </c>
      <c r="H105" s="45" t="e">
        <f>SUM(H103:H104)</f>
        <v>#REF!</v>
      </c>
      <c r="I105" s="45" t="e">
        <f t="shared" ref="I105:L105" si="66">SUM(I103:I104)</f>
        <v>#REF!</v>
      </c>
      <c r="J105" s="45" t="e">
        <f t="shared" si="66"/>
        <v>#REF!</v>
      </c>
      <c r="K105" s="45" t="e">
        <f t="shared" si="66"/>
        <v>#REF!</v>
      </c>
      <c r="L105" s="45" t="e">
        <f t="shared" si="66"/>
        <v>#REF!</v>
      </c>
    </row>
    <row r="106" spans="3:12" x14ac:dyDescent="0.25">
      <c r="C106" s="84" t="s">
        <v>96</v>
      </c>
      <c r="D106" s="24"/>
      <c r="E106" s="45">
        <v>-34</v>
      </c>
      <c r="F106" s="45">
        <v>-1</v>
      </c>
      <c r="G106" s="45">
        <v>-4</v>
      </c>
      <c r="H106" s="45"/>
      <c r="I106" s="45"/>
      <c r="J106" s="45"/>
      <c r="K106" s="45"/>
      <c r="L106" s="45"/>
    </row>
    <row r="107" spans="3:12" x14ac:dyDescent="0.25">
      <c r="C107" s="79" t="s">
        <v>97</v>
      </c>
      <c r="D107" s="24"/>
      <c r="E107" s="45">
        <f>SUM(E105:E106)</f>
        <v>27088</v>
      </c>
      <c r="F107" s="45">
        <f>SUM(F105:F106)</f>
        <v>36122</v>
      </c>
      <c r="G107" s="45">
        <f>SUM(G105:G106)</f>
        <v>44209</v>
      </c>
      <c r="H107" s="45"/>
      <c r="I107" s="45"/>
      <c r="J107" s="45"/>
      <c r="K107" s="45"/>
      <c r="L107" s="45"/>
    </row>
    <row r="108" spans="3:12" x14ac:dyDescent="0.25">
      <c r="C108" s="79"/>
      <c r="D108" s="24"/>
      <c r="E108" s="45"/>
      <c r="F108" s="45"/>
      <c r="G108" s="45"/>
      <c r="H108" s="45"/>
      <c r="I108" s="45"/>
      <c r="J108" s="45"/>
      <c r="K108" s="45"/>
      <c r="L108" s="45"/>
    </row>
    <row r="109" spans="3:12" x14ac:dyDescent="0.25">
      <c r="D109" s="1"/>
      <c r="F109" s="49"/>
      <c r="G109" s="49"/>
    </row>
    <row r="110" spans="3:12" x14ac:dyDescent="0.25">
      <c r="C110" t="s">
        <v>84</v>
      </c>
      <c r="D110" s="24" t="s">
        <v>85</v>
      </c>
      <c r="E110" s="73">
        <v>193.62</v>
      </c>
      <c r="F110" s="74">
        <v>186.559</v>
      </c>
      <c r="G110" s="75">
        <v>195.96199999999999</v>
      </c>
      <c r="H110" s="76" t="e">
        <f>AVERAGE(G111,H111)</f>
        <v>#REF!</v>
      </c>
      <c r="I110" s="76" t="e">
        <f t="shared" ref="I110:L110" si="67">AVERAGE(H111,I111)</f>
        <v>#REF!</v>
      </c>
      <c r="J110" s="76" t="e">
        <f t="shared" si="67"/>
        <v>#REF!</v>
      </c>
      <c r="K110" s="76" t="e">
        <f t="shared" si="67"/>
        <v>#REF!</v>
      </c>
      <c r="L110" s="76" t="e">
        <f t="shared" si="67"/>
        <v>#REF!</v>
      </c>
    </row>
    <row r="111" spans="3:12" x14ac:dyDescent="0.25">
      <c r="C111" t="s">
        <v>98</v>
      </c>
      <c r="D111" s="24" t="s">
        <v>85</v>
      </c>
      <c r="E111" s="74">
        <v>190.05</v>
      </c>
      <c r="F111" s="74">
        <v>190.07</v>
      </c>
      <c r="G111" s="74">
        <v>197.60400000000001</v>
      </c>
      <c r="H111" s="73" t="e">
        <f>+G111+J66</f>
        <v>#REF!</v>
      </c>
      <c r="I111" s="73" t="e">
        <f>+H111+K66</f>
        <v>#REF!</v>
      </c>
      <c r="J111" s="73" t="e">
        <f>+I111+L66</f>
        <v>#REF!</v>
      </c>
      <c r="K111" s="73" t="e">
        <f>+J111+M66</f>
        <v>#REF!</v>
      </c>
      <c r="L111" s="73" t="e">
        <f>+K111+N66</f>
        <v>#REF!</v>
      </c>
    </row>
    <row r="112" spans="3:12" x14ac:dyDescent="0.25">
      <c r="D112" s="1"/>
    </row>
    <row r="113" spans="2:12" x14ac:dyDescent="0.25">
      <c r="C113" s="2" t="s">
        <v>86</v>
      </c>
      <c r="D113" s="24" t="s">
        <v>87</v>
      </c>
      <c r="E113" s="77">
        <v>148.78</v>
      </c>
      <c r="F113" s="77">
        <v>190.05</v>
      </c>
      <c r="G113" s="77">
        <v>223.73</v>
      </c>
      <c r="H113" s="77" t="str">
        <f>IFERROR(+H105/H110,"N/A")</f>
        <v>N/A</v>
      </c>
      <c r="I113" s="77" t="str">
        <f>IFERROR(+I105/I110,"N/A")</f>
        <v>N/A</v>
      </c>
      <c r="J113" s="77" t="str">
        <f>IFERROR(+J105/J110,"N/A")</f>
        <v>N/A</v>
      </c>
      <c r="K113" s="77" t="str">
        <f>IFERROR(+K105/K110,"N/A")</f>
        <v>N/A</v>
      </c>
      <c r="L113" s="77" t="str">
        <f>IFERROR(+L105/L110,"N/A")</f>
        <v>N/A</v>
      </c>
    </row>
    <row r="115" spans="2:12" x14ac:dyDescent="0.25">
      <c r="B115" s="15"/>
      <c r="C115" s="15"/>
      <c r="D115" s="16"/>
      <c r="E115" s="17" t="s">
        <v>45</v>
      </c>
      <c r="F115" s="17"/>
      <c r="G115" s="17"/>
      <c r="H115" s="18" t="str">
        <f>+[2]Loans!$J$65</f>
        <v>Projected</v>
      </c>
      <c r="I115" s="17"/>
      <c r="J115" s="17"/>
      <c r="K115" s="17"/>
      <c r="L115" s="17"/>
    </row>
    <row r="116" spans="2:12" x14ac:dyDescent="0.25">
      <c r="B116" s="19" t="s">
        <v>99</v>
      </c>
      <c r="C116" s="19"/>
      <c r="D116" s="20" t="str">
        <f>+[2]Loans!$D$6</f>
        <v>Units:</v>
      </c>
      <c r="E116" s="21">
        <f>E71</f>
        <v>43465</v>
      </c>
      <c r="F116" s="21">
        <f t="shared" ref="F116:L116" si="68">F71</f>
        <v>43830</v>
      </c>
      <c r="G116" s="21">
        <f t="shared" si="68"/>
        <v>44196</v>
      </c>
      <c r="H116" s="21">
        <f t="shared" si="68"/>
        <v>44561</v>
      </c>
      <c r="I116" s="21">
        <f t="shared" si="68"/>
        <v>44926</v>
      </c>
      <c r="J116" s="21">
        <f t="shared" si="68"/>
        <v>45291</v>
      </c>
      <c r="K116" s="21">
        <f t="shared" si="68"/>
        <v>45657</v>
      </c>
      <c r="L116" s="21">
        <f t="shared" si="68"/>
        <v>46022</v>
      </c>
    </row>
    <row r="117" spans="2:12" x14ac:dyDescent="0.25">
      <c r="C117" s="2" t="s">
        <v>100</v>
      </c>
      <c r="D117" s="1"/>
      <c r="H117" s="49"/>
      <c r="I117" s="49"/>
      <c r="J117" s="49"/>
      <c r="K117" s="49"/>
      <c r="L117" s="49"/>
    </row>
    <row r="118" spans="2:12" x14ac:dyDescent="0.25">
      <c r="C118" s="23" t="s">
        <v>83</v>
      </c>
      <c r="D118" s="24" t="s">
        <v>27</v>
      </c>
      <c r="E118" s="46"/>
      <c r="F118" s="46">
        <f t="shared" ref="F118:G118" si="69">F107</f>
        <v>36122</v>
      </c>
      <c r="G118" s="46">
        <f t="shared" si="69"/>
        <v>44209</v>
      </c>
      <c r="H118" s="46">
        <f>+J71</f>
        <v>45291</v>
      </c>
      <c r="I118" s="46">
        <f>+K71</f>
        <v>45657</v>
      </c>
      <c r="J118" s="46">
        <f>+L71</f>
        <v>46022</v>
      </c>
      <c r="K118" s="46">
        <f>+M71</f>
        <v>0</v>
      </c>
      <c r="L118" s="46">
        <f>+N71</f>
        <v>0</v>
      </c>
    </row>
    <row r="119" spans="2:12" x14ac:dyDescent="0.25">
      <c r="C119" s="8" t="s">
        <v>101</v>
      </c>
      <c r="D119" s="24" t="s">
        <v>27</v>
      </c>
      <c r="E119" s="71"/>
      <c r="F119" s="71"/>
      <c r="G119" s="71"/>
      <c r="H119" s="40">
        <f>-J70</f>
        <v>0</v>
      </c>
      <c r="I119" s="40">
        <f>-K70</f>
        <v>0</v>
      </c>
      <c r="J119" s="40">
        <f>-L70</f>
        <v>0</v>
      </c>
      <c r="K119" s="40">
        <f>-M70</f>
        <v>0</v>
      </c>
      <c r="L119" s="40">
        <f>-N70</f>
        <v>0</v>
      </c>
    </row>
    <row r="120" spans="2:12" x14ac:dyDescent="0.25">
      <c r="C120" s="8" t="s">
        <v>102</v>
      </c>
      <c r="D120" s="24" t="s">
        <v>27</v>
      </c>
      <c r="E120" s="38"/>
      <c r="F120" s="38"/>
      <c r="G120" s="39"/>
      <c r="H120" s="40" t="e">
        <f>-#REF!</f>
        <v>#REF!</v>
      </c>
      <c r="I120" s="40" t="e">
        <f t="shared" ref="I120" si="70">-#REF!</f>
        <v>#REF!</v>
      </c>
      <c r="J120" s="40" t="e">
        <f t="shared" ref="J120" si="71">-#REF!</f>
        <v>#REF!</v>
      </c>
      <c r="K120" s="40" t="e">
        <f t="shared" ref="K120" si="72">-#REF!</f>
        <v>#REF!</v>
      </c>
      <c r="L120" s="40" t="e">
        <f t="shared" ref="L120" si="73">-#REF!</f>
        <v>#REF!</v>
      </c>
    </row>
    <row r="121" spans="2:12" x14ac:dyDescent="0.25">
      <c r="C121" s="23" t="s">
        <v>103</v>
      </c>
      <c r="D121" s="1"/>
      <c r="E121" s="40"/>
      <c r="G121" s="49"/>
    </row>
    <row r="122" spans="2:12" x14ac:dyDescent="0.25">
      <c r="C122" s="8" t="s">
        <v>104</v>
      </c>
      <c r="D122" s="24" t="s">
        <v>27</v>
      </c>
      <c r="E122" s="71"/>
      <c r="F122" s="71">
        <f>-F97-F98</f>
        <v>2014</v>
      </c>
      <c r="G122" s="71">
        <f>-G98-G97</f>
        <v>2319</v>
      </c>
      <c r="H122" s="71">
        <f>-J43-J62</f>
        <v>0</v>
      </c>
      <c r="I122" s="40">
        <f>-K43-K62</f>
        <v>0</v>
      </c>
      <c r="J122" s="40">
        <f>-L43-L62</f>
        <v>0</v>
      </c>
      <c r="K122" s="40">
        <f>-M43-M62</f>
        <v>0</v>
      </c>
      <c r="L122" s="40">
        <f>-N43-N62</f>
        <v>0</v>
      </c>
    </row>
    <row r="123" spans="2:12" x14ac:dyDescent="0.25">
      <c r="C123" s="8" t="s">
        <v>105</v>
      </c>
      <c r="D123" s="24" t="s">
        <v>27</v>
      </c>
      <c r="E123" s="71"/>
      <c r="F123" s="71">
        <f>-F99</f>
        <v>1331</v>
      </c>
      <c r="G123" s="71">
        <f>-G99</f>
        <v>1961</v>
      </c>
      <c r="H123" s="71">
        <f>-J63</f>
        <v>0</v>
      </c>
      <c r="I123" s="40">
        <f>-K63</f>
        <v>0</v>
      </c>
      <c r="J123" s="40">
        <f>-L63</f>
        <v>0</v>
      </c>
      <c r="K123" s="40">
        <f>-M63</f>
        <v>0</v>
      </c>
      <c r="L123" s="40">
        <f>-N63</f>
        <v>0</v>
      </c>
    </row>
    <row r="124" spans="2:12" x14ac:dyDescent="0.25">
      <c r="C124" s="8" t="s">
        <v>106</v>
      </c>
      <c r="D124" s="24" t="s">
        <v>27</v>
      </c>
      <c r="E124" s="71"/>
      <c r="F124" s="71">
        <f>-F91</f>
        <v>26551</v>
      </c>
      <c r="G124" s="71">
        <f>-G91</f>
        <v>38972</v>
      </c>
      <c r="H124" s="71">
        <f>-J55</f>
        <v>0</v>
      </c>
      <c r="I124" s="40">
        <f>-K55</f>
        <v>0</v>
      </c>
      <c r="J124" s="40">
        <f>-L55</f>
        <v>0</v>
      </c>
      <c r="K124" s="40">
        <f>-M55</f>
        <v>0</v>
      </c>
      <c r="L124" s="40">
        <f>-N55</f>
        <v>0</v>
      </c>
    </row>
    <row r="125" spans="2:12" x14ac:dyDescent="0.25">
      <c r="C125" s="8" t="s">
        <v>133</v>
      </c>
      <c r="D125" s="24"/>
      <c r="E125" s="38"/>
      <c r="F125" s="100">
        <f>F61-E61</f>
        <v>2183</v>
      </c>
      <c r="G125" s="71"/>
      <c r="H125" s="71"/>
      <c r="I125" s="40"/>
      <c r="J125" s="40"/>
      <c r="K125" s="40"/>
      <c r="L125" s="40"/>
    </row>
    <row r="126" spans="2:12" x14ac:dyDescent="0.25">
      <c r="C126" s="23" t="s">
        <v>107</v>
      </c>
      <c r="D126" s="1"/>
      <c r="G126" s="40"/>
    </row>
    <row r="127" spans="2:12" x14ac:dyDescent="0.25">
      <c r="C127" s="8" t="s">
        <v>134</v>
      </c>
      <c r="D127" s="1"/>
      <c r="F127" s="40">
        <f>F59-E59</f>
        <v>2764</v>
      </c>
      <c r="G127" s="40"/>
    </row>
    <row r="128" spans="2:12" x14ac:dyDescent="0.25">
      <c r="C128" s="8" t="s">
        <v>136</v>
      </c>
      <c r="D128" s="24" t="s">
        <v>27</v>
      </c>
      <c r="E128" s="38"/>
      <c r="F128" s="100">
        <f>E38-F38</f>
        <v>-35038</v>
      </c>
      <c r="G128" s="38">
        <f>F38-G38</f>
        <v>-103276</v>
      </c>
      <c r="H128" s="71" t="e">
        <f>+I83-J83</f>
        <v>#REF!</v>
      </c>
      <c r="I128" s="71" t="e">
        <f>+J83-K83</f>
        <v>#REF!</v>
      </c>
      <c r="J128" s="71" t="e">
        <f>+K83-L83</f>
        <v>#REF!</v>
      </c>
      <c r="K128" s="71" t="e">
        <f>+L83-M83</f>
        <v>#REF!</v>
      </c>
      <c r="L128" s="71">
        <f>+M83-N83</f>
        <v>0</v>
      </c>
    </row>
    <row r="129" spans="3:17" x14ac:dyDescent="0.25">
      <c r="C129" s="8" t="s">
        <v>137</v>
      </c>
      <c r="D129" s="24" t="s">
        <v>27</v>
      </c>
      <c r="E129" s="38"/>
      <c r="F129" s="100">
        <f>E33-F33</f>
        <v>-1013</v>
      </c>
      <c r="G129" s="38">
        <f>F33-G33</f>
        <v>-1931</v>
      </c>
      <c r="H129" s="71" t="e">
        <f>-#REF!+#REF!</f>
        <v>#REF!</v>
      </c>
      <c r="I129" s="71" t="e">
        <f>-#REF!+#REF!</f>
        <v>#REF!</v>
      </c>
      <c r="J129" s="71" t="e">
        <f>-#REF!+#REF!</f>
        <v>#REF!</v>
      </c>
      <c r="K129" s="71" t="e">
        <f>-#REF!+#REF!</f>
        <v>#REF!</v>
      </c>
      <c r="L129" s="71" t="e">
        <f>-#REF!+#REF!</f>
        <v>#REF!</v>
      </c>
    </row>
    <row r="130" spans="3:17" x14ac:dyDescent="0.25">
      <c r="C130" s="8" t="s">
        <v>138</v>
      </c>
      <c r="D130" s="24" t="s">
        <v>27</v>
      </c>
      <c r="E130" s="38"/>
      <c r="F130" s="100">
        <f>E37-F37+F91</f>
        <v>-157237</v>
      </c>
      <c r="G130" s="38">
        <f>F35-G35+(F36-G36-G91)</f>
        <v>-8374</v>
      </c>
      <c r="H130" s="40" t="e">
        <f>+[2]Loans!#REF!-[2]Loans!#REF!</f>
        <v>#REF!</v>
      </c>
      <c r="I130" s="40" t="e">
        <f>+[2]Loans!#REF!-[2]Loans!#REF!</f>
        <v>#REF!</v>
      </c>
      <c r="J130" s="40" t="e">
        <f>+[2]Loans!#REF!-[2]Loans!#REF!</f>
        <v>#REF!</v>
      </c>
      <c r="K130" s="40" t="e">
        <f>+[2]Loans!#REF!-[2]Loans!#REF!</f>
        <v>#REF!</v>
      </c>
      <c r="L130" s="40" t="e">
        <f>+[2]Loans!#REF!-[2]Loans!#REF!</f>
        <v>#REF!</v>
      </c>
      <c r="O130" s="95"/>
    </row>
    <row r="131" spans="3:17" x14ac:dyDescent="0.25">
      <c r="C131" s="8" t="s">
        <v>139</v>
      </c>
      <c r="D131" s="24" t="s">
        <v>27</v>
      </c>
      <c r="E131" s="38"/>
      <c r="F131" s="100">
        <f>E39-F39</f>
        <v>-4274</v>
      </c>
      <c r="G131" s="38">
        <f>F39-G39</f>
        <v>-6598</v>
      </c>
      <c r="H131" s="71" t="e">
        <f>+I84-J84+J101-I101</f>
        <v>#REF!</v>
      </c>
      <c r="I131" s="71" t="e">
        <f>+J84-K84+K101-J101</f>
        <v>#REF!</v>
      </c>
      <c r="J131" s="71" t="e">
        <f>+K84-L84+L101-K101</f>
        <v>#REF!</v>
      </c>
      <c r="K131" s="71" t="e">
        <f>+L84-M84+M101-L101</f>
        <v>#REF!</v>
      </c>
      <c r="L131" s="71">
        <f>+M84-N84+N101-M101</f>
        <v>0</v>
      </c>
    </row>
    <row r="132" spans="3:17" x14ac:dyDescent="0.25">
      <c r="C132" s="8" t="s">
        <v>140</v>
      </c>
      <c r="D132" s="24" t="s">
        <v>27</v>
      </c>
      <c r="E132" s="38"/>
      <c r="F132" s="100">
        <f>E42+E43-F42-F43</f>
        <v>-7042</v>
      </c>
      <c r="G132" s="38">
        <f>F42+F43-G42-G43</f>
        <v>-37960</v>
      </c>
      <c r="H132" s="40">
        <f>+I93-J93</f>
        <v>0</v>
      </c>
      <c r="I132" s="40">
        <f>+J93-K93</f>
        <v>0</v>
      </c>
      <c r="J132" s="40">
        <f>+K93-L93</f>
        <v>0</v>
      </c>
      <c r="K132" s="40">
        <f>+L93-M93</f>
        <v>0</v>
      </c>
      <c r="L132" s="40">
        <f>+M93-N93</f>
        <v>0</v>
      </c>
    </row>
    <row r="133" spans="3:17" x14ac:dyDescent="0.25">
      <c r="C133" s="8" t="s">
        <v>142</v>
      </c>
      <c r="D133" s="24" t="s">
        <v>27</v>
      </c>
      <c r="E133" s="38"/>
      <c r="F133" s="100">
        <f>F49-E49</f>
        <v>130698</v>
      </c>
      <c r="G133" s="38">
        <f>G49-F49</f>
        <v>215223</v>
      </c>
      <c r="H133" s="40" t="e">
        <f>+J99-I99</f>
        <v>#REF!</v>
      </c>
      <c r="I133" s="40" t="e">
        <f>+K99-J99</f>
        <v>#REF!</v>
      </c>
      <c r="J133" s="40" t="e">
        <f>+L99-K99</f>
        <v>#REF!</v>
      </c>
      <c r="K133" s="40" t="e">
        <f>+M99-L99</f>
        <v>#REF!</v>
      </c>
      <c r="L133" s="40">
        <f>+N99-M99</f>
        <v>0</v>
      </c>
    </row>
    <row r="134" spans="3:17" x14ac:dyDescent="0.25">
      <c r="C134" s="8" t="s">
        <v>141</v>
      </c>
      <c r="D134" s="41" t="s">
        <v>27</v>
      </c>
      <c r="E134" s="38"/>
      <c r="F134" s="100">
        <f>F53-E53</f>
        <v>8365</v>
      </c>
      <c r="G134" s="38">
        <f>G53-F53</f>
        <v>28216</v>
      </c>
      <c r="H134" s="40">
        <f>+J102-I102</f>
        <v>0</v>
      </c>
      <c r="I134" s="40">
        <f>+K102-J102</f>
        <v>0</v>
      </c>
      <c r="J134" s="40">
        <f>+L102-K102</f>
        <v>0</v>
      </c>
      <c r="K134" s="40">
        <f>+M102-L102</f>
        <v>0</v>
      </c>
      <c r="L134" s="40">
        <f>+N102-M102</f>
        <v>0</v>
      </c>
    </row>
    <row r="135" spans="3:17" x14ac:dyDescent="0.25">
      <c r="C135" s="48" t="s">
        <v>108</v>
      </c>
      <c r="D135" s="24" t="s">
        <v>27</v>
      </c>
      <c r="E135" s="44"/>
      <c r="F135" s="101">
        <f>SUM(F118:F134)</f>
        <v>5424</v>
      </c>
      <c r="G135" s="44">
        <f>SUM(G118:G134)</f>
        <v>172761</v>
      </c>
      <c r="H135" s="44" t="e">
        <f>SUM(H118:H134)</f>
        <v>#REF!</v>
      </c>
      <c r="I135" s="44" t="e">
        <f>SUM(I118:I134)</f>
        <v>#REF!</v>
      </c>
      <c r="J135" s="44" t="e">
        <f>SUM(J118:J134)</f>
        <v>#REF!</v>
      </c>
      <c r="K135" s="44" t="e">
        <f>SUM(K118:K134)</f>
        <v>#REF!</v>
      </c>
      <c r="L135" s="44" t="e">
        <f>SUM(L118:L134)</f>
        <v>#REF!</v>
      </c>
      <c r="N135">
        <v>10</v>
      </c>
      <c r="O135">
        <f>N135+O140</f>
        <v>12</v>
      </c>
      <c r="Q135">
        <f>O140</f>
        <v>2</v>
      </c>
    </row>
    <row r="136" spans="3:17" x14ac:dyDescent="0.25">
      <c r="D136" s="1"/>
      <c r="E136" s="85"/>
      <c r="F136" s="102"/>
      <c r="G136" s="85"/>
      <c r="H136" s="85"/>
      <c r="N136">
        <v>100</v>
      </c>
      <c r="O136">
        <f>N136+O141</f>
        <v>105</v>
      </c>
      <c r="Q136">
        <f>O136-N136</f>
        <v>5</v>
      </c>
    </row>
    <row r="137" spans="3:17" x14ac:dyDescent="0.25">
      <c r="C137" s="2" t="s">
        <v>109</v>
      </c>
      <c r="D137" s="1"/>
      <c r="E137" s="85"/>
      <c r="F137" s="102"/>
      <c r="G137" s="85"/>
      <c r="N137">
        <v>110</v>
      </c>
      <c r="O137">
        <f>N137+O140</f>
        <v>112</v>
      </c>
    </row>
    <row r="138" spans="3:17" x14ac:dyDescent="0.25">
      <c r="C138" s="8" t="s">
        <v>110</v>
      </c>
      <c r="D138" s="24" t="s">
        <v>27</v>
      </c>
      <c r="E138" s="38"/>
      <c r="F138" s="95">
        <f>E40-F40+F97+F98</f>
        <v>-4205</v>
      </c>
      <c r="G138" s="38">
        <f>F40-G40+G98+G97</f>
        <v>-2240</v>
      </c>
      <c r="H138" s="40" t="e">
        <f>-J53*#REF!</f>
        <v>#REF!</v>
      </c>
      <c r="I138" s="40" t="e">
        <f>-K53*#REF!</f>
        <v>#REF!</v>
      </c>
      <c r="J138" s="40" t="e">
        <f>-L53*#REF!</f>
        <v>#REF!</v>
      </c>
      <c r="K138" s="40" t="e">
        <f>-M53*#REF!</f>
        <v>#REF!</v>
      </c>
      <c r="L138" s="40" t="e">
        <f>-N53*#REF!</f>
        <v>#REF!</v>
      </c>
      <c r="M138" t="s">
        <v>135</v>
      </c>
      <c r="N138">
        <v>0</v>
      </c>
      <c r="O138">
        <f>O141</f>
        <v>5</v>
      </c>
      <c r="Q138">
        <f>O138-N138</f>
        <v>5</v>
      </c>
    </row>
    <row r="139" spans="3:17" x14ac:dyDescent="0.25">
      <c r="C139" s="8" t="s">
        <v>111</v>
      </c>
      <c r="D139" s="24" t="s">
        <v>27</v>
      </c>
      <c r="E139" s="38"/>
      <c r="F139" s="95">
        <f>E41-F41+F99</f>
        <v>-2543</v>
      </c>
      <c r="G139" s="38">
        <f>F41-G41+G99</f>
        <v>-3608</v>
      </c>
      <c r="H139" s="40" t="e">
        <f>-J53*#REF!</f>
        <v>#REF!</v>
      </c>
      <c r="I139" s="40" t="e">
        <f>-K53*#REF!</f>
        <v>#REF!</v>
      </c>
      <c r="J139" s="40" t="e">
        <f>-L53*#REF!</f>
        <v>#REF!</v>
      </c>
      <c r="K139" s="40" t="e">
        <f>-M53*#REF!</f>
        <v>#REF!</v>
      </c>
      <c r="L139" s="40" t="e">
        <f>-N53*#REF!</f>
        <v>#REF!</v>
      </c>
      <c r="N139" s="40">
        <f>N135+N136-N137-N138</f>
        <v>0</v>
      </c>
      <c r="O139" s="40">
        <f>O135+O136-O137-O138</f>
        <v>0</v>
      </c>
    </row>
    <row r="140" spans="3:17" x14ac:dyDescent="0.25">
      <c r="C140" s="8" t="s">
        <v>112</v>
      </c>
      <c r="D140" s="41" t="s">
        <v>27</v>
      </c>
      <c r="E140" s="38"/>
      <c r="F140" s="100"/>
      <c r="G140" s="39"/>
      <c r="H140" s="40"/>
      <c r="I140" s="40"/>
      <c r="J140" s="40"/>
      <c r="K140" s="40"/>
      <c r="L140" s="40"/>
      <c r="O140">
        <v>2</v>
      </c>
    </row>
    <row r="141" spans="3:17" x14ac:dyDescent="0.25">
      <c r="C141" s="48" t="s">
        <v>113</v>
      </c>
      <c r="D141" s="24" t="s">
        <v>27</v>
      </c>
      <c r="E141" s="86"/>
      <c r="F141" s="101">
        <f>SUM(F138:F140)</f>
        <v>-6748</v>
      </c>
      <c r="G141" s="44">
        <f>SUM(G138:G140)</f>
        <v>-5848</v>
      </c>
      <c r="H141" s="44" t="e">
        <f>SUM(H138:H140)</f>
        <v>#REF!</v>
      </c>
      <c r="I141" s="44" t="e">
        <f>SUM(I138:I140)</f>
        <v>#REF!</v>
      </c>
      <c r="J141" s="44" t="e">
        <f>SUM(J138:J140)</f>
        <v>#REF!</v>
      </c>
      <c r="K141" s="44" t="e">
        <f>SUM(K138:K140)</f>
        <v>#REF!</v>
      </c>
      <c r="L141" s="44" t="e">
        <f>SUM(L138:L140)</f>
        <v>#REF!</v>
      </c>
      <c r="O141">
        <v>5</v>
      </c>
    </row>
    <row r="142" spans="3:17" x14ac:dyDescent="0.25">
      <c r="D142" s="1"/>
      <c r="E142" s="85"/>
      <c r="F142" s="102"/>
      <c r="G142" s="85"/>
    </row>
    <row r="143" spans="3:17" x14ac:dyDescent="0.25">
      <c r="C143" s="2" t="s">
        <v>114</v>
      </c>
      <c r="D143" s="1"/>
      <c r="E143" s="85"/>
      <c r="F143" s="102"/>
      <c r="G143" s="85"/>
    </row>
    <row r="144" spans="3:17" x14ac:dyDescent="0.25">
      <c r="C144" s="8" t="s">
        <v>115</v>
      </c>
      <c r="D144" s="24" t="s">
        <v>27</v>
      </c>
      <c r="E144" s="38"/>
      <c r="F144" s="95">
        <f>E34-F34+F50-E50</f>
        <v>-3993</v>
      </c>
      <c r="G144" s="38">
        <f>F34-G34+G50-F50</f>
        <v>4993</v>
      </c>
      <c r="H144" s="40" t="e">
        <f>+#REF!-#REF!</f>
        <v>#REF!</v>
      </c>
      <c r="I144" s="40" t="e">
        <f>+#REF!-#REF!</f>
        <v>#REF!</v>
      </c>
      <c r="J144" s="40" t="e">
        <f>+#REF!-#REF!</f>
        <v>#REF!</v>
      </c>
      <c r="K144" s="40" t="e">
        <f>+#REF!-#REF!</f>
        <v>#REF!</v>
      </c>
      <c r="L144" s="40" t="e">
        <f>+#REF!-#REF!</f>
        <v>#REF!</v>
      </c>
    </row>
    <row r="145" spans="3:17" x14ac:dyDescent="0.25">
      <c r="C145" s="8" t="s">
        <v>126</v>
      </c>
      <c r="D145" s="24" t="s">
        <v>27</v>
      </c>
      <c r="E145" s="38"/>
      <c r="F145" s="95">
        <f>F52-E52</f>
        <v>16473</v>
      </c>
      <c r="G145" s="38">
        <f>G52-F52</f>
        <v>-2168</v>
      </c>
      <c r="H145" s="47" t="e">
        <f>+#REF!</f>
        <v>#REF!</v>
      </c>
      <c r="I145" s="47" t="e">
        <f t="shared" ref="I145" si="74">+#REF!</f>
        <v>#REF!</v>
      </c>
      <c r="J145" s="47" t="e">
        <f t="shared" ref="J145" si="75">+#REF!</f>
        <v>#REF!</v>
      </c>
      <c r="K145" s="47" t="e">
        <f t="shared" ref="K145" si="76">+#REF!</f>
        <v>#REF!</v>
      </c>
      <c r="L145" s="47" t="e">
        <f t="shared" ref="L145" si="77">+#REF!</f>
        <v>#REF!</v>
      </c>
    </row>
    <row r="146" spans="3:17" x14ac:dyDescent="0.25">
      <c r="C146" s="8" t="s">
        <v>116</v>
      </c>
      <c r="D146" s="24" t="s">
        <v>27</v>
      </c>
      <c r="E146" s="38"/>
      <c r="F146" s="95">
        <f>F51-E51</f>
        <v>-2157</v>
      </c>
      <c r="G146" s="38">
        <f>G51-F51</f>
        <v>2268</v>
      </c>
      <c r="H146" s="40" t="e">
        <f>(J86-I86)*#REF!</f>
        <v>#REF!</v>
      </c>
      <c r="I146" s="40" t="e">
        <f>(K86-J86)*#REF!</f>
        <v>#REF!</v>
      </c>
      <c r="J146" s="40" t="e">
        <f>(L86-K86)*#REF!</f>
        <v>#REF!</v>
      </c>
      <c r="K146" s="40" t="e">
        <f>(M86-L86)*#REF!</f>
        <v>#REF!</v>
      </c>
      <c r="L146" s="40" t="e">
        <f>(N86-M86)*#REF!</f>
        <v>#REF!</v>
      </c>
    </row>
    <row r="147" spans="3:17" x14ac:dyDescent="0.25">
      <c r="C147" s="8" t="s">
        <v>117</v>
      </c>
      <c r="D147" s="24" t="s">
        <v>27</v>
      </c>
      <c r="E147" s="38"/>
      <c r="F147" s="95">
        <f>SUM(F57:F58)-SUM(E57:E58)</f>
        <v>18923</v>
      </c>
      <c r="G147" s="38">
        <f>SUM(G57:G58)-SUM(F57:F58)</f>
        <v>-74</v>
      </c>
      <c r="H147" s="40"/>
      <c r="I147" s="40"/>
      <c r="J147" s="40"/>
      <c r="K147" s="40"/>
      <c r="L147" s="40"/>
    </row>
    <row r="148" spans="3:17" x14ac:dyDescent="0.25">
      <c r="C148" s="8" t="s">
        <v>132</v>
      </c>
      <c r="D148" s="24"/>
      <c r="E148" s="38"/>
      <c r="F148" s="95">
        <f>F63-E63-F106</f>
        <v>-132</v>
      </c>
      <c r="G148" s="38"/>
      <c r="H148" s="40"/>
      <c r="I148" s="40"/>
      <c r="J148" s="40"/>
      <c r="K148" s="40"/>
      <c r="L148" s="40"/>
    </row>
    <row r="149" spans="3:17" x14ac:dyDescent="0.25">
      <c r="C149" s="8" t="s">
        <v>118</v>
      </c>
      <c r="D149" s="41" t="s">
        <v>27</v>
      </c>
      <c r="E149" s="38"/>
      <c r="F149" s="95">
        <f>F60-F105-E60</f>
        <v>-6028</v>
      </c>
      <c r="G149" s="38">
        <f>G60-G105-F60</f>
        <v>-11553</v>
      </c>
      <c r="H149" s="40">
        <f>-J19</f>
        <v>0</v>
      </c>
      <c r="I149" s="40">
        <f>-K19</f>
        <v>0</v>
      </c>
      <c r="J149" s="40">
        <f>-L19</f>
        <v>0</v>
      </c>
      <c r="K149" s="40">
        <f>-M19</f>
        <v>0</v>
      </c>
      <c r="L149" s="40">
        <f>-N19</f>
        <v>0</v>
      </c>
    </row>
    <row r="150" spans="3:17" x14ac:dyDescent="0.25">
      <c r="C150" s="48" t="s">
        <v>119</v>
      </c>
      <c r="D150" s="24" t="s">
        <v>27</v>
      </c>
      <c r="E150" s="56"/>
      <c r="F150" s="56">
        <f>SUM(F144:F149)</f>
        <v>23086</v>
      </c>
      <c r="G150" s="56">
        <f>SUM(G144:G149)</f>
        <v>-6534</v>
      </c>
      <c r="H150" s="56" t="e">
        <f>SUM(H144:H149)</f>
        <v>#REF!</v>
      </c>
      <c r="I150" s="56" t="e">
        <f>SUM(I144:I149)</f>
        <v>#REF!</v>
      </c>
      <c r="J150" s="56" t="e">
        <f>SUM(J144:J149)</f>
        <v>#REF!</v>
      </c>
      <c r="K150" s="56" t="e">
        <f>SUM(K144:K149)</f>
        <v>#REF!</v>
      </c>
      <c r="L150" s="56" t="e">
        <f>SUM(L144:L149)</f>
        <v>#REF!</v>
      </c>
    </row>
    <row r="151" spans="3:17" x14ac:dyDescent="0.25">
      <c r="D151" s="1"/>
      <c r="N151">
        <v>100</v>
      </c>
      <c r="O151">
        <v>110</v>
      </c>
    </row>
    <row r="152" spans="3:17" x14ac:dyDescent="0.25">
      <c r="C152" s="2" t="s">
        <v>120</v>
      </c>
      <c r="D152" s="24" t="s">
        <v>27</v>
      </c>
      <c r="E152" s="87"/>
      <c r="F152" s="87">
        <f>+F150+F141+F135</f>
        <v>21762</v>
      </c>
      <c r="G152" s="87">
        <f>+G150+G141+G135</f>
        <v>160379</v>
      </c>
      <c r="H152" s="87" t="e">
        <f>+H135+H141+H150</f>
        <v>#REF!</v>
      </c>
      <c r="I152" s="87" t="e">
        <f>+I135+I141+I150</f>
        <v>#REF!</v>
      </c>
      <c r="J152" s="87" t="e">
        <f>+J135+J141+J150</f>
        <v>#REF!</v>
      </c>
      <c r="K152" s="87" t="e">
        <f>+K135+K141+K150</f>
        <v>#REF!</v>
      </c>
      <c r="L152" s="87" t="e">
        <f>+L135+L141+L150</f>
        <v>#REF!</v>
      </c>
      <c r="N152">
        <v>-10</v>
      </c>
      <c r="O152">
        <v>-20</v>
      </c>
    </row>
    <row r="153" spans="3:17" x14ac:dyDescent="0.25">
      <c r="D153" s="1"/>
      <c r="H153" s="88"/>
      <c r="I153" s="88"/>
      <c r="J153" s="88"/>
      <c r="K153" s="88"/>
      <c r="L153" s="88"/>
      <c r="N153">
        <f>SUM(N151:N152)</f>
        <v>90</v>
      </c>
      <c r="O153">
        <f>SUM(O151:O152)</f>
        <v>90</v>
      </c>
    </row>
    <row r="154" spans="3:17" x14ac:dyDescent="0.25">
      <c r="C154" s="34" t="s">
        <v>121</v>
      </c>
      <c r="D154" s="24" t="s">
        <v>27</v>
      </c>
      <c r="E154" s="47"/>
      <c r="F154" s="38">
        <f>E32</f>
        <v>33802</v>
      </c>
      <c r="G154" s="38">
        <f>F32</f>
        <v>55564</v>
      </c>
      <c r="H154" s="47">
        <f>+G155</f>
        <v>215943</v>
      </c>
      <c r="I154" s="47" t="e">
        <f t="shared" ref="I154:L154" si="78">+H155</f>
        <v>#REF!</v>
      </c>
      <c r="J154" s="47" t="e">
        <f t="shared" si="78"/>
        <v>#REF!</v>
      </c>
      <c r="K154" s="47" t="e">
        <f t="shared" si="78"/>
        <v>#REF!</v>
      </c>
      <c r="L154" s="47" t="e">
        <f t="shared" si="78"/>
        <v>#REF!</v>
      </c>
    </row>
    <row r="155" spans="3:17" x14ac:dyDescent="0.25">
      <c r="C155" s="2" t="s">
        <v>122</v>
      </c>
      <c r="D155" s="24" t="s">
        <v>27</v>
      </c>
      <c r="E155" s="46"/>
      <c r="F155" s="46">
        <f>+F154+F152</f>
        <v>55564</v>
      </c>
      <c r="G155" s="46">
        <f t="shared" ref="G155" si="79">+G154+G152</f>
        <v>215943</v>
      </c>
      <c r="H155" s="46" t="e">
        <f>+H152+H154</f>
        <v>#REF!</v>
      </c>
      <c r="I155" s="46" t="e">
        <f t="shared" ref="I155:L155" si="80">+I152+I154</f>
        <v>#REF!</v>
      </c>
      <c r="J155" s="46" t="e">
        <f t="shared" si="80"/>
        <v>#REF!</v>
      </c>
      <c r="K155" s="46" t="e">
        <f t="shared" si="80"/>
        <v>#REF!</v>
      </c>
      <c r="L155" s="46" t="e">
        <f t="shared" si="80"/>
        <v>#REF!</v>
      </c>
    </row>
    <row r="156" spans="3:17" x14ac:dyDescent="0.25">
      <c r="D156" s="1"/>
      <c r="E156" s="71"/>
      <c r="F156" s="71"/>
      <c r="G156" s="71"/>
      <c r="H156" s="40"/>
      <c r="I156" s="40"/>
      <c r="J156" s="40"/>
      <c r="K156" s="40"/>
      <c r="L156" s="40"/>
    </row>
    <row r="157" spans="3:17" x14ac:dyDescent="0.25">
      <c r="C157" t="s">
        <v>123</v>
      </c>
      <c r="D157" s="41" t="s">
        <v>27</v>
      </c>
      <c r="E157" s="40"/>
      <c r="F157" s="40">
        <f>F32</f>
        <v>55564</v>
      </c>
      <c r="G157" s="40">
        <f>G32</f>
        <v>136351</v>
      </c>
      <c r="H157" s="40">
        <f>+J81+J82</f>
        <v>0</v>
      </c>
      <c r="I157" s="40">
        <f>+K81+K82</f>
        <v>0</v>
      </c>
      <c r="J157" s="40">
        <f>+L81+L82</f>
        <v>0</v>
      </c>
      <c r="K157" s="40">
        <f>+M81+M82</f>
        <v>0</v>
      </c>
      <c r="L157" s="40">
        <f>+N81+N82</f>
        <v>0</v>
      </c>
    </row>
    <row r="158" spans="3:17" x14ac:dyDescent="0.25">
      <c r="C158" s="48" t="s">
        <v>124</v>
      </c>
      <c r="D158" s="24" t="s">
        <v>27</v>
      </c>
      <c r="E158" s="89"/>
      <c r="F158" s="90">
        <f>SUM(F157:F157)</f>
        <v>55564</v>
      </c>
      <c r="G158" s="90">
        <f>SUM(G157:G157)</f>
        <v>136351</v>
      </c>
      <c r="H158" s="56">
        <f>SUM(H157:H157)</f>
        <v>0</v>
      </c>
      <c r="I158" s="56">
        <f>SUM(I157:I157)</f>
        <v>0</v>
      </c>
      <c r="J158" s="56">
        <f>SUM(J157:J157)</f>
        <v>0</v>
      </c>
      <c r="K158" s="56">
        <f>SUM(K157:K157)</f>
        <v>0</v>
      </c>
      <c r="L158" s="56">
        <f>SUM(L157:L157)</f>
        <v>0</v>
      </c>
    </row>
    <row r="159" spans="3:17" x14ac:dyDescent="0.25">
      <c r="D159" s="1"/>
      <c r="E159" s="71"/>
      <c r="F159" s="71"/>
      <c r="G159" s="71"/>
      <c r="H159" s="40"/>
      <c r="I159" s="40"/>
      <c r="J159" s="40"/>
      <c r="K159" s="40"/>
      <c r="L159" s="40"/>
    </row>
    <row r="160" spans="3:17" x14ac:dyDescent="0.25">
      <c r="C160" t="s">
        <v>125</v>
      </c>
      <c r="D160" s="1"/>
      <c r="E160" s="91"/>
      <c r="F160" s="91">
        <f>+F155-F158</f>
        <v>0</v>
      </c>
      <c r="G160" s="92">
        <f>+G155-G158</f>
        <v>79592</v>
      </c>
      <c r="H160" s="91" t="e">
        <f>+H155-H158</f>
        <v>#REF!</v>
      </c>
      <c r="I160" s="91" t="e">
        <f>+I155-I158</f>
        <v>#REF!</v>
      </c>
      <c r="J160" s="91" t="e">
        <f>+J155-J158</f>
        <v>#REF!</v>
      </c>
      <c r="K160" s="91" t="e">
        <f>+K155-K158</f>
        <v>#REF!</v>
      </c>
      <c r="L160" s="91" t="e">
        <f>+L155-L158</f>
        <v>#REF!</v>
      </c>
      <c r="N160">
        <v>10</v>
      </c>
      <c r="O160">
        <v>10</v>
      </c>
      <c r="Q160">
        <v>0</v>
      </c>
    </row>
    <row r="161" spans="14:17" x14ac:dyDescent="0.25">
      <c r="N161">
        <v>20</v>
      </c>
      <c r="O161">
        <v>25</v>
      </c>
      <c r="Q161">
        <f>N161-O161</f>
        <v>-5</v>
      </c>
    </row>
    <row r="162" spans="14:17" x14ac:dyDescent="0.25">
      <c r="N162">
        <v>30</v>
      </c>
      <c r="O162">
        <v>30</v>
      </c>
    </row>
    <row r="163" spans="14:17" x14ac:dyDescent="0.25">
      <c r="N163">
        <v>0</v>
      </c>
      <c r="O163">
        <v>5</v>
      </c>
    </row>
  </sheetData>
  <dataValidations count="1">
    <dataValidation type="whole" allowBlank="1" showInputMessage="1" showErrorMessage="1" sqref="D20" xr:uid="{E741978B-8341-494B-A679-FB025F348A1F}">
      <formula1>0</formula1>
      <formula2>1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6A4E-041D-4B58-9F4C-8DEB6C1EE509}">
  <dimension ref="B2:H41"/>
  <sheetViews>
    <sheetView showGridLines="0" topLeftCell="A13" workbookViewId="0">
      <selection activeCell="E34" sqref="E34"/>
    </sheetView>
  </sheetViews>
  <sheetFormatPr defaultRowHeight="15" x14ac:dyDescent="0.25"/>
  <cols>
    <col min="3" max="3" width="43.5703125" customWidth="1"/>
    <col min="4" max="4" width="14.28515625" customWidth="1"/>
    <col min="5" max="5" width="11.5703125" customWidth="1"/>
    <col min="6" max="6" width="15.28515625" bestFit="1" customWidth="1"/>
    <col min="7" max="7" width="15.28515625" customWidth="1"/>
    <col min="8" max="8" width="13.5703125" customWidth="1"/>
  </cols>
  <sheetData>
    <row r="2" spans="2:8" x14ac:dyDescent="0.25">
      <c r="B2" s="32" t="s">
        <v>25</v>
      </c>
      <c r="C2" s="33"/>
      <c r="D2" s="33"/>
      <c r="E2" s="33"/>
      <c r="F2" s="33"/>
      <c r="G2" s="97"/>
    </row>
    <row r="3" spans="2:8" x14ac:dyDescent="0.25">
      <c r="C3" s="34" t="s">
        <v>26</v>
      </c>
      <c r="D3" s="24" t="s">
        <v>51</v>
      </c>
      <c r="E3" s="38">
        <v>33802</v>
      </c>
      <c r="F3" s="38">
        <v>55564</v>
      </c>
      <c r="G3" s="38"/>
    </row>
    <row r="4" spans="2:8" x14ac:dyDescent="0.25">
      <c r="C4" s="34" t="s">
        <v>47</v>
      </c>
      <c r="D4" s="24" t="s">
        <v>51</v>
      </c>
      <c r="E4" s="95">
        <v>2435</v>
      </c>
      <c r="F4" s="95">
        <v>3448</v>
      </c>
      <c r="G4" s="95"/>
      <c r="H4" s="99">
        <f>E4-F4</f>
        <v>-1013</v>
      </c>
    </row>
    <row r="5" spans="2:8" x14ac:dyDescent="0.25">
      <c r="C5" s="34" t="s">
        <v>48</v>
      </c>
      <c r="D5" s="24" t="s">
        <v>51</v>
      </c>
      <c r="E5" s="38">
        <v>776</v>
      </c>
      <c r="F5" s="38">
        <v>2084</v>
      </c>
      <c r="G5" s="38"/>
      <c r="H5" s="99">
        <f>E5-F5</f>
        <v>-1308</v>
      </c>
    </row>
    <row r="6" spans="2:8" ht="15.75" x14ac:dyDescent="0.25">
      <c r="C6" s="93" t="s">
        <v>28</v>
      </c>
      <c r="D6" s="24"/>
      <c r="E6" s="38">
        <v>234710</v>
      </c>
      <c r="F6" s="38">
        <v>383912</v>
      </c>
      <c r="G6" s="38"/>
      <c r="H6" s="103"/>
    </row>
    <row r="7" spans="2:8" ht="15.75" x14ac:dyDescent="0.25">
      <c r="C7" s="94" t="s">
        <v>29</v>
      </c>
      <c r="D7" s="24"/>
      <c r="E7" s="38">
        <v>-36221</v>
      </c>
      <c r="F7" s="38">
        <v>-54737</v>
      </c>
      <c r="G7" s="38"/>
      <c r="H7" s="104"/>
    </row>
    <row r="8" spans="2:8" x14ac:dyDescent="0.25">
      <c r="C8" s="23" t="s">
        <v>49</v>
      </c>
      <c r="D8" s="24" t="s">
        <v>51</v>
      </c>
      <c r="E8" s="38">
        <v>198489</v>
      </c>
      <c r="F8" s="38">
        <v>329175</v>
      </c>
      <c r="G8" s="38"/>
      <c r="H8" s="99">
        <f>E8-F8</f>
        <v>-130686</v>
      </c>
    </row>
    <row r="9" spans="2:8" x14ac:dyDescent="0.25">
      <c r="C9" s="34" t="s">
        <v>52</v>
      </c>
      <c r="D9" s="24" t="s">
        <v>51</v>
      </c>
      <c r="E9" s="95">
        <v>100140</v>
      </c>
      <c r="F9" s="95">
        <v>135178</v>
      </c>
      <c r="G9" s="95"/>
      <c r="H9" s="99">
        <f>E9-F9</f>
        <v>-35038</v>
      </c>
    </row>
    <row r="10" spans="2:8" x14ac:dyDescent="0.25">
      <c r="C10" s="34" t="s">
        <v>53</v>
      </c>
      <c r="D10" s="24" t="s">
        <v>51</v>
      </c>
      <c r="E10" s="95">
        <v>4603</v>
      </c>
      <c r="F10" s="95">
        <v>8877</v>
      </c>
      <c r="G10" s="95"/>
      <c r="H10" s="99">
        <f>E10-F10</f>
        <v>-4274</v>
      </c>
    </row>
    <row r="11" spans="2:8" x14ac:dyDescent="0.25">
      <c r="C11" s="34" t="s">
        <v>54</v>
      </c>
      <c r="D11" s="24" t="s">
        <v>51</v>
      </c>
      <c r="E11" s="38">
        <v>8369</v>
      </c>
      <c r="F11" s="38">
        <v>10560</v>
      </c>
      <c r="G11" s="38"/>
      <c r="H11" s="99">
        <f>E11-F11</f>
        <v>-2191</v>
      </c>
    </row>
    <row r="12" spans="2:8" x14ac:dyDescent="0.25">
      <c r="C12" s="34" t="s">
        <v>55</v>
      </c>
      <c r="D12" s="24" t="s">
        <v>51</v>
      </c>
      <c r="E12" s="38">
        <v>4223</v>
      </c>
      <c r="F12" s="38">
        <v>5435</v>
      </c>
      <c r="G12" s="38"/>
      <c r="H12" s="99">
        <f>E12-F12</f>
        <v>-1212</v>
      </c>
    </row>
    <row r="13" spans="2:8" x14ac:dyDescent="0.25">
      <c r="C13" s="34" t="s">
        <v>56</v>
      </c>
      <c r="D13" s="24" t="s">
        <v>51</v>
      </c>
      <c r="E13" s="38">
        <v>1104</v>
      </c>
      <c r="F13" s="38">
        <v>2332</v>
      </c>
      <c r="G13" s="38"/>
      <c r="H13" s="99">
        <f>E13-F13</f>
        <v>-1228</v>
      </c>
    </row>
    <row r="14" spans="2:8" x14ac:dyDescent="0.25">
      <c r="C14" s="34" t="s">
        <v>57</v>
      </c>
      <c r="D14" s="24" t="s">
        <v>51</v>
      </c>
      <c r="E14" s="38">
        <v>21558</v>
      </c>
      <c r="F14" s="38">
        <v>27372</v>
      </c>
      <c r="G14" s="38"/>
      <c r="H14" s="99">
        <f>E14-F14</f>
        <v>-5814</v>
      </c>
    </row>
    <row r="15" spans="2:8" x14ac:dyDescent="0.25">
      <c r="C15" s="34"/>
      <c r="D15" s="1"/>
      <c r="E15" s="81"/>
      <c r="F15" s="81"/>
      <c r="G15" s="81"/>
      <c r="H15" s="104"/>
    </row>
    <row r="16" spans="2:8" x14ac:dyDescent="0.25">
      <c r="C16" s="2" t="s">
        <v>30</v>
      </c>
      <c r="D16" s="24" t="s">
        <v>51</v>
      </c>
      <c r="E16" s="80">
        <v>375499</v>
      </c>
      <c r="F16" s="80">
        <v>580025</v>
      </c>
      <c r="G16" s="80"/>
      <c r="H16" s="104"/>
    </row>
    <row r="17" spans="2:8" x14ac:dyDescent="0.25">
      <c r="C17" s="2"/>
      <c r="D17" s="1"/>
      <c r="E17" s="46"/>
      <c r="F17" s="46"/>
      <c r="G17" s="46"/>
      <c r="H17" s="104"/>
    </row>
    <row r="18" spans="2:8" x14ac:dyDescent="0.25">
      <c r="B18" s="32" t="s">
        <v>31</v>
      </c>
      <c r="C18" s="33"/>
      <c r="D18" s="33"/>
      <c r="E18" s="33"/>
      <c r="F18" s="33"/>
      <c r="G18" s="97"/>
      <c r="H18" s="104"/>
    </row>
    <row r="19" spans="2:8" x14ac:dyDescent="0.25">
      <c r="C19" s="2" t="s">
        <v>32</v>
      </c>
      <c r="D19" s="1"/>
      <c r="H19" s="104"/>
    </row>
    <row r="20" spans="2:8" x14ac:dyDescent="0.25">
      <c r="C20" s="8" t="s">
        <v>33</v>
      </c>
      <c r="D20" s="24" t="s">
        <v>51</v>
      </c>
      <c r="E20" s="35">
        <v>280916</v>
      </c>
      <c r="F20" s="35">
        <v>411614</v>
      </c>
      <c r="G20" s="35"/>
      <c r="H20" s="99">
        <f>F20-E20</f>
        <v>130698</v>
      </c>
    </row>
    <row r="21" spans="2:8" x14ac:dyDescent="0.25">
      <c r="C21" s="8" t="s">
        <v>34</v>
      </c>
      <c r="D21" s="24" t="s">
        <v>51</v>
      </c>
      <c r="E21" s="38">
        <v>2708</v>
      </c>
      <c r="F21" s="38">
        <v>23</v>
      </c>
      <c r="G21" s="38"/>
      <c r="H21" s="99">
        <f t="shared" ref="H21:H24" si="0">F21-E21</f>
        <v>-2685</v>
      </c>
    </row>
    <row r="22" spans="2:8" x14ac:dyDescent="0.25">
      <c r="C22" s="8" t="s">
        <v>35</v>
      </c>
      <c r="D22" s="24" t="s">
        <v>51</v>
      </c>
      <c r="E22" s="38">
        <v>20644</v>
      </c>
      <c r="F22" s="38">
        <v>18487</v>
      </c>
      <c r="G22" s="38"/>
      <c r="H22" s="99">
        <f t="shared" si="0"/>
        <v>-2157</v>
      </c>
    </row>
    <row r="23" spans="2:8" x14ac:dyDescent="0.25">
      <c r="C23" s="8" t="s">
        <v>58</v>
      </c>
      <c r="D23" s="24" t="s">
        <v>51</v>
      </c>
      <c r="E23" s="38">
        <v>9605</v>
      </c>
      <c r="F23" s="38">
        <v>26078</v>
      </c>
      <c r="G23" s="38"/>
      <c r="H23" s="99">
        <f t="shared" si="0"/>
        <v>16473</v>
      </c>
    </row>
    <row r="24" spans="2:8" x14ac:dyDescent="0.25">
      <c r="C24" s="8" t="s">
        <v>36</v>
      </c>
      <c r="D24" s="41" t="s">
        <v>51</v>
      </c>
      <c r="E24" s="38">
        <v>19376</v>
      </c>
      <c r="F24" s="38">
        <v>27741</v>
      </c>
      <c r="G24" s="38"/>
      <c r="H24" s="99">
        <f t="shared" si="0"/>
        <v>8365</v>
      </c>
    </row>
    <row r="25" spans="2:8" x14ac:dyDescent="0.25">
      <c r="C25" s="48" t="s">
        <v>37</v>
      </c>
      <c r="D25" s="24" t="s">
        <v>51</v>
      </c>
      <c r="E25" s="44">
        <v>333249</v>
      </c>
      <c r="F25" s="44">
        <v>483943</v>
      </c>
      <c r="G25" s="80"/>
      <c r="H25" s="104"/>
    </row>
    <row r="26" spans="2:8" x14ac:dyDescent="0.25">
      <c r="C26" s="2"/>
      <c r="D26" s="1"/>
      <c r="H26" s="104"/>
    </row>
    <row r="27" spans="2:8" x14ac:dyDescent="0.25">
      <c r="C27" s="2" t="s">
        <v>38</v>
      </c>
      <c r="D27" s="1"/>
      <c r="H27" s="104"/>
    </row>
    <row r="28" spans="2:8" x14ac:dyDescent="0.25">
      <c r="C28" s="8" t="s">
        <v>39</v>
      </c>
      <c r="D28" s="24" t="s">
        <v>51</v>
      </c>
      <c r="E28" s="38">
        <v>8811</v>
      </c>
      <c r="F28" s="39">
        <v>27228</v>
      </c>
      <c r="G28" s="39"/>
      <c r="H28" s="99">
        <f t="shared" ref="H28:H34" si="1">F28-E28</f>
        <v>18417</v>
      </c>
    </row>
    <row r="29" spans="2:8" x14ac:dyDescent="0.25">
      <c r="C29" s="8" t="s">
        <v>59</v>
      </c>
      <c r="D29" s="24"/>
      <c r="E29" s="38">
        <v>-3670</v>
      </c>
      <c r="F29" s="38">
        <v>-3164</v>
      </c>
      <c r="G29" s="38"/>
      <c r="H29" s="99">
        <f t="shared" si="1"/>
        <v>506</v>
      </c>
    </row>
    <row r="30" spans="2:8" x14ac:dyDescent="0.25">
      <c r="C30" s="8" t="s">
        <v>40</v>
      </c>
      <c r="D30" s="24" t="s">
        <v>51</v>
      </c>
      <c r="E30" s="38">
        <v>1232</v>
      </c>
      <c r="F30" s="38">
        <v>3996</v>
      </c>
      <c r="G30" s="38"/>
      <c r="H30" s="99">
        <f t="shared" si="1"/>
        <v>2764</v>
      </c>
    </row>
    <row r="31" spans="2:8" x14ac:dyDescent="0.25">
      <c r="C31" s="8" t="s">
        <v>41</v>
      </c>
      <c r="D31" s="24" t="s">
        <v>51</v>
      </c>
      <c r="E31" s="38">
        <v>36785</v>
      </c>
      <c r="F31" s="38">
        <v>66880</v>
      </c>
      <c r="G31" s="38"/>
      <c r="H31" s="103">
        <f t="shared" si="1"/>
        <v>30095</v>
      </c>
    </row>
    <row r="32" spans="2:8" x14ac:dyDescent="0.25">
      <c r="C32" s="8" t="s">
        <v>61</v>
      </c>
      <c r="D32" s="24" t="s">
        <v>51</v>
      </c>
      <c r="E32" s="38">
        <v>-1144</v>
      </c>
      <c r="F32" s="38">
        <v>1039</v>
      </c>
      <c r="G32" s="38"/>
      <c r="H32" s="99">
        <f t="shared" si="1"/>
        <v>2183</v>
      </c>
    </row>
    <row r="33" spans="3:8" x14ac:dyDescent="0.25">
      <c r="C33" s="48" t="s">
        <v>62</v>
      </c>
      <c r="D33" s="48"/>
      <c r="E33" s="56">
        <v>42014</v>
      </c>
      <c r="F33" s="56">
        <v>95979</v>
      </c>
      <c r="G33" s="98" t="s">
        <v>127</v>
      </c>
      <c r="H33" s="103"/>
    </row>
    <row r="34" spans="3:8" x14ac:dyDescent="0.25">
      <c r="C34" s="8" t="s">
        <v>60</v>
      </c>
      <c r="D34" s="41" t="s">
        <v>51</v>
      </c>
      <c r="E34" s="38">
        <v>236</v>
      </c>
      <c r="F34" s="38">
        <v>103</v>
      </c>
      <c r="H34" s="103">
        <f t="shared" si="1"/>
        <v>-133</v>
      </c>
    </row>
    <row r="35" spans="3:8" x14ac:dyDescent="0.25">
      <c r="C35" s="48" t="s">
        <v>42</v>
      </c>
      <c r="D35" s="24" t="s">
        <v>51</v>
      </c>
      <c r="E35" s="44">
        <v>42250</v>
      </c>
      <c r="F35" s="44">
        <v>96082</v>
      </c>
      <c r="G35" s="38" t="s">
        <v>128</v>
      </c>
      <c r="H35" s="96">
        <f>SUM(H1:H34)</f>
        <v>21762</v>
      </c>
    </row>
    <row r="36" spans="3:8" x14ac:dyDescent="0.25">
      <c r="G36" s="80" t="s">
        <v>129</v>
      </c>
      <c r="H36" s="40">
        <f>E3</f>
        <v>33802</v>
      </c>
    </row>
    <row r="37" spans="3:8" x14ac:dyDescent="0.25">
      <c r="F37" s="45">
        <v>36123</v>
      </c>
      <c r="G37" s="38" t="s">
        <v>130</v>
      </c>
      <c r="H37" s="40">
        <f>F3</f>
        <v>55564</v>
      </c>
    </row>
    <row r="38" spans="3:8" x14ac:dyDescent="0.25">
      <c r="G38" s="45" t="s">
        <v>131</v>
      </c>
      <c r="H38" s="96">
        <f>H37-H36</f>
        <v>21762</v>
      </c>
    </row>
    <row r="41" spans="3:8" x14ac:dyDescent="0.25">
      <c r="H41" s="96">
        <f>H31-F37</f>
        <v>-6028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Company_Name</vt:lpstr>
      <vt:lpstr>Scenario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vboxuser</dc:creator>
  <cp:lastModifiedBy>vboxuser</cp:lastModifiedBy>
  <dcterms:created xsi:type="dcterms:W3CDTF">2024-03-04T05:14:09Z</dcterms:created>
  <dcterms:modified xsi:type="dcterms:W3CDTF">2024-03-04T20:23:57Z</dcterms:modified>
</cp:coreProperties>
</file>