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<sst xmlns="http://schemas.openxmlformats.org/spreadsheetml/2006/main" count="499" uniqueCount="249">
  <si>
    <t>File opened</t>
  </si>
  <si>
    <t>2020-12-16 10:12:38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</si>
  <si>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</si>
  <si>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</si>
  <si>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</si>
  <si>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</si>
  <si>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</si>
  <si>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</si>
  <si>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</si>
  <si>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</si>
  <si>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</si>
  <si>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</si>
  <si>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</si>
  <si>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{"co2bspanconc1": "400", "tazero": "0.00104713", "flowazero": "0.317", "h2oaspanconc1": "12.17", "h2obspan2": "0", "co2bspan2a": "0.0873229", "co2aspan2a": "0.0865215", "co2aspan2": "0", "chamberpressurezero": "2.57375", "co2bspan1": "0.999577", "h2obspan1": "0.998939", "co2bspan2b": "0.087286", "co2bspanconc2": "0", "h2obspanconc2": "0", "co2azero": "0.892502", "ssb_ref": "34919.1", "ssa_ref": "37127.4", "co2bzero": "0.898612", "co2aspan1": "1.00054", "h2oaspanconc2": "0", "h2obspan2b": "0.0677395", "h2oaspan2b": "0.0671222", "h2oaspan2a": "0.0668561", "h2oaspan2": "0", "h2obspanconc1": "12.17", "h2oazero": "1.16161", "flowmeterzero": "0.990581", "co2bspan2": "0", "tbzero": "0.0513058", "co2aspanconc1": "400", "h2oaspan1": "1.00398", "h2obspan2a": "0.0678114", "co2aspanconc2": "0", "co2aspan2b": "0.086568", "oxygen": "21", "h2obzero": "1.16501", "flowbzero": "0.26"}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</si>
  <si>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</si>
  <si>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</si>
  <si>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</si>
  <si>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</si>
  <si>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</si>
  <si>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</si>
  <si>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</si>
  <si>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10:12:39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</si>
  <si>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</si>
  <si>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</si>
  <si>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</si>
  <si>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</si>
  <si>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</si>
  <si>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</si>
  <si>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</si>
  <si>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</si>
  <si>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</si>
  <si>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</si>
  <si>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</si>
  <si>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</si>
  <si>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</si>
  <si>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</si>
  <si>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</si>
  <si>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</si>
  <si>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</si>
  <si>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</si>
  <si>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</si>
  <si>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</si>
  <si>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</si>
  <si>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</si>
  <si>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</si>
  <si>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</si>
  <si>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</si>
  <si>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</si>
  <si>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</si>
  <si>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</si>
  <si>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</si>
  <si>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</si>
  <si>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</si>
  <si>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</si>
  <si>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</si>
  <si>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</si>
  <si>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</si>
  <si>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</si>
  <si>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</si>
  <si>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</si>
  <si>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</si>
  <si>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</si>
  <si>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</si>
  <si>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</si>
  <si>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</si>
  <si>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</si>
  <si>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</si>
  <si>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</si>
  <si>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</si>
  <si>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</si>
  <si>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</si>
  <si>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</si>
  <si>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</si>
  <si>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</si>
  <si>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</si>
  <si>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6.07058 92.363 391.428 619.968 858.153 1059.61 1241.84 1400.52</t>
  </si>
  <si>
    <t>Fs_true</t>
  </si>
  <si>
    <t>1.21091 103.559 404.005 601.341 801.253 1000.78 1201.79 1400.9</t>
  </si>
  <si>
    <t>leak_wt</t>
  </si>
  <si>
    <t>Sys</t>
  </si>
  <si>
    <t>UserDefCon</t>
  </si>
  <si>
    <t>GasEx</t>
  </si>
  <si>
    <t>Leak</t>
  </si>
  <si>
    <t>LeafQ</t>
  </si>
  <si>
    <t>Const</t>
  </si>
  <si>
    <t>Meas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</si>
  <si>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</si>
  <si>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</si>
  <si>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</si>
  <si>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</si>
  <si>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</si>
  <si>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</si>
  <si>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</si>
  <si>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</si>
  <si>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</si>
  <si>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</si>
  <si>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</si>
  <si>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</si>
  <si>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</si>
  <si>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</si>
  <si>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</si>
  <si>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</si>
  <si>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</si>
  <si>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</si>
  <si>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</si>
  <si>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</si>
  <si>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</si>
  <si>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</si>
  <si>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</si>
  <si>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</si>
  <si>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</si>
  <si>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</si>
  <si>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</si>
  <si>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</si>
  <si>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</si>
  <si>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</si>
  <si>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</si>
  <si>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</si>
  <si>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</si>
  <si>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</si>
  <si>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</si>
  <si>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</si>
  <si>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</si>
  <si>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</si>
  <si>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</si>
  <si>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</si>
  <si>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</si>
  <si>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</si>
  <si>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</si>
  <si>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</si>
  <si>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</si>
  <si>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</si>
  <si>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</si>
  <si>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</si>
  <si>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</si>
  <si>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</si>
  <si>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</si>
  <si>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</si>
  <si>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</si>
  <si>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</si>
  <si>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</si>
  <si>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</si>
  <si>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</si>
  <si>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</si>
  <si>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</si>
  <si>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</si>
  <si>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</si>
  <si>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</si>
  <si>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</si>
  <si>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</si>
  <si>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</si>
  <si>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</si>
  <si>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</si>
  <si>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</si>
  <si>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</si>
  <si>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</si>
  <si>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</si>
  <si>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</si>
  <si>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</si>
  <si>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</si>
  <si>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</si>
  <si>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</si>
  <si>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</si>
  <si>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</si>
  <si>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</si>
  <si>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</si>
  <si>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</si>
  <si>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</si>
  <si>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</si>
  <si>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</si>
  <si>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</si>
  <si>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</si>
  <si>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</si>
  <si>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</si>
  <si>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</si>
  <si>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</si>
  <si>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</si>
  <si>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</si>
  <si>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</si>
  <si>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</si>
  <si>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</si>
  <si>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</si>
  <si>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</si>
  <si>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</si>
  <si>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</si>
  <si>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</si>
  <si>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</si>
  <si>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</si>
  <si>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</si>
  <si>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</si>
  <si>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</si>
  <si>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</si>
  <si>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</si>
  <si>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</si>
  <si>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</si>
  <si>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</si>
  <si>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</si>
  <si>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</si>
  <si>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</si>
  <si>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</si>
  <si>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</si>
  <si>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</si>
  <si>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</si>
  <si>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</si>
  <si>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</si>
  <si>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</si>
  <si>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</si>
  <si>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</si>
  <si>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</si>
  <si>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</si>
  <si>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</si>
  <si>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</si>
  <si>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</si>
  <si>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</si>
  <si>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</si>
  <si>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</si>
  <si>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</si>
  <si>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</si>
  <si>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</si>
  <si>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</si>
  <si>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</si>
  <si>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</si>
  <si>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</si>
  <si>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</si>
  <si>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</si>
  <si>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</si>
  <si>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</si>
  <si>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</si>
  <si>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</si>
  <si>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</si>
  <si>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</si>
  <si>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10:13:36</t>
  </si>
  <si>
    <t>10:13:36</t>
  </si>
  <si>
    <t>1149</t>
  </si>
  <si>
    <t>_1</t>
  </si>
  <si>
    <t>0: Broadleaf</t>
  </si>
  <si>
    <t>10:07:34</t>
  </si>
  <si>
    <t>0/3</t>
  </si>
  <si>
    <t>20201216 10:14:51</t>
  </si>
  <si>
    <t>10:14:51</t>
  </si>
  <si>
    <t>3/3</t>
  </si>
  <si>
    <t>20201216 10:16:26</t>
  </si>
  <si>
    <t>10:16:26</t>
  </si>
  <si>
    <t>20201216 10:18:27</t>
  </si>
  <si>
    <t>10:18:27</t>
  </si>
  <si>
    <t>10:18:54</t>
  </si>
  <si>
    <t>1/3</t>
  </si>
  <si>
    <t>20201216 10:20:53</t>
  </si>
  <si>
    <t>10:20:53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</si>
</sst>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T21"/>
  <sheetViews>
    <sheetView tabSelected="1" workbookViewId="0"/>
  </sheetViews>
  <sheetFormatPr defaultRowHeight="15"/>
  <sheetData>
    <row r="2" spans="1:124">
      <c r="A2" t="s">
        <v>23</v>
      </c>
      <c r="B2" t="s">
        <v>24</v>
      </c>
      <c r="C2" t="s">
        <v>26</v>
      </c>
    </row>
    <row r="3" spans="1:124">
      <c r="B3" t="s">
        <v>25</v>
      </c>
      <c r="C3">
        <v>21</v>
      </c>
    </row>
    <row r="4" spans="1:124">
      <c r="A4" t="s">
        <v>27</v>
      </c>
      <c r="B4" t="s">
        <v>28</v>
      </c>
      <c r="C4" t="s">
        <v>29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</row>
    <row r="5" spans="1:124">
      <c r="B5" t="s">
        <v>15</v>
      </c>
      <c r="C5" t="s">
        <v>30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24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>
      <c r="B7">
        <v>0</v>
      </c>
      <c r="C7">
        <v>1</v>
      </c>
      <c r="D7">
        <v>0</v>
      </c>
      <c r="E7">
        <v>0</v>
      </c>
    </row>
    <row r="8" spans="1:124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>
      <c r="B11">
        <v>0</v>
      </c>
      <c r="C11">
        <v>0</v>
      </c>
      <c r="D11">
        <v>0</v>
      </c>
      <c r="E11">
        <v>0</v>
      </c>
      <c r="F11">
        <v>1</v>
      </c>
    </row>
    <row r="12" spans="1:124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>
      <c r="B13">
        <v>-6276</v>
      </c>
      <c r="C13">
        <v>6.6</v>
      </c>
      <c r="D13">
        <v>1.709e-05</v>
      </c>
      <c r="E13">
        <v>3.11</v>
      </c>
      <c r="F13" t="s">
        <v>75</v>
      </c>
      <c r="G13" t="s">
        <v>77</v>
      </c>
      <c r="H13">
        <v>0</v>
      </c>
    </row>
    <row r="14" spans="1:124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80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83</v>
      </c>
      <c r="AL14" t="s">
        <v>83</v>
      </c>
      <c r="AM14" t="s">
        <v>83</v>
      </c>
      <c r="AN14" t="s">
        <v>83</v>
      </c>
      <c r="AO14" t="s">
        <v>84</v>
      </c>
      <c r="AP14" t="s">
        <v>84</v>
      </c>
      <c r="AQ14" t="s">
        <v>84</v>
      </c>
      <c r="AR14" t="s">
        <v>84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82</v>
      </c>
      <c r="AG15" t="s">
        <v>121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97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91</v>
      </c>
      <c r="BL15" t="s">
        <v>94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>
      <c r="B16" t="s">
        <v>210</v>
      </c>
      <c r="C16" t="s">
        <v>210</v>
      </c>
      <c r="H16" t="s">
        <v>210</v>
      </c>
      <c r="I16" t="s">
        <v>211</v>
      </c>
      <c r="J16" t="s">
        <v>212</v>
      </c>
      <c r="K16" t="s">
        <v>213</v>
      </c>
      <c r="L16" t="s">
        <v>214</v>
      </c>
      <c r="M16" t="s">
        <v>214</v>
      </c>
      <c r="N16" t="s">
        <v>140</v>
      </c>
      <c r="O16" t="s">
        <v>140</v>
      </c>
      <c r="P16" t="s">
        <v>211</v>
      </c>
      <c r="Q16" t="s">
        <v>211</v>
      </c>
      <c r="R16" t="s">
        <v>211</v>
      </c>
      <c r="S16" t="s">
        <v>211</v>
      </c>
      <c r="T16" t="s">
        <v>215</v>
      </c>
      <c r="U16" t="s">
        <v>216</v>
      </c>
      <c r="V16" t="s">
        <v>216</v>
      </c>
      <c r="W16" t="s">
        <v>217</v>
      </c>
      <c r="X16" t="s">
        <v>218</v>
      </c>
      <c r="Y16" t="s">
        <v>217</v>
      </c>
      <c r="Z16" t="s">
        <v>217</v>
      </c>
      <c r="AA16" t="s">
        <v>217</v>
      </c>
      <c r="AB16" t="s">
        <v>215</v>
      </c>
      <c r="AC16" t="s">
        <v>215</v>
      </c>
      <c r="AD16" t="s">
        <v>215</v>
      </c>
      <c r="AE16" t="s">
        <v>215</v>
      </c>
      <c r="AF16" t="s">
        <v>219</v>
      </c>
      <c r="AG16" t="s">
        <v>218</v>
      </c>
      <c r="AI16" t="s">
        <v>218</v>
      </c>
      <c r="AJ16" t="s">
        <v>219</v>
      </c>
      <c r="AK16" t="s">
        <v>213</v>
      </c>
      <c r="AL16" t="s">
        <v>213</v>
      </c>
      <c r="AN16" t="s">
        <v>220</v>
      </c>
      <c r="AO16" t="s">
        <v>221</v>
      </c>
      <c r="AR16" t="s">
        <v>211</v>
      </c>
      <c r="AS16" t="s">
        <v>210</v>
      </c>
      <c r="AT16" t="s">
        <v>214</v>
      </c>
      <c r="AU16" t="s">
        <v>214</v>
      </c>
      <c r="AV16" t="s">
        <v>222</v>
      </c>
      <c r="AW16" t="s">
        <v>222</v>
      </c>
      <c r="AX16" t="s">
        <v>214</v>
      </c>
      <c r="AY16" t="s">
        <v>222</v>
      </c>
      <c r="AZ16" t="s">
        <v>219</v>
      </c>
      <c r="BA16" t="s">
        <v>217</v>
      </c>
      <c r="BB16" t="s">
        <v>217</v>
      </c>
      <c r="BC16" t="s">
        <v>216</v>
      </c>
      <c r="BD16" t="s">
        <v>216</v>
      </c>
      <c r="BE16" t="s">
        <v>216</v>
      </c>
      <c r="BF16" t="s">
        <v>216</v>
      </c>
      <c r="BG16" t="s">
        <v>216</v>
      </c>
      <c r="BH16" t="s">
        <v>223</v>
      </c>
      <c r="BI16" t="s">
        <v>213</v>
      </c>
      <c r="BJ16" t="s">
        <v>213</v>
      </c>
      <c r="BK16" t="s">
        <v>224</v>
      </c>
      <c r="BM16" t="s">
        <v>210</v>
      </c>
      <c r="BN16" t="s">
        <v>210</v>
      </c>
      <c r="BP16" t="s">
        <v>225</v>
      </c>
      <c r="BQ16" t="s">
        <v>226</v>
      </c>
      <c r="BR16" t="s">
        <v>225</v>
      </c>
      <c r="BS16" t="s">
        <v>226</v>
      </c>
      <c r="BT16" t="s">
        <v>225</v>
      </c>
      <c r="BU16" t="s">
        <v>226</v>
      </c>
      <c r="BV16" t="s">
        <v>218</v>
      </c>
      <c r="BW16" t="s">
        <v>218</v>
      </c>
      <c r="BX16" t="s">
        <v>213</v>
      </c>
      <c r="BY16" t="s">
        <v>227</v>
      </c>
      <c r="BZ16" t="s">
        <v>213</v>
      </c>
      <c r="CB16" t="s">
        <v>214</v>
      </c>
      <c r="CC16" t="s">
        <v>228</v>
      </c>
      <c r="CD16" t="s">
        <v>214</v>
      </c>
      <c r="CF16" t="s">
        <v>222</v>
      </c>
      <c r="CG16" t="s">
        <v>229</v>
      </c>
      <c r="CH16" t="s">
        <v>222</v>
      </c>
      <c r="CM16" t="s">
        <v>218</v>
      </c>
      <c r="CN16" t="s">
        <v>218</v>
      </c>
      <c r="CO16" t="s">
        <v>225</v>
      </c>
      <c r="CP16" t="s">
        <v>226</v>
      </c>
      <c r="CQ16" t="s">
        <v>226</v>
      </c>
      <c r="CU16" t="s">
        <v>226</v>
      </c>
      <c r="CY16" t="s">
        <v>214</v>
      </c>
      <c r="CZ16" t="s">
        <v>214</v>
      </c>
      <c r="DA16" t="s">
        <v>222</v>
      </c>
      <c r="DB16" t="s">
        <v>222</v>
      </c>
      <c r="DC16" t="s">
        <v>230</v>
      </c>
      <c r="DD16" t="s">
        <v>230</v>
      </c>
      <c r="DF16" t="s">
        <v>219</v>
      </c>
      <c r="DG16" t="s">
        <v>219</v>
      </c>
      <c r="DH16" t="s">
        <v>216</v>
      </c>
      <c r="DI16" t="s">
        <v>216</v>
      </c>
      <c r="DJ16" t="s">
        <v>216</v>
      </c>
      <c r="DK16" t="s">
        <v>216</v>
      </c>
      <c r="DL16" t="s">
        <v>216</v>
      </c>
      <c r="DM16" t="s">
        <v>218</v>
      </c>
      <c r="DN16" t="s">
        <v>218</v>
      </c>
      <c r="DO16" t="s">
        <v>218</v>
      </c>
      <c r="DP16" t="s">
        <v>216</v>
      </c>
      <c r="DQ16" t="s">
        <v>214</v>
      </c>
      <c r="DR16" t="s">
        <v>222</v>
      </c>
      <c r="DS16" t="s">
        <v>218</v>
      </c>
      <c r="DT16" t="s">
        <v>218</v>
      </c>
    </row>
    <row r="17" spans="1:124">
      <c r="A17">
        <v>1</v>
      </c>
      <c r="B17">
        <v>1608135216.6</v>
      </c>
      <c r="C17">
        <v>0</v>
      </c>
      <c r="D17" t="s">
        <v>231</v>
      </c>
      <c r="E17" t="s">
        <v>232</v>
      </c>
      <c r="F17" t="s">
        <v>233</v>
      </c>
      <c r="G17" t="s">
        <v>234</v>
      </c>
      <c r="H17">
        <v>1608135208.85</v>
      </c>
      <c r="I17">
        <f>(J17)/1000</f>
        <v>0</v>
      </c>
      <c r="J17">
        <f>1000*AZ17*AH17*(AV17-AW17)/(100*AO17*(1000-AH17*AV17))</f>
        <v>0</v>
      </c>
      <c r="K17">
        <f>AZ17*AH17*(AU17-AT17*(1000-AH17*AW17)/(1000-AH17*AV17))/(100*AO17)</f>
        <v>0</v>
      </c>
      <c r="L17">
        <f>AT17 - IF(AH17&gt;1, K17*AO17*100.0/(AJ17*BH17), 0)</f>
        <v>0</v>
      </c>
      <c r="M17">
        <f>((S17-I17/2)*L17-K17)/(S17+I17/2)</f>
        <v>0</v>
      </c>
      <c r="N17">
        <f>M17*(BA17+BB17)/1000.0</f>
        <v>0</v>
      </c>
      <c r="O17">
        <f>(AT17 - IF(AH17&gt;1, K17*AO17*100.0/(AJ17*BH17), 0))*(BA17+BB17)/1000.0</f>
        <v>0</v>
      </c>
      <c r="P17">
        <f>2.0/((1/R17-1/Q17)+SIGN(R17)*SQRT((1/R17-1/Q17)*(1/R17-1/Q17) + 4*AP17/((AP17+1)*(AP17+1))*(2*1/R17*1/Q17-1/Q17*1/Q17)))</f>
        <v>0</v>
      </c>
      <c r="Q17">
        <f>IF(LEFT(AQ17,1)&lt;&gt;"0",IF(LEFT(AQ17,1)="1",3.0,AR17),$D$5+$E$5*(BH17*BA17/($K$5*1000))+$F$5*(BH17*BA17/($K$5*1000))*MAX(MIN(AO17,$J$5),$I$5)*MAX(MIN(AO17,$J$5),$I$5)+$G$5*MAX(MIN(AO17,$J$5),$I$5)*(BH17*BA17/($K$5*1000))+$H$5*(BH17*BA17/($K$5*1000))*(BH17*BA17/($K$5*1000)))</f>
        <v>0</v>
      </c>
      <c r="R17">
        <f>I17*(1000-(1000*0.61365*exp(17.502*V17/(240.97+V17))/(BA17+BB17)+AV17)/2)/(1000*0.61365*exp(17.502*V17/(240.97+V17))/(BA17+BB17)-AV17)</f>
        <v>0</v>
      </c>
      <c r="S17">
        <f>1/((AP17+1)/(P17/1.6)+1/(Q17/1.37)) + AP17/((AP17+1)/(P17/1.6) + AP17/(Q17/1.37))</f>
        <v>0</v>
      </c>
      <c r="T17">
        <f>(AL17*AN17)</f>
        <v>0</v>
      </c>
      <c r="U17">
        <f>(BC17+(T17+2*0.95*5.67E-8*(((BC17+$B$7)+273)^4-(BC17+273)^4)-44100*I17)/(1.84*29.3*Q17+8*0.95*5.67E-8*(BC17+273)^3))</f>
        <v>0</v>
      </c>
      <c r="V17">
        <f>($C$7*BD17+$D$7*BE17+$E$7*U17)</f>
        <v>0</v>
      </c>
      <c r="W17">
        <f>0.61365*exp(17.502*V17/(240.97+V17))</f>
        <v>0</v>
      </c>
      <c r="X17">
        <f>(Y17/Z17*100)</f>
        <v>0</v>
      </c>
      <c r="Y17">
        <f>AV17*(BA17+BB17)/1000</f>
        <v>0</v>
      </c>
      <c r="Z17">
        <f>0.61365*exp(17.502*BC17/(240.97+BC17))</f>
        <v>0</v>
      </c>
      <c r="AA17">
        <f>(W17-AV17*(BA17+BB17)/1000)</f>
        <v>0</v>
      </c>
      <c r="AB17">
        <f>(-I17*44100)</f>
        <v>0</v>
      </c>
      <c r="AC17">
        <f>2*29.3*Q17*0.92*(BC17-V17)</f>
        <v>0</v>
      </c>
      <c r="AD17">
        <f>2*0.95*5.67E-8*(((BC17+$B$7)+273)^4-(V17+273)^4)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MAX(0,($B$13+$C$13*BH17)/(1+$D$13*BH17)*BA17/(BC17+273)*$E$13)</f>
        <v>0</v>
      </c>
      <c r="AK17">
        <f>$B$11*BI17+$C$11*BJ17</f>
        <v>0</v>
      </c>
      <c r="AL17">
        <f>AK17*AM17</f>
        <v>0</v>
      </c>
      <c r="AM17">
        <f>($B$11*$D$9+$C$11*$D$9)/($B$11+$C$11)</f>
        <v>0</v>
      </c>
      <c r="AN17">
        <f>($B$11*$K$9+$C$11*$K$9)/($B$11+$C$11)</f>
        <v>0</v>
      </c>
      <c r="AO17">
        <v>6</v>
      </c>
      <c r="AP17">
        <v>0.5</v>
      </c>
      <c r="AQ17" t="s">
        <v>235</v>
      </c>
      <c r="AR17">
        <v>2</v>
      </c>
      <c r="AS17">
        <v>1608135208.85</v>
      </c>
      <c r="AT17">
        <v>700.900066666666</v>
      </c>
      <c r="AU17">
        <v>707.8767</v>
      </c>
      <c r="AV17">
        <v>21.0743833333333</v>
      </c>
      <c r="AW17">
        <v>20.6238933333333</v>
      </c>
      <c r="AX17">
        <v>701.123466666667</v>
      </c>
      <c r="AY17">
        <v>20.7853466666667</v>
      </c>
      <c r="AZ17">
        <v>500.020133333333</v>
      </c>
      <c r="BA17">
        <v>102.4842</v>
      </c>
      <c r="BB17">
        <v>0.100011346666667</v>
      </c>
      <c r="BC17">
        <v>27.80201</v>
      </c>
      <c r="BD17">
        <v>28.56278</v>
      </c>
      <c r="BE17">
        <v>999.9</v>
      </c>
      <c r="BF17">
        <v>0</v>
      </c>
      <c r="BG17">
        <v>0</v>
      </c>
      <c r="BH17">
        <v>10000.416</v>
      </c>
      <c r="BI17">
        <v>0</v>
      </c>
      <c r="BJ17">
        <v>322.750233333333</v>
      </c>
      <c r="BK17">
        <v>1608134854.6</v>
      </c>
      <c r="BL17" t="s">
        <v>236</v>
      </c>
      <c r="BM17">
        <v>1608134851.6</v>
      </c>
      <c r="BN17">
        <v>1608134854.6</v>
      </c>
      <c r="BO17">
        <v>2</v>
      </c>
      <c r="BP17">
        <v>0.222</v>
      </c>
      <c r="BQ17">
        <v>0.05</v>
      </c>
      <c r="BR17">
        <v>0.049</v>
      </c>
      <c r="BS17">
        <v>0.209</v>
      </c>
      <c r="BT17">
        <v>416</v>
      </c>
      <c r="BU17">
        <v>19</v>
      </c>
      <c r="BV17">
        <v>0.11</v>
      </c>
      <c r="BW17">
        <v>0.04</v>
      </c>
      <c r="BX17">
        <v>5.55490007221631</v>
      </c>
      <c r="BY17">
        <v>-0.813794020309489</v>
      </c>
      <c r="BZ17">
        <v>0.11739310174369</v>
      </c>
      <c r="CA17">
        <v>0</v>
      </c>
      <c r="CB17">
        <v>-6.97290483870968</v>
      </c>
      <c r="CC17">
        <v>-0.733035967741905</v>
      </c>
      <c r="CD17">
        <v>0.119390586727629</v>
      </c>
      <c r="CE17">
        <v>0</v>
      </c>
      <c r="CF17">
        <v>0.422408983870968</v>
      </c>
      <c r="CG17">
        <v>2.1211012016129</v>
      </c>
      <c r="CH17">
        <v>0.161077332584858</v>
      </c>
      <c r="CI17">
        <v>0</v>
      </c>
      <c r="CJ17">
        <v>0</v>
      </c>
      <c r="CK17">
        <v>3</v>
      </c>
      <c r="CL17" t="s">
        <v>237</v>
      </c>
      <c r="CM17">
        <v>100</v>
      </c>
      <c r="CN17">
        <v>100</v>
      </c>
      <c r="CO17">
        <v>-0.223</v>
      </c>
      <c r="CP17">
        <v>0.287</v>
      </c>
      <c r="CQ17">
        <v>0.228454010619455</v>
      </c>
      <c r="CR17">
        <v>-1.60436505785889e-05</v>
      </c>
      <c r="CS17">
        <v>-1.15305589960158e-06</v>
      </c>
      <c r="CT17">
        <v>3.65813499827708e-10</v>
      </c>
      <c r="CU17">
        <v>-0.0992026890558799</v>
      </c>
      <c r="CV17">
        <v>-0.0148585495900011</v>
      </c>
      <c r="CW17">
        <v>0.00206202478538563</v>
      </c>
      <c r="CX17">
        <v>-2.15789431663115e-05</v>
      </c>
      <c r="CY17">
        <v>18</v>
      </c>
      <c r="CZ17">
        <v>2225</v>
      </c>
      <c r="DA17">
        <v>1</v>
      </c>
      <c r="DB17">
        <v>25</v>
      </c>
      <c r="DC17">
        <v>6.1</v>
      </c>
      <c r="DD17">
        <v>6</v>
      </c>
      <c r="DE17">
        <v>2</v>
      </c>
      <c r="DF17">
        <v>511.459</v>
      </c>
      <c r="DG17">
        <v>487.833</v>
      </c>
      <c r="DH17">
        <v>23.8474</v>
      </c>
      <c r="DI17">
        <v>36.2093</v>
      </c>
      <c r="DJ17">
        <v>29.9995</v>
      </c>
      <c r="DK17">
        <v>36.3089</v>
      </c>
      <c r="DL17">
        <v>36.3568</v>
      </c>
      <c r="DM17">
        <v>29.9044</v>
      </c>
      <c r="DN17">
        <v>17.3064</v>
      </c>
      <c r="DO17">
        <v>33.5859</v>
      </c>
      <c r="DP17">
        <v>23.9282</v>
      </c>
      <c r="DQ17">
        <v>707.79</v>
      </c>
      <c r="DR17">
        <v>20.124</v>
      </c>
      <c r="DS17">
        <v>97.2696</v>
      </c>
      <c r="DT17">
        <v>101.591</v>
      </c>
    </row>
    <row r="18" spans="1:124">
      <c r="A18">
        <v>2</v>
      </c>
      <c r="B18">
        <v>1608135291.6</v>
      </c>
      <c r="C18">
        <v>75</v>
      </c>
      <c r="D18" t="s">
        <v>238</v>
      </c>
      <c r="E18" t="s">
        <v>239</v>
      </c>
      <c r="F18" t="s">
        <v>233</v>
      </c>
      <c r="G18" t="s">
        <v>234</v>
      </c>
      <c r="H18">
        <v>1608135283.6</v>
      </c>
      <c r="I18">
        <f>(J18)/1000</f>
        <v>0</v>
      </c>
      <c r="J18">
        <f>1000*AZ18*AH18*(AV18-AW18)/(100*AO18*(1000-AH18*AV18))</f>
        <v>0</v>
      </c>
      <c r="K18">
        <f>AZ18*AH18*(AU18-AT18*(1000-AH18*AW18)/(1000-AH18*AV18))/(100*AO18)</f>
        <v>0</v>
      </c>
      <c r="L18">
        <f>AT18 - IF(AH18&gt;1, K18*AO18*100.0/(AJ18*BH18), 0)</f>
        <v>0</v>
      </c>
      <c r="M18">
        <f>((S18-I18/2)*L18-K18)/(S18+I18/2)</f>
        <v>0</v>
      </c>
      <c r="N18">
        <f>M18*(BA18+BB18)/1000.0</f>
        <v>0</v>
      </c>
      <c r="O18">
        <f>(AT18 - IF(AH18&gt;1, K18*AO18*100.0/(AJ18*BH18), 0))*(BA18+BB18)/1000.0</f>
        <v>0</v>
      </c>
      <c r="P18">
        <f>2.0/((1/R18-1/Q18)+SIGN(R18)*SQRT((1/R18-1/Q18)*(1/R18-1/Q18) + 4*AP18/((AP18+1)*(AP18+1))*(2*1/R18*1/Q18-1/Q18*1/Q18)))</f>
        <v>0</v>
      </c>
      <c r="Q18">
        <f>IF(LEFT(AQ18,1)&lt;&gt;"0",IF(LEFT(AQ18,1)="1",3.0,AR18),$D$5+$E$5*(BH18*BA18/($K$5*1000))+$F$5*(BH18*BA18/($K$5*1000))*MAX(MIN(AO18,$J$5),$I$5)*MAX(MIN(AO18,$J$5),$I$5)+$G$5*MAX(MIN(AO18,$J$5),$I$5)*(BH18*BA18/($K$5*1000))+$H$5*(BH18*BA18/($K$5*1000))*(BH18*BA18/($K$5*1000)))</f>
        <v>0</v>
      </c>
      <c r="R18">
        <f>I18*(1000-(1000*0.61365*exp(17.502*V18/(240.97+V18))/(BA18+BB18)+AV18)/2)/(1000*0.61365*exp(17.502*V18/(240.97+V18))/(BA18+BB18)-AV18)</f>
        <v>0</v>
      </c>
      <c r="S18">
        <f>1/((AP18+1)/(P18/1.6)+1/(Q18/1.37)) + AP18/((AP18+1)/(P18/1.6) + AP18/(Q18/1.37))</f>
        <v>0</v>
      </c>
      <c r="T18">
        <f>(AL18*AN18)</f>
        <v>0</v>
      </c>
      <c r="U18">
        <f>(BC18+(T18+2*0.95*5.67E-8*(((BC18+$B$7)+273)^4-(BC18+273)^4)-44100*I18)/(1.84*29.3*Q18+8*0.95*5.67E-8*(BC18+273)^3))</f>
        <v>0</v>
      </c>
      <c r="V18">
        <f>($C$7*BD18+$D$7*BE18+$E$7*U18)</f>
        <v>0</v>
      </c>
      <c r="W18">
        <f>0.61365*exp(17.502*V18/(240.97+V18))</f>
        <v>0</v>
      </c>
      <c r="X18">
        <f>(Y18/Z18*100)</f>
        <v>0</v>
      </c>
      <c r="Y18">
        <f>AV18*(BA18+BB18)/1000</f>
        <v>0</v>
      </c>
      <c r="Z18">
        <f>0.61365*exp(17.502*BC18/(240.97+BC18))</f>
        <v>0</v>
      </c>
      <c r="AA18">
        <f>(W18-AV18*(BA18+BB18)/1000)</f>
        <v>0</v>
      </c>
      <c r="AB18">
        <f>(-I18*44100)</f>
        <v>0</v>
      </c>
      <c r="AC18">
        <f>2*29.3*Q18*0.92*(BC18-V18)</f>
        <v>0</v>
      </c>
      <c r="AD18">
        <f>2*0.95*5.67E-8*(((BC18+$B$7)+273)^4-(V18+273)^4)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MAX(0,($B$13+$C$13*BH18)/(1+$D$13*BH18)*BA18/(BC18+273)*$E$13)</f>
        <v>0</v>
      </c>
      <c r="AK18">
        <f>$B$11*BI18+$C$11*BJ18</f>
        <v>0</v>
      </c>
      <c r="AL18">
        <f>AK18*AM18</f>
        <v>0</v>
      </c>
      <c r="AM18">
        <f>($B$11*$D$9+$C$11*$D$9)/($B$11+$C$11)</f>
        <v>0</v>
      </c>
      <c r="AN18">
        <f>($B$11*$K$9+$C$11*$K$9)/($B$11+$C$11)</f>
        <v>0</v>
      </c>
      <c r="AO18">
        <v>6</v>
      </c>
      <c r="AP18">
        <v>0.5</v>
      </c>
      <c r="AQ18" t="s">
        <v>235</v>
      </c>
      <c r="AR18">
        <v>2</v>
      </c>
      <c r="AS18">
        <v>1608135283.6</v>
      </c>
      <c r="AT18">
        <v>798.207516129032</v>
      </c>
      <c r="AU18">
        <v>807.483774193548</v>
      </c>
      <c r="AV18">
        <v>20.8146774193548</v>
      </c>
      <c r="AW18">
        <v>20.7818709677419</v>
      </c>
      <c r="AX18">
        <v>798.540870967742</v>
      </c>
      <c r="AY18">
        <v>20.5362741935484</v>
      </c>
      <c r="AZ18">
        <v>500.028612903226</v>
      </c>
      <c r="BA18">
        <v>102.478032258065</v>
      </c>
      <c r="BB18">
        <v>0.0999902903225806</v>
      </c>
      <c r="BC18">
        <v>27.9761580645161</v>
      </c>
      <c r="BD18">
        <v>28.7050419354839</v>
      </c>
      <c r="BE18">
        <v>999.9</v>
      </c>
      <c r="BF18">
        <v>0</v>
      </c>
      <c r="BG18">
        <v>0</v>
      </c>
      <c r="BH18">
        <v>9995.20451612903</v>
      </c>
      <c r="BI18">
        <v>0</v>
      </c>
      <c r="BJ18">
        <v>325.206193548387</v>
      </c>
      <c r="BK18">
        <v>1608134854.6</v>
      </c>
      <c r="BL18" t="s">
        <v>236</v>
      </c>
      <c r="BM18">
        <v>1608134851.6</v>
      </c>
      <c r="BN18">
        <v>1608134854.6</v>
      </c>
      <c r="BO18">
        <v>2</v>
      </c>
      <c r="BP18">
        <v>0.222</v>
      </c>
      <c r="BQ18">
        <v>0.05</v>
      </c>
      <c r="BR18">
        <v>0.049</v>
      </c>
      <c r="BS18">
        <v>0.209</v>
      </c>
      <c r="BT18">
        <v>416</v>
      </c>
      <c r="BU18">
        <v>19</v>
      </c>
      <c r="BV18">
        <v>0.11</v>
      </c>
      <c r="BW18">
        <v>0.04</v>
      </c>
      <c r="BX18">
        <v>7.71978228014884</v>
      </c>
      <c r="BY18">
        <v>-0.28023879516079</v>
      </c>
      <c r="BZ18">
        <v>0.0533020665696941</v>
      </c>
      <c r="CA18">
        <v>1</v>
      </c>
      <c r="CB18">
        <v>-9.28251225806452</v>
      </c>
      <c r="CC18">
        <v>0.181085806451618</v>
      </c>
      <c r="CD18">
        <v>0.0651613323251222</v>
      </c>
      <c r="CE18">
        <v>1</v>
      </c>
      <c r="CF18">
        <v>0.0326408890322581</v>
      </c>
      <c r="CG18">
        <v>0.0234089259677419</v>
      </c>
      <c r="CH18">
        <v>0.0208547557353425</v>
      </c>
      <c r="CI18">
        <v>1</v>
      </c>
      <c r="CJ18">
        <v>3</v>
      </c>
      <c r="CK18">
        <v>3</v>
      </c>
      <c r="CL18" t="s">
        <v>240</v>
      </c>
      <c r="CM18">
        <v>100</v>
      </c>
      <c r="CN18">
        <v>100</v>
      </c>
      <c r="CO18">
        <v>-0.334</v>
      </c>
      <c r="CP18">
        <v>0.2844</v>
      </c>
      <c r="CQ18">
        <v>0.228454010619455</v>
      </c>
      <c r="CR18">
        <v>-1.60436505785889e-05</v>
      </c>
      <c r="CS18">
        <v>-1.15305589960158e-06</v>
      </c>
      <c r="CT18">
        <v>3.65813499827708e-10</v>
      </c>
      <c r="CU18">
        <v>-0.0992026890558799</v>
      </c>
      <c r="CV18">
        <v>-0.0148585495900011</v>
      </c>
      <c r="CW18">
        <v>0.00206202478538563</v>
      </c>
      <c r="CX18">
        <v>-2.15789431663115e-05</v>
      </c>
      <c r="CY18">
        <v>18</v>
      </c>
      <c r="CZ18">
        <v>2225</v>
      </c>
      <c r="DA18">
        <v>1</v>
      </c>
      <c r="DB18">
        <v>25</v>
      </c>
      <c r="DC18">
        <v>7.3</v>
      </c>
      <c r="DD18">
        <v>7.3</v>
      </c>
      <c r="DE18">
        <v>2</v>
      </c>
      <c r="DF18">
        <v>511.334</v>
      </c>
      <c r="DG18">
        <v>488.064</v>
      </c>
      <c r="DH18">
        <v>23.3455</v>
      </c>
      <c r="DI18">
        <v>36.13</v>
      </c>
      <c r="DJ18">
        <v>29.997</v>
      </c>
      <c r="DK18">
        <v>36.2381</v>
      </c>
      <c r="DL18">
        <v>36.2877</v>
      </c>
      <c r="DM18">
        <v>33.3602</v>
      </c>
      <c r="DN18">
        <v>12.9919</v>
      </c>
      <c r="DO18">
        <v>33.2141</v>
      </c>
      <c r="DP18">
        <v>23.4241</v>
      </c>
      <c r="DQ18">
        <v>808.309</v>
      </c>
      <c r="DR18">
        <v>20.8579</v>
      </c>
      <c r="DS18">
        <v>97.2834</v>
      </c>
      <c r="DT18">
        <v>101.6</v>
      </c>
    </row>
    <row r="19" spans="1:124">
      <c r="A19">
        <v>3</v>
      </c>
      <c r="B19">
        <v>1608135386.6</v>
      </c>
      <c r="C19">
        <v>170</v>
      </c>
      <c r="D19" t="s">
        <v>241</v>
      </c>
      <c r="E19" t="s">
        <v>242</v>
      </c>
      <c r="F19" t="s">
        <v>233</v>
      </c>
      <c r="G19" t="s">
        <v>234</v>
      </c>
      <c r="H19">
        <v>1608135378.6</v>
      </c>
      <c r="I19">
        <f>(J19)/1000</f>
        <v>0</v>
      </c>
      <c r="J19">
        <f>1000*AZ19*AH19*(AV19-AW19)/(100*AO19*(1000-AH19*AV19))</f>
        <v>0</v>
      </c>
      <c r="K19">
        <f>AZ19*AH19*(AU19-AT19*(1000-AH19*AW19)/(1000-AH19*AV19))/(100*AO19)</f>
        <v>0</v>
      </c>
      <c r="L19">
        <f>AT19 - IF(AH19&gt;1, K19*AO19*100.0/(AJ19*BH19), 0)</f>
        <v>0</v>
      </c>
      <c r="M19">
        <f>((S19-I19/2)*L19-K19)/(S19+I19/2)</f>
        <v>0</v>
      </c>
      <c r="N19">
        <f>M19*(BA19+BB19)/1000.0</f>
        <v>0</v>
      </c>
      <c r="O19">
        <f>(AT19 - IF(AH19&gt;1, K19*AO19*100.0/(AJ19*BH19), 0))*(BA19+BB19)/1000.0</f>
        <v>0</v>
      </c>
      <c r="P19">
        <f>2.0/((1/R19-1/Q19)+SIGN(R19)*SQRT((1/R19-1/Q19)*(1/R19-1/Q19) + 4*AP19/((AP19+1)*(AP19+1))*(2*1/R19*1/Q19-1/Q19*1/Q19)))</f>
        <v>0</v>
      </c>
      <c r="Q19">
        <f>IF(LEFT(AQ19,1)&lt;&gt;"0",IF(LEFT(AQ19,1)="1",3.0,AR19),$D$5+$E$5*(BH19*BA19/($K$5*1000))+$F$5*(BH19*BA19/($K$5*1000))*MAX(MIN(AO19,$J$5),$I$5)*MAX(MIN(AO19,$J$5),$I$5)+$G$5*MAX(MIN(AO19,$J$5),$I$5)*(BH19*BA19/($K$5*1000))+$H$5*(BH19*BA19/($K$5*1000))*(BH19*BA19/($K$5*1000)))</f>
        <v>0</v>
      </c>
      <c r="R19">
        <f>I19*(1000-(1000*0.61365*exp(17.502*V19/(240.97+V19))/(BA19+BB19)+AV19)/2)/(1000*0.61365*exp(17.502*V19/(240.97+V19))/(BA19+BB19)-AV19)</f>
        <v>0</v>
      </c>
      <c r="S19">
        <f>1/((AP19+1)/(P19/1.6)+1/(Q19/1.37)) + AP19/((AP19+1)/(P19/1.6) + AP19/(Q19/1.37))</f>
        <v>0</v>
      </c>
      <c r="T19">
        <f>(AL19*AN19)</f>
        <v>0</v>
      </c>
      <c r="U19">
        <f>(BC19+(T19+2*0.95*5.67E-8*(((BC19+$B$7)+273)^4-(BC19+273)^4)-44100*I19)/(1.84*29.3*Q19+8*0.95*5.67E-8*(BC19+273)^3))</f>
        <v>0</v>
      </c>
      <c r="V19">
        <f>($C$7*BD19+$D$7*BE19+$E$7*U19)</f>
        <v>0</v>
      </c>
      <c r="W19">
        <f>0.61365*exp(17.502*V19/(240.97+V19))</f>
        <v>0</v>
      </c>
      <c r="X19">
        <f>(Y19/Z19*100)</f>
        <v>0</v>
      </c>
      <c r="Y19">
        <f>AV19*(BA19+BB19)/1000</f>
        <v>0</v>
      </c>
      <c r="Z19">
        <f>0.61365*exp(17.502*BC19/(240.97+BC19))</f>
        <v>0</v>
      </c>
      <c r="AA19">
        <f>(W19-AV19*(BA19+BB19)/1000)</f>
        <v>0</v>
      </c>
      <c r="AB19">
        <f>(-I19*44100)</f>
        <v>0</v>
      </c>
      <c r="AC19">
        <f>2*29.3*Q19*0.92*(BC19-V19)</f>
        <v>0</v>
      </c>
      <c r="AD19">
        <f>2*0.95*5.67E-8*(((BC19+$B$7)+273)^4-(V19+273)^4)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MAX(0,($B$13+$C$13*BH19)/(1+$D$13*BH19)*BA19/(BC19+273)*$E$13)</f>
        <v>0</v>
      </c>
      <c r="AK19">
        <f>$B$11*BI19+$C$11*BJ19</f>
        <v>0</v>
      </c>
      <c r="AL19">
        <f>AK19*AM19</f>
        <v>0</v>
      </c>
      <c r="AM19">
        <f>($B$11*$D$9+$C$11*$D$9)/($B$11+$C$11)</f>
        <v>0</v>
      </c>
      <c r="AN19">
        <f>($B$11*$K$9+$C$11*$K$9)/($B$11+$C$11)</f>
        <v>0</v>
      </c>
      <c r="AO19">
        <v>6</v>
      </c>
      <c r="AP19">
        <v>0.5</v>
      </c>
      <c r="AQ19" t="s">
        <v>235</v>
      </c>
      <c r="AR19">
        <v>2</v>
      </c>
      <c r="AS19">
        <v>1608135378.6</v>
      </c>
      <c r="AT19">
        <v>899.283612903226</v>
      </c>
      <c r="AU19">
        <v>910.029935483871</v>
      </c>
      <c r="AV19">
        <v>20.932864516129</v>
      </c>
      <c r="AW19">
        <v>20.4853258064516</v>
      </c>
      <c r="AX19">
        <v>899.736580645161</v>
      </c>
      <c r="AY19">
        <v>20.6496258064516</v>
      </c>
      <c r="AZ19">
        <v>500.032</v>
      </c>
      <c r="BA19">
        <v>102.471548387097</v>
      </c>
      <c r="BB19">
        <v>0.0999756</v>
      </c>
      <c r="BC19">
        <v>27.9940129032258</v>
      </c>
      <c r="BD19">
        <v>28.6836387096774</v>
      </c>
      <c r="BE19">
        <v>999.9</v>
      </c>
      <c r="BF19">
        <v>0</v>
      </c>
      <c r="BG19">
        <v>0</v>
      </c>
      <c r="BH19">
        <v>10004.1774193548</v>
      </c>
      <c r="BI19">
        <v>0</v>
      </c>
      <c r="BJ19">
        <v>326.268548387097</v>
      </c>
      <c r="BK19">
        <v>1608134854.6</v>
      </c>
      <c r="BL19" t="s">
        <v>236</v>
      </c>
      <c r="BM19">
        <v>1608134851.6</v>
      </c>
      <c r="BN19">
        <v>1608134854.6</v>
      </c>
      <c r="BO19">
        <v>2</v>
      </c>
      <c r="BP19">
        <v>0.222</v>
      </c>
      <c r="BQ19">
        <v>0.05</v>
      </c>
      <c r="BR19">
        <v>0.049</v>
      </c>
      <c r="BS19">
        <v>0.209</v>
      </c>
      <c r="BT19">
        <v>416</v>
      </c>
      <c r="BU19">
        <v>19</v>
      </c>
      <c r="BV19">
        <v>0.11</v>
      </c>
      <c r="BW19">
        <v>0.04</v>
      </c>
      <c r="BX19">
        <v>8.6187070274222</v>
      </c>
      <c r="BY19">
        <v>-0.15106255856894</v>
      </c>
      <c r="BZ19">
        <v>0.030149021598075</v>
      </c>
      <c r="CA19">
        <v>1</v>
      </c>
      <c r="CB19">
        <v>-10.7493838709677</v>
      </c>
      <c r="CC19">
        <v>0.135832258064534</v>
      </c>
      <c r="CD19">
        <v>0.0312165288803573</v>
      </c>
      <c r="CE19">
        <v>1</v>
      </c>
      <c r="CF19">
        <v>0.447817548387097</v>
      </c>
      <c r="CG19">
        <v>-0.0329424193548401</v>
      </c>
      <c r="CH19">
        <v>0.00257501395973303</v>
      </c>
      <c r="CI19">
        <v>1</v>
      </c>
      <c r="CJ19">
        <v>3</v>
      </c>
      <c r="CK19">
        <v>3</v>
      </c>
      <c r="CL19" t="s">
        <v>240</v>
      </c>
      <c r="CM19">
        <v>100</v>
      </c>
      <c r="CN19">
        <v>100</v>
      </c>
      <c r="CO19">
        <v>-0.454</v>
      </c>
      <c r="CP19">
        <v>0.2829</v>
      </c>
      <c r="CQ19">
        <v>0.228454010619455</v>
      </c>
      <c r="CR19">
        <v>-1.60436505785889e-05</v>
      </c>
      <c r="CS19">
        <v>-1.15305589960158e-06</v>
      </c>
      <c r="CT19">
        <v>3.65813499827708e-10</v>
      </c>
      <c r="CU19">
        <v>-0.0992026890558799</v>
      </c>
      <c r="CV19">
        <v>-0.0148585495900011</v>
      </c>
      <c r="CW19">
        <v>0.00206202478538563</v>
      </c>
      <c r="CX19">
        <v>-2.15789431663115e-05</v>
      </c>
      <c r="CY19">
        <v>18</v>
      </c>
      <c r="CZ19">
        <v>2225</v>
      </c>
      <c r="DA19">
        <v>1</v>
      </c>
      <c r="DB19">
        <v>25</v>
      </c>
      <c r="DC19">
        <v>8.9</v>
      </c>
      <c r="DD19">
        <v>8.9</v>
      </c>
      <c r="DE19">
        <v>2</v>
      </c>
      <c r="DF19">
        <v>511.552</v>
      </c>
      <c r="DG19">
        <v>487.373</v>
      </c>
      <c r="DH19">
        <v>23.9224</v>
      </c>
      <c r="DI19">
        <v>36.0149</v>
      </c>
      <c r="DJ19">
        <v>29.9996</v>
      </c>
      <c r="DK19">
        <v>36.133</v>
      </c>
      <c r="DL19">
        <v>36.1851</v>
      </c>
      <c r="DM19">
        <v>36.7516</v>
      </c>
      <c r="DN19">
        <v>15.3334</v>
      </c>
      <c r="DO19">
        <v>33.2141</v>
      </c>
      <c r="DP19">
        <v>23.9213</v>
      </c>
      <c r="DQ19">
        <v>910.23</v>
      </c>
      <c r="DR19">
        <v>20.5004</v>
      </c>
      <c r="DS19">
        <v>97.3109</v>
      </c>
      <c r="DT19">
        <v>101.621</v>
      </c>
    </row>
    <row r="20" spans="1:124">
      <c r="A20">
        <v>4</v>
      </c>
      <c r="B20">
        <v>1608135507.1</v>
      </c>
      <c r="C20">
        <v>290.5</v>
      </c>
      <c r="D20" t="s">
        <v>243</v>
      </c>
      <c r="E20" t="s">
        <v>244</v>
      </c>
      <c r="F20" t="s">
        <v>233</v>
      </c>
      <c r="G20" t="s">
        <v>234</v>
      </c>
      <c r="H20">
        <v>1608135499.35</v>
      </c>
      <c r="I20">
        <f>(J20)/1000</f>
        <v>0</v>
      </c>
      <c r="J20">
        <f>1000*AZ20*AH20*(AV20-AW20)/(100*AO20*(1000-AH20*AV20))</f>
        <v>0</v>
      </c>
      <c r="K20">
        <f>AZ20*AH20*(AU20-AT20*(1000-AH20*AW20)/(1000-AH20*AV20))/(100*AO20)</f>
        <v>0</v>
      </c>
      <c r="L20">
        <f>AT20 - IF(AH20&gt;1, K20*AO20*100.0/(AJ20*BH20), 0)</f>
        <v>0</v>
      </c>
      <c r="M20">
        <f>((S20-I20/2)*L20-K20)/(S20+I20/2)</f>
        <v>0</v>
      </c>
      <c r="N20">
        <f>M20*(BA20+BB20)/1000.0</f>
        <v>0</v>
      </c>
      <c r="O20">
        <f>(AT20 - IF(AH20&gt;1, K20*AO20*100.0/(AJ20*BH20), 0))*(BA20+BB20)/1000.0</f>
        <v>0</v>
      </c>
      <c r="P20">
        <f>2.0/((1/R20-1/Q20)+SIGN(R20)*SQRT((1/R20-1/Q20)*(1/R20-1/Q20) + 4*AP20/((AP20+1)*(AP20+1))*(2*1/R20*1/Q20-1/Q20*1/Q20)))</f>
        <v>0</v>
      </c>
      <c r="Q20">
        <f>IF(LEFT(AQ20,1)&lt;&gt;"0",IF(LEFT(AQ20,1)="1",3.0,AR20),$D$5+$E$5*(BH20*BA20/($K$5*1000))+$F$5*(BH20*BA20/($K$5*1000))*MAX(MIN(AO20,$J$5),$I$5)*MAX(MIN(AO20,$J$5),$I$5)+$G$5*MAX(MIN(AO20,$J$5),$I$5)*(BH20*BA20/($K$5*1000))+$H$5*(BH20*BA20/($K$5*1000))*(BH20*BA20/($K$5*1000)))</f>
        <v>0</v>
      </c>
      <c r="R20">
        <f>I20*(1000-(1000*0.61365*exp(17.502*V20/(240.97+V20))/(BA20+BB20)+AV20)/2)/(1000*0.61365*exp(17.502*V20/(240.97+V20))/(BA20+BB20)-AV20)</f>
        <v>0</v>
      </c>
      <c r="S20">
        <f>1/((AP20+1)/(P20/1.6)+1/(Q20/1.37)) + AP20/((AP20+1)/(P20/1.6) + AP20/(Q20/1.37))</f>
        <v>0</v>
      </c>
      <c r="T20">
        <f>(AL20*AN20)</f>
        <v>0</v>
      </c>
      <c r="U20">
        <f>(BC20+(T20+2*0.95*5.67E-8*(((BC20+$B$7)+273)^4-(BC20+273)^4)-44100*I20)/(1.84*29.3*Q20+8*0.95*5.67E-8*(BC20+273)^3))</f>
        <v>0</v>
      </c>
      <c r="V20">
        <f>($C$7*BD20+$D$7*BE20+$E$7*U20)</f>
        <v>0</v>
      </c>
      <c r="W20">
        <f>0.61365*exp(17.502*V20/(240.97+V20))</f>
        <v>0</v>
      </c>
      <c r="X20">
        <f>(Y20/Z20*100)</f>
        <v>0</v>
      </c>
      <c r="Y20">
        <f>AV20*(BA20+BB20)/1000</f>
        <v>0</v>
      </c>
      <c r="Z20">
        <f>0.61365*exp(17.502*BC20/(240.97+BC20))</f>
        <v>0</v>
      </c>
      <c r="AA20">
        <f>(W20-AV20*(BA20+BB20)/1000)</f>
        <v>0</v>
      </c>
      <c r="AB20">
        <f>(-I20*44100)</f>
        <v>0</v>
      </c>
      <c r="AC20">
        <f>2*29.3*Q20*0.92*(BC20-V20)</f>
        <v>0</v>
      </c>
      <c r="AD20">
        <f>2*0.95*5.67E-8*(((BC20+$B$7)+273)^4-(V20+273)^4)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MAX(0,($B$13+$C$13*BH20)/(1+$D$13*BH20)*BA20/(BC20+273)*$E$13)</f>
        <v>0</v>
      </c>
      <c r="AK20">
        <f>$B$11*BI20+$C$11*BJ20</f>
        <v>0</v>
      </c>
      <c r="AL20">
        <f>AK20*AM20</f>
        <v>0</v>
      </c>
      <c r="AM20">
        <f>($B$11*$D$9+$C$11*$D$9)/($B$11+$C$11)</f>
        <v>0</v>
      </c>
      <c r="AN20">
        <f>($B$11*$K$9+$C$11*$K$9)/($B$11+$C$11)</f>
        <v>0</v>
      </c>
      <c r="AO20">
        <v>6</v>
      </c>
      <c r="AP20">
        <v>0.5</v>
      </c>
      <c r="AQ20" t="s">
        <v>235</v>
      </c>
      <c r="AR20">
        <v>2</v>
      </c>
      <c r="AS20">
        <v>1608135499.35</v>
      </c>
      <c r="AT20">
        <v>1199.465</v>
      </c>
      <c r="AU20">
        <v>1214.05666666667</v>
      </c>
      <c r="AV20">
        <v>20.9603733333333</v>
      </c>
      <c r="AW20">
        <v>20.5953</v>
      </c>
      <c r="AX20">
        <v>1200.273</v>
      </c>
      <c r="AY20">
        <v>20.7083733333333</v>
      </c>
      <c r="AZ20">
        <v>500.028166666667</v>
      </c>
      <c r="BA20">
        <v>102.464933333333</v>
      </c>
      <c r="BB20">
        <v>0.09995034</v>
      </c>
      <c r="BC20">
        <v>28.0020833333333</v>
      </c>
      <c r="BD20">
        <v>28.6901</v>
      </c>
      <c r="BE20">
        <v>999.9</v>
      </c>
      <c r="BF20">
        <v>0</v>
      </c>
      <c r="BG20">
        <v>0</v>
      </c>
      <c r="BH20">
        <v>10004.2273333333</v>
      </c>
      <c r="BI20">
        <v>0</v>
      </c>
      <c r="BJ20">
        <v>341.976566666667</v>
      </c>
      <c r="BK20">
        <v>1608135534.1</v>
      </c>
      <c r="BL20" t="s">
        <v>245</v>
      </c>
      <c r="BM20">
        <v>1608135534.1</v>
      </c>
      <c r="BN20">
        <v>1608135524.1</v>
      </c>
      <c r="BO20">
        <v>3</v>
      </c>
      <c r="BP20">
        <v>0.029</v>
      </c>
      <c r="BQ20">
        <v>-0.019</v>
      </c>
      <c r="BR20">
        <v>-0.808</v>
      </c>
      <c r="BS20">
        <v>0.252</v>
      </c>
      <c r="BT20">
        <v>1214</v>
      </c>
      <c r="BU20">
        <v>21</v>
      </c>
      <c r="BV20">
        <v>0.28</v>
      </c>
      <c r="BW20">
        <v>0.09</v>
      </c>
      <c r="BX20">
        <v>11.7746988863856</v>
      </c>
      <c r="BY20">
        <v>-0.560447569748276</v>
      </c>
      <c r="BZ20">
        <v>0.0532069799659981</v>
      </c>
      <c r="CA20">
        <v>0</v>
      </c>
      <c r="CB20">
        <v>-14.6087903225806</v>
      </c>
      <c r="CC20">
        <v>0.709780645161275</v>
      </c>
      <c r="CD20">
        <v>0.0682619166240318</v>
      </c>
      <c r="CE20">
        <v>0</v>
      </c>
      <c r="CF20">
        <v>0.39992964516129</v>
      </c>
      <c r="CG20">
        <v>-0.0750122903225815</v>
      </c>
      <c r="CH20">
        <v>0.0134587597965484</v>
      </c>
      <c r="CI20">
        <v>1</v>
      </c>
      <c r="CJ20">
        <v>1</v>
      </c>
      <c r="CK20">
        <v>3</v>
      </c>
      <c r="CL20" t="s">
        <v>246</v>
      </c>
      <c r="CM20">
        <v>100</v>
      </c>
      <c r="CN20">
        <v>100</v>
      </c>
      <c r="CO20">
        <v>-0.808</v>
      </c>
      <c r="CP20">
        <v>0.252</v>
      </c>
      <c r="CQ20">
        <v>0.228454010619455</v>
      </c>
      <c r="CR20">
        <v>-1.60436505785889e-05</v>
      </c>
      <c r="CS20">
        <v>-1.15305589960158e-06</v>
      </c>
      <c r="CT20">
        <v>3.65813499827708e-10</v>
      </c>
      <c r="CU20">
        <v>-0.0992026890558799</v>
      </c>
      <c r="CV20">
        <v>-0.0148585495900011</v>
      </c>
      <c r="CW20">
        <v>0.00206202478538563</v>
      </c>
      <c r="CX20">
        <v>-2.15789431663115e-05</v>
      </c>
      <c r="CY20">
        <v>18</v>
      </c>
      <c r="CZ20">
        <v>2225</v>
      </c>
      <c r="DA20">
        <v>1</v>
      </c>
      <c r="DB20">
        <v>25</v>
      </c>
      <c r="DC20">
        <v>10.9</v>
      </c>
      <c r="DD20">
        <v>10.9</v>
      </c>
      <c r="DE20">
        <v>2</v>
      </c>
      <c r="DF20">
        <v>511.239</v>
      </c>
      <c r="DG20">
        <v>487.83</v>
      </c>
      <c r="DH20">
        <v>23.866</v>
      </c>
      <c r="DI20">
        <v>35.8514</v>
      </c>
      <c r="DJ20">
        <v>30.0002</v>
      </c>
      <c r="DK20">
        <v>35.988</v>
      </c>
      <c r="DL20">
        <v>36.0417</v>
      </c>
      <c r="DM20">
        <v>46.5155</v>
      </c>
      <c r="DN20">
        <v>13.6096</v>
      </c>
      <c r="DO20">
        <v>32.8435</v>
      </c>
      <c r="DP20">
        <v>23.766</v>
      </c>
      <c r="DQ20">
        <v>1214.32</v>
      </c>
      <c r="DR20">
        <v>20.6025</v>
      </c>
      <c r="DS20">
        <v>97.3443</v>
      </c>
      <c r="DT20">
        <v>101.646</v>
      </c>
    </row>
    <row r="21" spans="1:124">
      <c r="A21">
        <v>5</v>
      </c>
      <c r="B21">
        <v>1608135653</v>
      </c>
      <c r="C21">
        <v>436.400000095367</v>
      </c>
      <c r="D21" t="s">
        <v>247</v>
      </c>
      <c r="E21" t="s">
        <v>248</v>
      </c>
      <c r="F21" t="s">
        <v>233</v>
      </c>
      <c r="G21" t="s">
        <v>234</v>
      </c>
      <c r="H21">
        <v>1608135645</v>
      </c>
      <c r="I21">
        <f>(J21)/1000</f>
        <v>0</v>
      </c>
      <c r="J21">
        <f>1000*AZ21*AH21*(AV21-AW21)/(100*AO21*(1000-AH21*AV21))</f>
        <v>0</v>
      </c>
      <c r="K21">
        <f>AZ21*AH21*(AU21-AT21*(1000-AH21*AW21)/(1000-AH21*AV21))/(100*AO21)</f>
        <v>0</v>
      </c>
      <c r="L21">
        <f>AT21 - IF(AH21&gt;1, K21*AO21*100.0/(AJ21*BH21), 0)</f>
        <v>0</v>
      </c>
      <c r="M21">
        <f>((S21-I21/2)*L21-K21)/(S21+I21/2)</f>
        <v>0</v>
      </c>
      <c r="N21">
        <f>M21*(BA21+BB21)/1000.0</f>
        <v>0</v>
      </c>
      <c r="O21">
        <f>(AT21 - IF(AH21&gt;1, K21*AO21*100.0/(AJ21*BH21), 0))*(BA21+BB21)/1000.0</f>
        <v>0</v>
      </c>
      <c r="P21">
        <f>2.0/((1/R21-1/Q21)+SIGN(R21)*SQRT((1/R21-1/Q21)*(1/R21-1/Q21) + 4*AP21/((AP21+1)*(AP21+1))*(2*1/R21*1/Q21-1/Q21*1/Q21)))</f>
        <v>0</v>
      </c>
      <c r="Q21">
        <f>IF(LEFT(AQ21,1)&lt;&gt;"0",IF(LEFT(AQ21,1)="1",3.0,AR21),$D$5+$E$5*(BH21*BA21/($K$5*1000))+$F$5*(BH21*BA21/($K$5*1000))*MAX(MIN(AO21,$J$5),$I$5)*MAX(MIN(AO21,$J$5),$I$5)+$G$5*MAX(MIN(AO21,$J$5),$I$5)*(BH21*BA21/($K$5*1000))+$H$5*(BH21*BA21/($K$5*1000))*(BH21*BA21/($K$5*1000)))</f>
        <v>0</v>
      </c>
      <c r="R21">
        <f>I21*(1000-(1000*0.61365*exp(17.502*V21/(240.97+V21))/(BA21+BB21)+AV21)/2)/(1000*0.61365*exp(17.502*V21/(240.97+V21))/(BA21+BB21)-AV21)</f>
        <v>0</v>
      </c>
      <c r="S21">
        <f>1/((AP21+1)/(P21/1.6)+1/(Q21/1.37)) + AP21/((AP21+1)/(P21/1.6) + AP21/(Q21/1.37))</f>
        <v>0</v>
      </c>
      <c r="T21">
        <f>(AL21*AN21)</f>
        <v>0</v>
      </c>
      <c r="U21">
        <f>(BC21+(T21+2*0.95*5.67E-8*(((BC21+$B$7)+273)^4-(BC21+273)^4)-44100*I21)/(1.84*29.3*Q21+8*0.95*5.67E-8*(BC21+273)^3))</f>
        <v>0</v>
      </c>
      <c r="V21">
        <f>($C$7*BD21+$D$7*BE21+$E$7*U21)</f>
        <v>0</v>
      </c>
      <c r="W21">
        <f>0.61365*exp(17.502*V21/(240.97+V21))</f>
        <v>0</v>
      </c>
      <c r="X21">
        <f>(Y21/Z21*100)</f>
        <v>0</v>
      </c>
      <c r="Y21">
        <f>AV21*(BA21+BB21)/1000</f>
        <v>0</v>
      </c>
      <c r="Z21">
        <f>0.61365*exp(17.502*BC21/(240.97+BC21))</f>
        <v>0</v>
      </c>
      <c r="AA21">
        <f>(W21-AV21*(BA21+BB21)/1000)</f>
        <v>0</v>
      </c>
      <c r="AB21">
        <f>(-I21*44100)</f>
        <v>0</v>
      </c>
      <c r="AC21">
        <f>2*29.3*Q21*0.92*(BC21-V21)</f>
        <v>0</v>
      </c>
      <c r="AD21">
        <f>2*0.95*5.67E-8*(((BC21+$B$7)+273)^4-(V21+273)^4)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MAX(0,($B$13+$C$13*BH21)/(1+$D$13*BH21)*BA21/(BC21+273)*$E$13)</f>
        <v>0</v>
      </c>
      <c r="AK21">
        <f>$B$11*BI21+$C$11*BJ21</f>
        <v>0</v>
      </c>
      <c r="AL21">
        <f>AK21*AM21</f>
        <v>0</v>
      </c>
      <c r="AM21">
        <f>($B$11*$D$9+$C$11*$D$9)/($B$11+$C$11)</f>
        <v>0</v>
      </c>
      <c r="AN21">
        <f>($B$11*$K$9+$C$11*$K$9)/($B$11+$C$11)</f>
        <v>0</v>
      </c>
      <c r="AO21">
        <v>6</v>
      </c>
      <c r="AP21">
        <v>0.5</v>
      </c>
      <c r="AQ21" t="s">
        <v>235</v>
      </c>
      <c r="AR21">
        <v>2</v>
      </c>
      <c r="AS21">
        <v>1608135645</v>
      </c>
      <c r="AT21">
        <v>1399.56967741936</v>
      </c>
      <c r="AU21">
        <v>1416.39580645161</v>
      </c>
      <c r="AV21">
        <v>20.9106741935484</v>
      </c>
      <c r="AW21">
        <v>20.5002225806452</v>
      </c>
      <c r="AX21">
        <v>1400.59290322581</v>
      </c>
      <c r="AY21">
        <v>20.6462806451613</v>
      </c>
      <c r="AZ21">
        <v>500.032</v>
      </c>
      <c r="BA21">
        <v>102.458419354839</v>
      </c>
      <c r="BB21">
        <v>0.100038183870968</v>
      </c>
      <c r="BC21">
        <v>28.0012870967742</v>
      </c>
      <c r="BD21">
        <v>28.6905838709677</v>
      </c>
      <c r="BE21">
        <v>999.9</v>
      </c>
      <c r="BF21">
        <v>0</v>
      </c>
      <c r="BG21">
        <v>0</v>
      </c>
      <c r="BH21">
        <v>9992.4364516129</v>
      </c>
      <c r="BI21">
        <v>0</v>
      </c>
      <c r="BJ21">
        <v>347.896774193548</v>
      </c>
      <c r="BK21">
        <v>1608135534.1</v>
      </c>
      <c r="BL21" t="s">
        <v>245</v>
      </c>
      <c r="BM21">
        <v>1608135534.1</v>
      </c>
      <c r="BN21">
        <v>1608135524.1</v>
      </c>
      <c r="BO21">
        <v>3</v>
      </c>
      <c r="BP21">
        <v>0.029</v>
      </c>
      <c r="BQ21">
        <v>-0.019</v>
      </c>
      <c r="BR21">
        <v>-0.808</v>
      </c>
      <c r="BS21">
        <v>0.252</v>
      </c>
      <c r="BT21">
        <v>1214</v>
      </c>
      <c r="BU21">
        <v>21</v>
      </c>
      <c r="BV21">
        <v>0.28</v>
      </c>
      <c r="BW21">
        <v>0.09</v>
      </c>
      <c r="BX21">
        <v>13.5277268599646</v>
      </c>
      <c r="BY21">
        <v>-0.181887013752635</v>
      </c>
      <c r="BZ21">
        <v>0.0810021920933157</v>
      </c>
      <c r="CA21">
        <v>1</v>
      </c>
      <c r="CB21">
        <v>-16.8177866666667</v>
      </c>
      <c r="CC21">
        <v>-0.0981196885428358</v>
      </c>
      <c r="CD21">
        <v>0.101274326240936</v>
      </c>
      <c r="CE21">
        <v>1</v>
      </c>
      <c r="CF21">
        <v>0.410434533333333</v>
      </c>
      <c r="CG21">
        <v>0.00851500778642886</v>
      </c>
      <c r="CH21">
        <v>0.000805232088006651</v>
      </c>
      <c r="CI21">
        <v>1</v>
      </c>
      <c r="CJ21">
        <v>3</v>
      </c>
      <c r="CK21">
        <v>3</v>
      </c>
      <c r="CL21" t="s">
        <v>240</v>
      </c>
      <c r="CM21">
        <v>100</v>
      </c>
      <c r="CN21">
        <v>100</v>
      </c>
      <c r="CO21">
        <v>-1.02</v>
      </c>
      <c r="CP21">
        <v>0.2641</v>
      </c>
      <c r="CQ21">
        <v>0.257605071351343</v>
      </c>
      <c r="CR21">
        <v>-1.60436505785889e-05</v>
      </c>
      <c r="CS21">
        <v>-1.15305589960158e-06</v>
      </c>
      <c r="CT21">
        <v>3.65813499827708e-10</v>
      </c>
      <c r="CU21">
        <v>-0.117894153611076</v>
      </c>
      <c r="CV21">
        <v>-0.0148585495900011</v>
      </c>
      <c r="CW21">
        <v>0.00206202478538563</v>
      </c>
      <c r="CX21">
        <v>-2.15789431663115e-05</v>
      </c>
      <c r="CY21">
        <v>18</v>
      </c>
      <c r="CZ21">
        <v>2225</v>
      </c>
      <c r="DA21">
        <v>1</v>
      </c>
      <c r="DB21">
        <v>25</v>
      </c>
      <c r="DC21">
        <v>2</v>
      </c>
      <c r="DD21">
        <v>2.1</v>
      </c>
      <c r="DE21">
        <v>2</v>
      </c>
      <c r="DF21">
        <v>511.024</v>
      </c>
      <c r="DG21">
        <v>487.749</v>
      </c>
      <c r="DH21">
        <v>23.8323</v>
      </c>
      <c r="DI21">
        <v>35.6723</v>
      </c>
      <c r="DJ21">
        <v>29.9999</v>
      </c>
      <c r="DK21">
        <v>35.8152</v>
      </c>
      <c r="DL21">
        <v>35.8709</v>
      </c>
      <c r="DM21">
        <v>52.7608</v>
      </c>
      <c r="DN21">
        <v>13.9998</v>
      </c>
      <c r="DO21">
        <v>32.8435</v>
      </c>
      <c r="DP21">
        <v>23.8022</v>
      </c>
      <c r="DQ21">
        <v>1416.48</v>
      </c>
      <c r="DR21">
        <v>20.5226</v>
      </c>
      <c r="DS21">
        <v>97.3862</v>
      </c>
      <c r="DT21">
        <v>101.676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2020-12-16T10:22:20Z</dcterms:created>
  <dcterms:modified xsi:type="dcterms:W3CDTF">2020-12-16T10:22:20Z</dcterms:modified>
</cp:coreProperties>
</file>