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McElrone\"/>
    </mc:Choice>
  </mc:AlternateContent>
  <xr:revisionPtr revIDLastSave="0" documentId="13_ncr:1_{503D11D6-B472-44D3-A96C-2BAA312550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7" i="1" l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I17" i="1" s="1"/>
  <c r="Y17" i="1"/>
  <c r="X17" i="1"/>
  <c r="W17" i="1"/>
  <c r="P17" i="1"/>
  <c r="N17" i="1"/>
  <c r="AA17" i="1" l="1"/>
  <c r="S17" i="1"/>
  <c r="AU17" i="1"/>
  <c r="AW17" i="1"/>
  <c r="J17" i="1"/>
  <c r="AV17" i="1" s="1"/>
  <c r="AY17" i="1" s="1"/>
  <c r="K17" i="1"/>
  <c r="AH17" i="1"/>
  <c r="T17" i="1" l="1"/>
  <c r="U17" i="1" s="1"/>
  <c r="AC17" i="1" l="1"/>
  <c r="AD17" i="1" s="1"/>
  <c r="V17" i="1"/>
  <c r="Z17" i="1" s="1"/>
  <c r="Q17" i="1"/>
  <c r="O17" i="1" s="1"/>
  <c r="R17" i="1" s="1"/>
  <c r="L17" i="1" s="1"/>
  <c r="M17" i="1" s="1"/>
  <c r="AB17" i="1"/>
</calcChain>
</file>

<file path=xl/sharedStrings.xml><?xml version="1.0" encoding="utf-8"?>
<sst xmlns="http://schemas.openxmlformats.org/spreadsheetml/2006/main" count="552" uniqueCount="292">
  <si>
    <t>File opened</t>
  </si>
  <si>
    <t>2020-10-29 12:25:15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</si>
  <si>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</si>
  <si>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</si>
  <si>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</si>
  <si>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</si>
  <si>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</si>
  <si>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</si>
  <si>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</si>
  <si>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</si>
  <si>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</si>
  <si>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</si>
  <si>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</si>
  <si>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{"h2oaspan2a": "0.0744543", "co2aspan2": "0", "h2oazero": "1.06897", "h2obspanconc2": "0", "co2aspan2b": "0.182023", "co2bspanconc1": "995.1", "h2obspan2a": "0.0741299", "co2bspanconc2": "0", "h2obspan2": "0", "co2azero": "0.968485", "h2oaspanconc2": "0", "h2oaspanconc1": "13.51", "co2bspan2b": "0.180987", "flowbzero": "0.21903", "co2bspan1": "0.994117", "chamberpressurezero": "2.56567", "h2obspanconc1": "13.5", "oxygen": "21", "tbzero": "-0.0452194", "h2oaspan2b": "0.0752776", "h2oaspan2": "0", "co2aspanconc2": "0", "co2aspan1": "0.993652", "h2obspan2b": "0.0756432", "h2obspan1": "1.02041", "co2bzero": "0.945393", "flowazero": "0.42501", "co2bspan2": "0", "ssb_ref": "34304.3", "h2obzero": "1.0713", "co2aspan2a": "0.183186", "h2oaspan1": "1.01106", "ssa_ref": "31243.3", "flowmeterzero": "0.990522", "co2aspanconc1": "995.1", "tazero": "-0.045269", "co2bspan2a": "0.182058"}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</si>
  <si>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</si>
  <si>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</si>
  <si>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</si>
  <si>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</si>
  <si>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</si>
  <si>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</si>
  <si>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</si>
  <si>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</si>
  <si>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</si>
  <si>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12:25:15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</si>
  <si>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</si>
  <si>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</si>
  <si>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</si>
  <si>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</si>
  <si>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</si>
  <si>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</si>
  <si>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</si>
  <si>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</si>
  <si>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</si>
  <si>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</si>
  <si>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</si>
  <si>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</si>
  <si>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</si>
  <si>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</si>
  <si>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</si>
  <si>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</si>
  <si>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</si>
  <si>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</si>
  <si>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</si>
  <si>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</si>
  <si>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</si>
  <si>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</si>
  <si>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</si>
  <si>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</si>
  <si>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</si>
  <si>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</si>
  <si>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</si>
  <si>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</si>
  <si>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</si>
  <si>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</si>
  <si>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</si>
  <si>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</si>
  <si>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</si>
  <si>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</si>
  <si>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</si>
  <si>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</si>
  <si>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</si>
  <si>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</si>
  <si>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</si>
  <si>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</si>
  <si>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</si>
  <si>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</si>
  <si>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</si>
  <si>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</si>
  <si>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</si>
  <si>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</si>
  <si>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</si>
  <si>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</si>
  <si>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</si>
  <si>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</si>
  <si>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</si>
  <si>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</si>
  <si>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0.836421 70.8596 364.835 604.581 847.379 1022.09 1167.29 1264.57</t>
  </si>
  <si>
    <t>Fs_true</t>
  </si>
  <si>
    <t>-0.00546023 101.249 402.502 601.429 801.996 1001.03 1200.85 1400.55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</si>
  <si>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</si>
  <si>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</si>
  <si>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</si>
  <si>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</si>
  <si>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</si>
  <si>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</si>
  <si>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</si>
  <si>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</si>
  <si>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</si>
  <si>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</si>
  <si>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</si>
  <si>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</si>
  <si>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</si>
  <si>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</si>
  <si>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</si>
  <si>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</si>
  <si>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</si>
  <si>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</si>
  <si>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</si>
  <si>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</si>
  <si>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</si>
  <si>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</si>
  <si>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</si>
  <si>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</si>
  <si>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</si>
  <si>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</si>
  <si>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</si>
  <si>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</si>
  <si>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</si>
  <si>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</si>
  <si>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</si>
  <si>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</si>
  <si>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</si>
  <si>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</si>
  <si>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</si>
  <si>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</si>
  <si>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</si>
  <si>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</si>
  <si>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</si>
  <si>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</si>
  <si>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</si>
  <si>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</si>
  <si>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</si>
  <si>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</si>
  <si>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</si>
  <si>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</si>
  <si>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</si>
  <si>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</si>
  <si>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</si>
  <si>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</si>
  <si>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</si>
  <si>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</si>
  <si>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</si>
  <si>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</si>
  <si>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</si>
  <si>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</si>
  <si>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</si>
  <si>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</si>
  <si>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</si>
  <si>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</si>
  <si>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</si>
  <si>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</si>
  <si>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</si>
  <si>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</si>
  <si>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</si>
  <si>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</si>
  <si>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</si>
  <si>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</si>
  <si>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</si>
  <si>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</si>
  <si>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</si>
  <si>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</si>
  <si>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</si>
  <si>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</si>
  <si>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</si>
  <si>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</si>
  <si>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</si>
  <si>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</si>
  <si>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</si>
  <si>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</si>
  <si>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</si>
  <si>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</si>
  <si>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</si>
  <si>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</si>
  <si>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</si>
  <si>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</si>
  <si>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</si>
  <si>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</si>
  <si>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</si>
  <si>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</si>
  <si>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</si>
  <si>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</si>
  <si>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</si>
  <si>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</si>
  <si>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</si>
  <si>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</si>
  <si>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</si>
  <si>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</si>
  <si>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</si>
  <si>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</si>
  <si>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</si>
  <si>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</si>
  <si>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</si>
  <si>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</si>
  <si>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</si>
  <si>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</si>
  <si>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</si>
  <si>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</si>
  <si>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</si>
  <si>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</si>
  <si>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</si>
  <si>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</si>
  <si>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</si>
  <si>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</si>
  <si>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</si>
  <si>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</si>
  <si>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</si>
  <si>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</si>
  <si>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</si>
  <si>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</si>
  <si>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</si>
  <si>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</si>
  <si>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</si>
  <si>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</si>
  <si>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</si>
  <si>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</si>
  <si>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</si>
  <si>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</si>
  <si>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</si>
  <si>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</si>
  <si>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</si>
  <si>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</si>
  <si>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</si>
  <si>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</si>
  <si>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</si>
  <si>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</si>
  <si>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</si>
  <si>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</si>
  <si>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</si>
  <si>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</si>
  <si>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</si>
  <si>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</si>
  <si>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</si>
  <si>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</si>
  <si>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</si>
  <si>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</si>
  <si>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</si>
  <si>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</si>
  <si>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</si>
  <si>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</si>
  <si>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</si>
  <si>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</si>
  <si>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</si>
  <si>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</si>
  <si>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</si>
  <si>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</si>
  <si>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</si>
  <si>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</si>
  <si>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</si>
  <si>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</si>
  <si>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</si>
  <si>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</si>
  <si>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</si>
  <si>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</si>
  <si>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</si>
  <si>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</si>
  <si>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</si>
  <si>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</si>
  <si>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</si>
  <si>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</si>
  <si>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</si>
  <si>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</si>
  <si>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</si>
  <si>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</si>
  <si>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</si>
  <si>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</si>
  <si>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</si>
  <si>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</si>
  <si>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</si>
  <si>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</si>
  <si>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</si>
  <si>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</si>
  <si>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</si>
  <si>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</si>
  <si>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</si>
  <si>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</si>
  <si>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</si>
  <si>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</si>
  <si>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</si>
  <si>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</si>
  <si>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</si>
  <si>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</si>
  <si>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</si>
  <si>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</si>
  <si>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</si>
  <si>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</si>
  <si>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</si>
  <si>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</si>
  <si>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</si>
  <si>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</si>
  <si>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</si>
  <si>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</si>
  <si>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</si>
  <si>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12:30:50</t>
  </si>
  <si>
    <t>12:30:50</t>
  </si>
  <si>
    <t>b40-14</t>
  </si>
  <si>
    <t>_10</t>
  </si>
  <si>
    <t>RECT-4143-20200907-06_33_50</t>
  </si>
  <si>
    <t>RECT-60-20201029-12_30_50</t>
  </si>
  <si>
    <t>DARK-61-20201029-12_30_52</t>
  </si>
  <si>
    <t>0: Broadleaf</t>
  </si>
  <si>
    <t>--:--:--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</si>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</sst>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17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1603999850.0999999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1603999842.3499999</v>
      </c>
      <c r="I17">
        <f>BW17*AG17*(BS17-BT17)/(100*BL17*(1000-AG17*BS17))</f>
        <v>2.6556073342687593E-3</v>
      </c>
      <c r="J17">
        <f>BW17*AG17*(BR17-BQ17*(1000-AG17*BT17)/(1000-AG17*BS17))/(100*BL17)</f>
        <v>14.326431311539142</v>
      </c>
      <c r="K17">
        <f>BQ17 - IF(AG17&gt;1, J17*BL17*100/(AI17*CE17), 0)</f>
        <v>381.59266666666701</v>
      </c>
      <c r="L17">
        <f>((R17-I17/2)*K17-J17)/(R17+I17/2)</f>
        <v>217.4095796441201</v>
      </c>
      <c r="M17">
        <f>L17*(BX17+BY17)/1000</f>
        <v>22.111822506415844</v>
      </c>
      <c r="N17">
        <f>(BQ17 - IF(AG17&gt;1, J17*BL17*100/(AI17*CE17), 0))*(BX17+BY17)/1000</f>
        <v>38.810200217005239</v>
      </c>
      <c r="O17">
        <f>2/((1/Q17-1/P17)+SIGN(Q17)*SQRT((1/Q17-1/P17)*(1/Q17-1/P17) + 4*BM17/((BM17+1)*(BM17+1))*(2*1/Q17*1/P17-1/P17*1/P17)))</f>
        <v>0.15093438054007513</v>
      </c>
      <c r="P17">
        <f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2.9587349845555275</v>
      </c>
      <c r="Q17">
        <f>I17*(1000-(1000*0.61365*EXP(17.502*U17/(240.97+U17))/(BX17+BY17)+BS17)/2)/(1000*0.61365*EXP(17.502*U17/(240.97+U17))/(BX17+BY17)-BS17)</f>
        <v>0.14678366065813378</v>
      </c>
      <c r="R17">
        <f>1/((BM17+1)/(O17/1.6)+1/(P17/1.37)) + BM17/((BM17+1)/(O17/1.6) + BM17/(P17/1.37))</f>
        <v>9.2103206030811777E-2</v>
      </c>
      <c r="S17">
        <f>(BI17*BK17)</f>
        <v>214.76857139421688</v>
      </c>
      <c r="T17">
        <f>(BZ17+(S17+2*0.95*0.0000000567*(((BZ17+$B$7)+273)^4-(BZ17+273)^4)-44100*I17)/(1.84*29.3*P17+8*0.95*0.0000000567*(BZ17+273)^3))</f>
        <v>31.307937004670141</v>
      </c>
      <c r="U17">
        <f>($C$7*CA17+$D$7*CB17+$E$7*T17)</f>
        <v>30.996123333333301</v>
      </c>
      <c r="V17">
        <f>0.61365*EXP(17.502*U17/(240.97+U17))</f>
        <v>4.5103812193810002</v>
      </c>
      <c r="W17">
        <f>(X17/Y17*100)</f>
        <v>61.554594263236872</v>
      </c>
      <c r="X17">
        <f>BS17*(BX17+BY17)/1000</f>
        <v>2.7358706479476504</v>
      </c>
      <c r="Y17">
        <f>0.61365*EXP(17.502*BZ17/(240.97+BZ17))</f>
        <v>4.4446246144483705</v>
      </c>
      <c r="Z17">
        <f>(V17-BS17*(BX17+BY17)/1000)</f>
        <v>1.7745105714333498</v>
      </c>
      <c r="AA17">
        <f>(-I17*44100)</f>
        <v>-117.11228344125229</v>
      </c>
      <c r="AB17">
        <f>2*29.3*P17*0.92*(BZ17-U17)</f>
        <v>-41.045984692203177</v>
      </c>
      <c r="AC17">
        <f>2*0.95*0.0000000567*(((BZ17+$B$7)+273)^4-(U17+273)^4)</f>
        <v>-3.1112040226349942</v>
      </c>
      <c r="AD17">
        <f>S17+AC17+AA17+AB17</f>
        <v>53.499099238126405</v>
      </c>
      <c r="AE17">
        <v>0</v>
      </c>
      <c r="AF17">
        <v>0</v>
      </c>
      <c r="AG17">
        <f>IF(AE17*$H$13&gt;=AI17,1,(AI17/(AI17-AE17*$H$13)))</f>
        <v>1</v>
      </c>
      <c r="AH17">
        <f>(AG17-1)*100</f>
        <v>0</v>
      </c>
      <c r="AI17">
        <f>MAX(0,($B$13+$C$13*CE17)/(1+$D$13*CE17)*BX17/(BZ17+273)*$E$13)</f>
        <v>53099.805489489205</v>
      </c>
      <c r="AJ17" t="s">
        <v>286</v>
      </c>
      <c r="AK17">
        <v>715.47692307692296</v>
      </c>
      <c r="AL17">
        <v>3262.08</v>
      </c>
      <c r="AM17">
        <f>AL17-AK17</f>
        <v>2546.603076923077</v>
      </c>
      <c r="AN17">
        <f>AM17/AL17</f>
        <v>0.78066849277855754</v>
      </c>
      <c r="AO17">
        <v>-0.57774747981622299</v>
      </c>
      <c r="AP17" t="s">
        <v>287</v>
      </c>
      <c r="AQ17">
        <v>806.32319230769201</v>
      </c>
      <c r="AR17">
        <v>59.58</v>
      </c>
      <c r="AS17">
        <f>1-AQ17/AR17</f>
        <v>-12.533454050145888</v>
      </c>
      <c r="AT17">
        <v>0.5</v>
      </c>
      <c r="AU17">
        <f>BI17</f>
        <v>1095.8892408566333</v>
      </c>
      <c r="AV17">
        <f>J17</f>
        <v>14.326431311539142</v>
      </c>
      <c r="AW17">
        <f>AS17*AT17*AU17</f>
        <v>-6867.6387221629366</v>
      </c>
      <c r="AX17">
        <f>BC17/AR17</f>
        <v>0.97398455857670363</v>
      </c>
      <c r="AY17">
        <f>(AV17-AO17)/AU17</f>
        <v>1.360007766816388E-2</v>
      </c>
      <c r="AZ17">
        <f>(AL17-AR17)/AR17</f>
        <v>53.751258811681772</v>
      </c>
      <c r="BA17" t="s">
        <v>288</v>
      </c>
      <c r="BB17">
        <v>1.55</v>
      </c>
      <c r="BC17">
        <f>AR17-BB17</f>
        <v>58.03</v>
      </c>
      <c r="BD17">
        <f>(AR17-AQ17)/(AR17-BB17)</f>
        <v>-12.868226646694675</v>
      </c>
      <c r="BE17">
        <f>(AL17-AR17)/(AL17-BB17)</f>
        <v>0.98220227999742382</v>
      </c>
      <c r="BF17">
        <f>(AR17-AQ17)/(AR17-AK17)</f>
        <v>1.1385069300288739</v>
      </c>
      <c r="BG17">
        <f>(AL17-AR17)/(AL17-AK17)</f>
        <v>1.2575575789649198</v>
      </c>
      <c r="BH17">
        <f>$B$11*CF17+$C$11*CG17+$F$11*CH17*(1-CK17)</f>
        <v>1300.0053333333301</v>
      </c>
      <c r="BI17">
        <f>BH17*BJ17</f>
        <v>1095.8892408566333</v>
      </c>
      <c r="BJ17">
        <f>($B$11*$D$9+$C$11*$D$9+$F$11*((CU17+CM17)/MAX(CU17+CM17+CV17, 0.1)*$I$9+CV17/MAX(CU17+CM17+CV17, 0.1)*$J$9))/($B$11+$C$11+$F$11)</f>
        <v>0.84298826532247761</v>
      </c>
      <c r="BK17">
        <f>($B$11*$K$9+$C$11*$K$9+$F$11*((CU17+CM17)/MAX(CU17+CM17+CV17, 0.1)*$P$9+CV17/MAX(CU17+CM17+CV17, 0.1)*$Q$9))/($B$11+$C$11+$F$11)</f>
        <v>0.19597653064495538</v>
      </c>
      <c r="BL17">
        <v>6</v>
      </c>
      <c r="BM17">
        <v>0.5</v>
      </c>
      <c r="BN17" t="s">
        <v>289</v>
      </c>
      <c r="BO17">
        <v>2</v>
      </c>
      <c r="BP17">
        <v>1603999842.3499999</v>
      </c>
      <c r="BQ17">
        <v>381.59266666666701</v>
      </c>
      <c r="BR17">
        <v>400.00029999999998</v>
      </c>
      <c r="BS17">
        <v>26.899840000000001</v>
      </c>
      <c r="BT17">
        <v>23.798853333333302</v>
      </c>
      <c r="BU17">
        <v>380.32466666666699</v>
      </c>
      <c r="BV17">
        <v>26.732839999999999</v>
      </c>
      <c r="BW17">
        <v>500.00316666666703</v>
      </c>
      <c r="BX17">
        <v>101.656466666667</v>
      </c>
      <c r="BY17">
        <v>4.9366823333333303E-2</v>
      </c>
      <c r="BZ17">
        <v>30.738800000000001</v>
      </c>
      <c r="CA17">
        <v>30.996123333333301</v>
      </c>
      <c r="CB17">
        <v>999.9</v>
      </c>
      <c r="CC17">
        <v>0</v>
      </c>
      <c r="CD17">
        <v>0</v>
      </c>
      <c r="CE17">
        <v>10001.65</v>
      </c>
      <c r="CF17">
        <v>0</v>
      </c>
      <c r="CG17">
        <v>520.31033333333301</v>
      </c>
      <c r="CH17">
        <v>1300.0053333333301</v>
      </c>
      <c r="CI17">
        <v>0.90000716666666702</v>
      </c>
      <c r="CJ17">
        <v>9.9993139999999994E-2</v>
      </c>
      <c r="CK17">
        <v>0</v>
      </c>
      <c r="CL17">
        <v>806.48339999999996</v>
      </c>
      <c r="CM17">
        <v>4.9993800000000004</v>
      </c>
      <c r="CN17">
        <v>10424.666666666701</v>
      </c>
      <c r="CO17">
        <v>10364.083333333299</v>
      </c>
      <c r="CP17">
        <v>42.845599999999997</v>
      </c>
      <c r="CQ17">
        <v>45.587200000000003</v>
      </c>
      <c r="CR17">
        <v>43.5456</v>
      </c>
      <c r="CS17">
        <v>45.574733333333299</v>
      </c>
      <c r="CT17">
        <v>45.116466666666703</v>
      </c>
      <c r="CU17">
        <v>1165.5136666666699</v>
      </c>
      <c r="CV17">
        <v>129.49199999999999</v>
      </c>
      <c r="CW17">
        <v>0</v>
      </c>
      <c r="CX17">
        <v>86593.700000047698</v>
      </c>
      <c r="CY17">
        <v>0</v>
      </c>
      <c r="CZ17">
        <v>806.32319230769201</v>
      </c>
      <c r="DA17">
        <v>-102.70410264385499</v>
      </c>
      <c r="DB17">
        <v>-1290.2529922891899</v>
      </c>
      <c r="DC17">
        <v>10422.9115384615</v>
      </c>
      <c r="DD17">
        <v>15</v>
      </c>
      <c r="DE17">
        <v>0</v>
      </c>
      <c r="DF17" t="s">
        <v>290</v>
      </c>
      <c r="DG17">
        <v>1603153442.0999999</v>
      </c>
      <c r="DH17">
        <v>1603153437.5999999</v>
      </c>
      <c r="DI17">
        <v>0</v>
      </c>
      <c r="DJ17">
        <v>7.9000000000000001E-2</v>
      </c>
      <c r="DK17">
        <v>1.0999999999999999E-2</v>
      </c>
      <c r="DL17">
        <v>1.268</v>
      </c>
      <c r="DM17">
        <v>0.16700000000000001</v>
      </c>
      <c r="DN17">
        <v>360</v>
      </c>
      <c r="DO17">
        <v>17</v>
      </c>
      <c r="DP17">
        <v>0.76</v>
      </c>
      <c r="DQ17">
        <v>0.13</v>
      </c>
      <c r="DR17">
        <v>14.3001310259809</v>
      </c>
      <c r="DS17">
        <v>0.95222343789168296</v>
      </c>
      <c r="DT17">
        <v>7.8814715069847205E-2</v>
      </c>
      <c r="DU17">
        <v>0</v>
      </c>
      <c r="DV17">
        <v>-18.390080645161301</v>
      </c>
      <c r="DW17">
        <v>-1.03847903225798</v>
      </c>
      <c r="DX17">
        <v>8.9628935489623501E-2</v>
      </c>
      <c r="DY17">
        <v>0</v>
      </c>
      <c r="DZ17">
        <v>3.1038090322580598</v>
      </c>
      <c r="EA17">
        <v>-0.282322258064512</v>
      </c>
      <c r="EB17">
        <v>2.5066848606545601E-2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1.268</v>
      </c>
      <c r="EJ17">
        <v>0.16700000000000001</v>
      </c>
      <c r="EK17">
        <v>1.268</v>
      </c>
      <c r="EL17">
        <v>0</v>
      </c>
      <c r="EM17">
        <v>0</v>
      </c>
      <c r="EN17">
        <v>0</v>
      </c>
      <c r="EO17">
        <v>0.16700000000000001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14106.8</v>
      </c>
      <c r="EX17">
        <v>14106.9</v>
      </c>
      <c r="EY17">
        <v>2</v>
      </c>
      <c r="EZ17">
        <v>489.197</v>
      </c>
      <c r="FA17">
        <v>574.31100000000004</v>
      </c>
      <c r="FB17">
        <v>29.459900000000001</v>
      </c>
      <c r="FC17">
        <v>28.7409</v>
      </c>
      <c r="FD17">
        <v>30.001799999999999</v>
      </c>
      <c r="FE17">
        <v>28.347999999999999</v>
      </c>
      <c r="FF17">
        <v>28.4316</v>
      </c>
      <c r="FG17">
        <v>20.2986</v>
      </c>
      <c r="FH17">
        <v>36.123199999999997</v>
      </c>
      <c r="FI17">
        <v>91.813100000000006</v>
      </c>
      <c r="FJ17">
        <v>-999.9</v>
      </c>
      <c r="FK17">
        <v>400</v>
      </c>
      <c r="FL17">
        <v>23.662600000000001</v>
      </c>
      <c r="FM17">
        <v>102.001</v>
      </c>
      <c r="FN17">
        <v>101.224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2020-10-29T12:31:39Z</dcterms:created>
  <dcterms:modified xsi:type="dcterms:W3CDTF">2021-04-13T17:12:11Z</dcterms:modified>
</cp:coreProperties>
</file>