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2.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style1.xml" ContentType="application/vnd.ms-office.chartstyle+xml"/>
  <Override PartName="/xl/charts/colors1.xml" ContentType="application/vnd.ms-office.chartcolorstyle+xml"/>
  <Override PartName="/xl/charts/chart46.xml" ContentType="application/vnd.openxmlformats-officedocument.drawingml.chart+xml"/>
  <Override PartName="/xl/charts/style2.xml" ContentType="application/vnd.ms-office.chartstyle+xml"/>
  <Override PartName="/xl/charts/colors2.xml" ContentType="application/vnd.ms-office.chartcolorstyle+xml"/>
  <Override PartName="/xl/charts/chart47.xml" ContentType="application/vnd.openxmlformats-officedocument.drawingml.chart+xml"/>
  <Override PartName="/xl/charts/style3.xml" ContentType="application/vnd.ms-office.chartstyle+xml"/>
  <Override PartName="/xl/charts/colors3.xml" ContentType="application/vnd.ms-office.chartcolorstyle+xml"/>
  <Override PartName="/xl/charts/chart48.xml" ContentType="application/vnd.openxmlformats-officedocument.drawingml.chart+xml"/>
  <Override PartName="/xl/charts/style4.xml" ContentType="application/vnd.ms-office.chartstyle+xml"/>
  <Override PartName="/xl/charts/colors4.xml" ContentType="application/vnd.ms-office.chartcolorstyle+xml"/>
  <Override PartName="/xl/charts/chart49.xml" ContentType="application/vnd.openxmlformats-officedocument.drawingml.chart+xml"/>
  <Override PartName="/xl/charts/style5.xml" ContentType="application/vnd.ms-office.chartstyle+xml"/>
  <Override PartName="/xl/charts/colors5.xml" ContentType="application/vnd.ms-office.chartcolorstyle+xml"/>
  <Override PartName="/xl/charts/chart50.xml" ContentType="application/vnd.openxmlformats-officedocument.drawingml.chart+xml"/>
  <Override PartName="/xl/charts/style6.xml" ContentType="application/vnd.ms-office.chartstyle+xml"/>
  <Override PartName="/xl/charts/colors6.xml" ContentType="application/vnd.ms-office.chartcolorstyle+xml"/>
  <Override PartName="/xl/charts/chart51.xml" ContentType="application/vnd.openxmlformats-officedocument.drawingml.chart+xml"/>
  <Override PartName="/xl/charts/chart52.xml" ContentType="application/vnd.openxmlformats-officedocument.drawingml.chart+xml"/>
  <Override PartName="/xl/charts/style7.xml" ContentType="application/vnd.ms-office.chartstyle+xml"/>
  <Override PartName="/xl/charts/colors7.xml" ContentType="application/vnd.ms-office.chartcolorstyle+xml"/>
  <Override PartName="/xl/charts/chart5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E:\Research projects and ideas\Soft-rock landslide monitoring\Rangitikei Landslide\"/>
    </mc:Choice>
  </mc:AlternateContent>
  <xr:revisionPtr revIDLastSave="0" documentId="13_ncr:1_{6F8303CB-7CC2-412D-AE88-BB69ED9F23ED}" xr6:coauthVersionLast="47" xr6:coauthVersionMax="47" xr10:uidLastSave="{00000000-0000-0000-0000-000000000000}"/>
  <bookViews>
    <workbookView xWindow="-108" yWindow="-108" windowWidth="23256" windowHeight="12576" tabRatio="896" activeTab="3" xr2:uid="{00000000-000D-0000-FFFF-FFFF00000000}"/>
  </bookViews>
  <sheets>
    <sheet name="Displacement vectors" sheetId="15" r:id="rId1"/>
    <sheet name="Displacement vectors v2" sheetId="19" r:id="rId2"/>
    <sheet name="Movement graphs" sheetId="14" r:id="rId3"/>
    <sheet name="Movement graphs v2" sheetId="20" r:id="rId4"/>
    <sheet name="SfM check points" sheetId="17" r:id="rId5"/>
    <sheet name="Notes and corrections" sheetId="13" r:id="rId6"/>
    <sheet name="All survey pegs" sheetId="18" r:id="rId7"/>
    <sheet name="Dec2019-Feb2020" sheetId="16" r:id="rId8"/>
    <sheet name="Oct2018" sheetId="1" r:id="rId9"/>
    <sheet name="Mar2018" sheetId="2" r:id="rId10"/>
    <sheet name="Oct2017" sheetId="3" r:id="rId11"/>
    <sheet name="June2017" sheetId="4" r:id="rId12"/>
    <sheet name="Mar2017" sheetId="5" r:id="rId13"/>
    <sheet name="Dec2016" sheetId="6" r:id="rId14"/>
    <sheet name="Oct2016" sheetId="7" r:id="rId15"/>
    <sheet name="July2016" sheetId="8" r:id="rId16"/>
    <sheet name="Mar2016" sheetId="9" r:id="rId17"/>
    <sheet name="Dec2015" sheetId="10" r:id="rId18"/>
    <sheet name="Sept2015" sheetId="11" r:id="rId19"/>
    <sheet name="July2015" sheetId="12"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3" i="17" l="1"/>
  <c r="Y6" i="17"/>
  <c r="L39" i="17"/>
  <c r="L38" i="17"/>
  <c r="L37" i="17"/>
  <c r="L6" i="17"/>
  <c r="J6" i="17"/>
  <c r="F37" i="17"/>
  <c r="L40" i="17"/>
  <c r="Z6" i="17"/>
  <c r="M7" i="17"/>
  <c r="M6" i="17"/>
  <c r="Z7" i="17"/>
  <c r="Z9" i="17"/>
  <c r="Z10" i="17"/>
  <c r="Z11" i="17"/>
  <c r="Z13" i="17"/>
  <c r="Z14" i="17"/>
  <c r="Z15" i="17"/>
  <c r="Z16" i="17"/>
  <c r="Z17" i="17"/>
  <c r="Z18" i="17"/>
  <c r="Z19" i="17"/>
  <c r="Z22" i="17"/>
  <c r="Z24" i="17"/>
  <c r="Z25" i="17"/>
  <c r="Z26" i="17"/>
  <c r="S40" i="17"/>
  <c r="X6" i="17"/>
  <c r="P49" i="17" l="1"/>
  <c r="P50" i="17"/>
  <c r="Q50" i="17" s="1"/>
  <c r="P51" i="17"/>
  <c r="P52" i="17"/>
  <c r="Q52" i="17" s="1"/>
  <c r="P53" i="17"/>
  <c r="P54" i="17"/>
  <c r="Q54" i="17" s="1"/>
  <c r="P55" i="17"/>
  <c r="Q55" i="17" s="1"/>
  <c r="P56" i="17"/>
  <c r="Q56" i="17" s="1"/>
  <c r="P57" i="17"/>
  <c r="Q57" i="17" s="1"/>
  <c r="P58" i="17"/>
  <c r="Q58" i="17" s="1"/>
  <c r="P59" i="17"/>
  <c r="Q59" i="17" s="1"/>
  <c r="P60" i="17"/>
  <c r="Q60" i="17" s="1"/>
  <c r="P61" i="17"/>
  <c r="Q61" i="17" s="1"/>
  <c r="P62" i="17"/>
  <c r="Q62" i="17" s="1"/>
  <c r="P63" i="17"/>
  <c r="Q63" i="17" s="1"/>
  <c r="P48" i="17"/>
  <c r="Q48" i="17" s="1"/>
  <c r="P47" i="17"/>
  <c r="Q49" i="17"/>
  <c r="Q51" i="17"/>
  <c r="Q53" i="17"/>
  <c r="Q47" i="17"/>
  <c r="C48" i="17"/>
  <c r="D48" i="17" s="1"/>
  <c r="C49" i="17"/>
  <c r="D49" i="17" s="1"/>
  <c r="C50" i="17"/>
  <c r="D50" i="17" s="1"/>
  <c r="C51" i="17"/>
  <c r="D51" i="17" s="1"/>
  <c r="C52" i="17"/>
  <c r="D52" i="17" s="1"/>
  <c r="C53" i="17"/>
  <c r="D53" i="17" s="1"/>
  <c r="C54" i="17"/>
  <c r="D54" i="17" s="1"/>
  <c r="C55" i="17"/>
  <c r="D55" i="17" s="1"/>
  <c r="C56" i="17"/>
  <c r="D56" i="17" s="1"/>
  <c r="C57" i="17"/>
  <c r="D57" i="17" s="1"/>
  <c r="C58" i="17"/>
  <c r="D58" i="17" s="1"/>
  <c r="C59" i="17"/>
  <c r="D59" i="17" s="1"/>
  <c r="C60" i="17"/>
  <c r="D60" i="17" s="1"/>
  <c r="C61" i="17"/>
  <c r="D61" i="17" s="1"/>
  <c r="C62" i="17"/>
  <c r="D62" i="17" s="1"/>
  <c r="C63" i="17"/>
  <c r="D63" i="17" s="1"/>
  <c r="C64" i="17"/>
  <c r="D64" i="17" s="1"/>
  <c r="C65" i="17"/>
  <c r="D65" i="17" s="1"/>
  <c r="C66" i="17"/>
  <c r="D66" i="17" s="1"/>
  <c r="C67" i="17"/>
  <c r="D67" i="17" s="1"/>
  <c r="C68" i="17"/>
  <c r="D68" i="17" s="1"/>
  <c r="C47" i="17"/>
  <c r="D47" i="17" s="1"/>
  <c r="K6" i="17"/>
  <c r="AK6" i="17" l="1"/>
  <c r="N4" i="15" l="1"/>
  <c r="E69" i="19"/>
  <c r="E70" i="19"/>
  <c r="E71" i="19"/>
  <c r="E72" i="19"/>
  <c r="E73" i="19"/>
  <c r="E62" i="19"/>
  <c r="E63" i="19"/>
  <c r="E64" i="19"/>
  <c r="E65" i="19"/>
  <c r="E66" i="19"/>
  <c r="E67" i="19"/>
  <c r="E68" i="19"/>
  <c r="E56" i="19"/>
  <c r="E57" i="19"/>
  <c r="E58" i="19"/>
  <c r="E59" i="19"/>
  <c r="E60" i="19"/>
  <c r="E61" i="19"/>
  <c r="E55" i="19"/>
  <c r="E53" i="19"/>
  <c r="E54" i="19"/>
  <c r="E45" i="19"/>
  <c r="E46" i="19"/>
  <c r="E47" i="19"/>
  <c r="E48" i="19"/>
  <c r="E49" i="19"/>
  <c r="E50" i="19"/>
  <c r="E51" i="19"/>
  <c r="E52" i="19"/>
  <c r="E44" i="19"/>
  <c r="AQ10" i="20" a="1"/>
  <c r="AQ10" i="20" l="1"/>
  <c r="AT131" i="20"/>
  <c r="H215" i="20" l="1"/>
  <c r="H228" i="20" s="1"/>
  <c r="G215" i="20"/>
  <c r="G228" i="20" s="1"/>
  <c r="F215" i="20"/>
  <c r="F228" i="20" s="1"/>
  <c r="E215" i="20"/>
  <c r="E228" i="20" s="1"/>
  <c r="H214" i="20"/>
  <c r="H227" i="20" s="1"/>
  <c r="G211" i="20"/>
  <c r="G224" i="20" s="1"/>
  <c r="F204" i="20"/>
  <c r="F217" i="20" s="1"/>
  <c r="F203" i="20"/>
  <c r="F216" i="20" s="1"/>
  <c r="G201" i="20"/>
  <c r="F201" i="20"/>
  <c r="E201" i="20"/>
  <c r="R201" i="20"/>
  <c r="Q201" i="20"/>
  <c r="P201" i="20"/>
  <c r="S200" i="20"/>
  <c r="AV55" i="20"/>
  <c r="T110" i="20"/>
  <c r="E156" i="20"/>
  <c r="F156" i="20"/>
  <c r="G156" i="20"/>
  <c r="H153" i="20"/>
  <c r="I170" i="20"/>
  <c r="I183" i="20" s="1"/>
  <c r="G170" i="20"/>
  <c r="G183" i="20" s="1"/>
  <c r="F170" i="20"/>
  <c r="F183" i="20" s="1"/>
  <c r="E170" i="20"/>
  <c r="E183" i="20" s="1"/>
  <c r="I169" i="20"/>
  <c r="I182" i="20" s="1"/>
  <c r="H169" i="20"/>
  <c r="H182" i="20" s="1"/>
  <c r="I168" i="20"/>
  <c r="I181" i="20" s="1"/>
  <c r="H168" i="20"/>
  <c r="H181" i="20" s="1"/>
  <c r="I167" i="20"/>
  <c r="I180" i="20" s="1"/>
  <c r="H167" i="20"/>
  <c r="H180" i="20" s="1"/>
  <c r="I166" i="20"/>
  <c r="I179" i="20" s="1"/>
  <c r="I165" i="20"/>
  <c r="I178" i="20" s="1"/>
  <c r="H165" i="20"/>
  <c r="H178" i="20" s="1"/>
  <c r="G165" i="20"/>
  <c r="G178" i="20" s="1"/>
  <c r="F165" i="20"/>
  <c r="F178" i="20" s="1"/>
  <c r="E165" i="20"/>
  <c r="E178" i="20" s="1"/>
  <c r="I164" i="20"/>
  <c r="I177" i="20" s="1"/>
  <c r="E164" i="20"/>
  <c r="E177" i="20" s="1"/>
  <c r="I163" i="20"/>
  <c r="I176" i="20" s="1"/>
  <c r="E163" i="20"/>
  <c r="E176" i="20" s="1"/>
  <c r="I162" i="20"/>
  <c r="I175" i="20" s="1"/>
  <c r="E162" i="20"/>
  <c r="E175" i="20" s="1"/>
  <c r="G161" i="20"/>
  <c r="G174" i="20" s="1"/>
  <c r="E161" i="20"/>
  <c r="E174" i="20" s="1"/>
  <c r="H160" i="20"/>
  <c r="H173" i="20" s="1"/>
  <c r="E160" i="20"/>
  <c r="E173" i="20" s="1"/>
  <c r="E159" i="20"/>
  <c r="E172" i="20" s="1"/>
  <c r="E158" i="20"/>
  <c r="E171" i="20" s="1"/>
  <c r="R156" i="20"/>
  <c r="Q156" i="20"/>
  <c r="P156" i="20"/>
  <c r="S153" i="20"/>
  <c r="T148" i="20"/>
  <c r="J126" i="20"/>
  <c r="J139" i="20" s="1"/>
  <c r="I126" i="20"/>
  <c r="I139" i="20" s="1"/>
  <c r="H126" i="20"/>
  <c r="H139" i="20" s="1"/>
  <c r="G126" i="20"/>
  <c r="G139" i="20" s="1"/>
  <c r="F126" i="20"/>
  <c r="F139" i="20" s="1"/>
  <c r="E126" i="20"/>
  <c r="E139" i="20" s="1"/>
  <c r="I125" i="20"/>
  <c r="I138" i="20" s="1"/>
  <c r="E125" i="20"/>
  <c r="E138" i="20" s="1"/>
  <c r="I124" i="20"/>
  <c r="I137" i="20" s="1"/>
  <c r="J121" i="20"/>
  <c r="J134" i="20" s="1"/>
  <c r="I121" i="20"/>
  <c r="I134" i="20" s="1"/>
  <c r="E120" i="20"/>
  <c r="E133" i="20" s="1"/>
  <c r="J112" i="20"/>
  <c r="H112" i="20"/>
  <c r="G112" i="20"/>
  <c r="F112" i="20"/>
  <c r="E111" i="20"/>
  <c r="I110" i="20"/>
  <c r="U112" i="20"/>
  <c r="S112" i="20"/>
  <c r="R112" i="20"/>
  <c r="Q112" i="20"/>
  <c r="P111" i="20"/>
  <c r="F85" i="20"/>
  <c r="L86" i="20"/>
  <c r="L87" i="20"/>
  <c r="L89" i="20"/>
  <c r="L90" i="20"/>
  <c r="J93" i="20"/>
  <c r="K93" i="20"/>
  <c r="D94" i="20"/>
  <c r="F94" i="20"/>
  <c r="J94" i="20"/>
  <c r="K94" i="20"/>
  <c r="AM178" i="20" a="1"/>
  <c r="AO178" i="20" a="1"/>
  <c r="AQ178" i="20" a="1"/>
  <c r="AN178" i="20" a="1"/>
  <c r="AQ178" i="20" l="1"/>
  <c r="AN178" i="20"/>
  <c r="AO178" i="20"/>
  <c r="AM178" i="20"/>
  <c r="BV21" i="20"/>
  <c r="H6" i="2"/>
  <c r="H7" i="2"/>
  <c r="H9" i="2"/>
  <c r="H10" i="2"/>
  <c r="H11" i="2"/>
  <c r="H12" i="2"/>
  <c r="H14" i="2"/>
  <c r="H15" i="2"/>
  <c r="H16" i="2"/>
  <c r="H17" i="2"/>
  <c r="H18" i="2"/>
  <c r="H19" i="2"/>
  <c r="H20" i="2"/>
  <c r="H22" i="2"/>
  <c r="H23" i="2"/>
  <c r="H24" i="2"/>
  <c r="H25" i="2"/>
  <c r="H26" i="2"/>
  <c r="H27" i="2"/>
  <c r="H28" i="2"/>
  <c r="H29" i="2"/>
  <c r="H30" i="2"/>
  <c r="H31" i="2"/>
  <c r="H32" i="2"/>
  <c r="H34" i="2"/>
  <c r="H35" i="2"/>
  <c r="H5" i="2"/>
  <c r="H3" i="2"/>
  <c r="AV200" i="20"/>
  <c r="AV199" i="20" s="1"/>
  <c r="AV120" i="20"/>
  <c r="AV119" i="20" s="1"/>
  <c r="AV21" i="20"/>
  <c r="O40" i="4" l="1"/>
  <c r="P40" i="4"/>
  <c r="P41" i="4"/>
  <c r="P42" i="4"/>
  <c r="O42" i="4"/>
  <c r="O41" i="4"/>
  <c r="AV216" i="20" l="1"/>
  <c r="BV233" i="20"/>
  <c r="K5" i="20"/>
  <c r="H21" i="20" a="1"/>
  <c r="F13" i="20" a="1"/>
  <c r="E15" i="20" a="1"/>
  <c r="D17" i="20" a="1"/>
  <c r="E14" i="20" a="1"/>
  <c r="H10" i="20" a="1"/>
  <c r="H11" i="20" a="1"/>
  <c r="F14" i="20" a="1"/>
  <c r="E16" i="20" a="1"/>
  <c r="D18" i="20" a="1"/>
  <c r="F12" i="20" a="1"/>
  <c r="F15" i="20" a="1"/>
  <c r="E17" i="20" a="1"/>
  <c r="D19" i="20" a="1"/>
  <c r="H13" i="20" a="1"/>
  <c r="F16" i="20" a="1"/>
  <c r="E18" i="20" a="1"/>
  <c r="D20" i="20" a="1"/>
  <c r="D16" i="20" a="1"/>
  <c r="H12" i="20" a="1"/>
  <c r="H14" i="20" a="1"/>
  <c r="F17" i="20" a="1"/>
  <c r="E19" i="20" a="1"/>
  <c r="D21" i="20" a="1"/>
  <c r="D10" i="20" a="1"/>
  <c r="H15" i="20" a="1"/>
  <c r="F18" i="20" a="1"/>
  <c r="E20" i="20" a="1"/>
  <c r="D22" i="20" a="1"/>
  <c r="D11" i="20" a="1"/>
  <c r="H16" i="20" a="1"/>
  <c r="F19" i="20" a="1"/>
  <c r="E21" i="20" a="1"/>
  <c r="E10" i="20" a="1"/>
  <c r="D12" i="20" a="1"/>
  <c r="H17" i="20" a="1"/>
  <c r="F20" i="20" a="1"/>
  <c r="E22" i="20" a="1"/>
  <c r="E11" i="20" a="1"/>
  <c r="D13" i="20" a="1"/>
  <c r="H18" i="20" a="1"/>
  <c r="F21" i="20" a="1"/>
  <c r="E12" i="20" a="1"/>
  <c r="H19" i="20" a="1"/>
  <c r="F22" i="20" a="1"/>
  <c r="F10" i="20" a="1"/>
  <c r="D14" i="20" a="1"/>
  <c r="F11" i="20" a="1"/>
  <c r="E13" i="20" a="1"/>
  <c r="D15" i="20" a="1"/>
  <c r="H20" i="20" a="1"/>
  <c r="H20" i="20" l="1"/>
  <c r="D15" i="20"/>
  <c r="E13" i="20"/>
  <c r="F11" i="20"/>
  <c r="D14" i="20"/>
  <c r="F10" i="20"/>
  <c r="F22" i="20"/>
  <c r="H19" i="20"/>
  <c r="E12" i="20"/>
  <c r="F21" i="20"/>
  <c r="I21" i="20" s="1"/>
  <c r="H18" i="20"/>
  <c r="D13" i="20"/>
  <c r="E11" i="20"/>
  <c r="E22" i="20"/>
  <c r="F20" i="20"/>
  <c r="H17" i="20"/>
  <c r="D12" i="20"/>
  <c r="E10" i="20"/>
  <c r="E21" i="20"/>
  <c r="F19" i="20"/>
  <c r="H16" i="20"/>
  <c r="D11" i="20"/>
  <c r="D22" i="20"/>
  <c r="E20" i="20"/>
  <c r="F18" i="20"/>
  <c r="H15" i="20"/>
  <c r="D10" i="20"/>
  <c r="D21" i="20"/>
  <c r="E19" i="20"/>
  <c r="F17" i="20"/>
  <c r="H14" i="20"/>
  <c r="H12" i="20"/>
  <c r="D16" i="20"/>
  <c r="D20" i="20"/>
  <c r="E18" i="20"/>
  <c r="F16" i="20"/>
  <c r="I16" i="20" s="1"/>
  <c r="H13" i="20"/>
  <c r="D19" i="20"/>
  <c r="E17" i="20"/>
  <c r="F15" i="20"/>
  <c r="F12" i="20"/>
  <c r="D18" i="20"/>
  <c r="E16" i="20"/>
  <c r="F14" i="20"/>
  <c r="H11" i="20"/>
  <c r="H10" i="20"/>
  <c r="E14" i="20"/>
  <c r="D17" i="20"/>
  <c r="E15" i="20"/>
  <c r="F13" i="20"/>
  <c r="H21" i="20"/>
  <c r="L76" i="20"/>
  <c r="L88" i="20" s="1"/>
  <c r="BV260" i="20"/>
  <c r="AU216" i="20"/>
  <c r="BU233" i="20"/>
  <c r="H200" i="20" s="1"/>
  <c r="G21" i="20" l="1"/>
  <c r="I11" i="20"/>
  <c r="I15" i="20"/>
  <c r="I20" i="20"/>
  <c r="I13" i="20"/>
  <c r="G19" i="20"/>
  <c r="I18" i="20"/>
  <c r="G13" i="20"/>
  <c r="J13" i="20" s="1"/>
  <c r="K13" i="20" s="1"/>
  <c r="G15" i="20"/>
  <c r="J15" i="20" s="1"/>
  <c r="K15" i="20" s="1"/>
  <c r="G17" i="20"/>
  <c r="G20" i="20"/>
  <c r="J20" i="20" s="1"/>
  <c r="K20" i="20" s="1"/>
  <c r="G11" i="20"/>
  <c r="J11" i="20" s="1"/>
  <c r="K11" i="20" s="1"/>
  <c r="J21" i="20"/>
  <c r="G16" i="20"/>
  <c r="J16" i="20" s="1"/>
  <c r="K16" i="20" s="1"/>
  <c r="I14" i="20"/>
  <c r="I19" i="20"/>
  <c r="G18" i="20"/>
  <c r="I17" i="20"/>
  <c r="I10" i="20"/>
  <c r="I12" i="20"/>
  <c r="G12" i="20"/>
  <c r="J12" i="20" s="1"/>
  <c r="K12" i="20" s="1"/>
  <c r="G14" i="20"/>
  <c r="G10" i="20"/>
  <c r="BU260" i="20"/>
  <c r="I148" i="20" s="1"/>
  <c r="J18" i="20" l="1"/>
  <c r="K18" i="20" s="1"/>
  <c r="J19" i="20"/>
  <c r="K19" i="20" s="1"/>
  <c r="J14" i="20"/>
  <c r="K14" i="20" s="1"/>
  <c r="J17" i="20"/>
  <c r="K17" i="20" s="1"/>
  <c r="L21" i="20"/>
  <c r="L20" i="20" s="1"/>
  <c r="L19" i="20" s="1"/>
  <c r="L18" i="20" s="1"/>
  <c r="K21" i="20"/>
  <c r="J10" i="20"/>
  <c r="K10" i="20" s="1"/>
  <c r="G5" i="14"/>
  <c r="D5" i="14"/>
  <c r="D6" i="14"/>
  <c r="D7" i="14"/>
  <c r="D8" i="14"/>
  <c r="D9" i="14"/>
  <c r="D10" i="14"/>
  <c r="D11" i="14"/>
  <c r="D12" i="14"/>
  <c r="D13" i="14"/>
  <c r="D14" i="14"/>
  <c r="D15" i="14"/>
  <c r="E5" i="14"/>
  <c r="F5" i="14"/>
  <c r="I5" i="14" s="1"/>
  <c r="E6" i="14"/>
  <c r="F6" i="14"/>
  <c r="E7" i="14"/>
  <c r="F7" i="14"/>
  <c r="E8" i="14"/>
  <c r="F8" i="14"/>
  <c r="E9" i="14"/>
  <c r="F9" i="14"/>
  <c r="E10" i="14"/>
  <c r="F10" i="14"/>
  <c r="E11" i="14"/>
  <c r="F11" i="14"/>
  <c r="E12" i="14"/>
  <c r="F12" i="14"/>
  <c r="E13" i="14"/>
  <c r="F13" i="14"/>
  <c r="I13" i="14" s="1"/>
  <c r="J13" i="14" s="1"/>
  <c r="E14" i="14"/>
  <c r="F14" i="14"/>
  <c r="E15" i="14"/>
  <c r="F15" i="14"/>
  <c r="L17" i="20" l="1"/>
  <c r="L16" i="20" s="1"/>
  <c r="L15" i="20" s="1"/>
  <c r="L14" i="20" s="1"/>
  <c r="L13" i="20" s="1"/>
  <c r="L12" i="20" s="1"/>
  <c r="L11" i="20" s="1"/>
  <c r="L10" i="20" s="1"/>
  <c r="D71" i="20"/>
  <c r="D83" i="20" s="1"/>
  <c r="T33" i="16"/>
  <c r="E4" i="15" l="1"/>
  <c r="F4" i="15"/>
  <c r="D4" i="15"/>
  <c r="P40" i="12"/>
  <c r="P41" i="12"/>
  <c r="P42" i="12"/>
  <c r="O42" i="12"/>
  <c r="O41" i="12"/>
  <c r="O40" i="12"/>
  <c r="P40" i="11"/>
  <c r="P41" i="11"/>
  <c r="P42" i="11"/>
  <c r="O42" i="11"/>
  <c r="O41" i="11"/>
  <c r="O40" i="11"/>
  <c r="AD34" i="11"/>
  <c r="AE34" i="11"/>
  <c r="AF34" i="11"/>
  <c r="AD16" i="11"/>
  <c r="AE16" i="11"/>
  <c r="AF16" i="11"/>
  <c r="AD20" i="11"/>
  <c r="AE20" i="11"/>
  <c r="AF20" i="11"/>
  <c r="AD22" i="11"/>
  <c r="AE22" i="11"/>
  <c r="AF22" i="11"/>
  <c r="O40" i="10"/>
  <c r="P42" i="10"/>
  <c r="O42" i="10"/>
  <c r="P41" i="10"/>
  <c r="O41" i="10"/>
  <c r="P40" i="10"/>
  <c r="F26" i="10"/>
  <c r="F37" i="10"/>
  <c r="P41" i="9" l="1"/>
  <c r="P42" i="9"/>
  <c r="P43" i="9"/>
  <c r="O42" i="9"/>
  <c r="O43" i="9"/>
  <c r="O41" i="9"/>
  <c r="F36" i="9"/>
  <c r="P40" i="8"/>
  <c r="P41" i="8"/>
  <c r="P42" i="8"/>
  <c r="O42" i="8"/>
  <c r="O41" i="8"/>
  <c r="O40" i="8"/>
  <c r="P40" i="7"/>
  <c r="P41" i="7"/>
  <c r="P42" i="7"/>
  <c r="O42" i="7"/>
  <c r="O41" i="7"/>
  <c r="O40" i="7"/>
  <c r="O40" i="5"/>
  <c r="P40" i="3"/>
  <c r="P41" i="3"/>
  <c r="P42" i="3"/>
  <c r="O42" i="3"/>
  <c r="O41" i="3"/>
  <c r="O40" i="3"/>
  <c r="O41" i="16"/>
  <c r="G41" i="6"/>
  <c r="H41" i="6"/>
  <c r="F41" i="6"/>
  <c r="P42" i="16"/>
  <c r="P43" i="16"/>
  <c r="O43" i="16"/>
  <c r="O42" i="16"/>
  <c r="P41" i="16"/>
  <c r="O40" i="1"/>
  <c r="O40" i="2"/>
  <c r="P41" i="5"/>
  <c r="P42" i="5"/>
  <c r="O42" i="5"/>
  <c r="O41" i="5"/>
  <c r="P40" i="5"/>
  <c r="P41" i="6"/>
  <c r="P42" i="6"/>
  <c r="O42" i="6"/>
  <c r="O41" i="6"/>
  <c r="O40" i="6"/>
  <c r="P40" i="6"/>
  <c r="G42" i="5"/>
  <c r="H42" i="5"/>
  <c r="F42" i="5"/>
  <c r="G42" i="4"/>
  <c r="H42" i="4"/>
  <c r="F42" i="4"/>
  <c r="G41" i="4"/>
  <c r="H41" i="4"/>
  <c r="F41" i="4"/>
  <c r="G48" i="1"/>
  <c r="H48" i="1"/>
  <c r="G49" i="1"/>
  <c r="H49" i="1"/>
  <c r="F49" i="1"/>
  <c r="F48" i="1"/>
  <c r="AQ82" i="20" a="1"/>
  <c r="BM228" i="20" a="1"/>
  <c r="AA10" i="20" a="1"/>
  <c r="BN211" i="20" a="1"/>
  <c r="AA25" i="20" a="1"/>
  <c r="AB23" i="20" a="1"/>
  <c r="BN134" i="20" a="1"/>
  <c r="AQ18" i="20" a="1"/>
  <c r="BQ38" i="20" a="1"/>
  <c r="BM210" i="20" a="1"/>
  <c r="Y35" i="20" a="1"/>
  <c r="AA21" i="20" a="1"/>
  <c r="BQ109" i="20" a="1"/>
  <c r="BM142" i="20" a="1"/>
  <c r="BM56" i="20" a="1"/>
  <c r="AM82" i="20" a="1"/>
  <c r="BO229" i="20" a="1"/>
  <c r="AA32" i="20" a="1"/>
  <c r="BM231" i="20" a="1"/>
  <c r="AO104" i="20" a="1"/>
  <c r="AN35" i="20" a="1"/>
  <c r="AD21" i="20" a="1"/>
  <c r="BN133" i="20" a="1"/>
  <c r="BM218" i="20" a="1"/>
  <c r="BO167" i="20" a="1"/>
  <c r="AM115" i="20" a="1"/>
  <c r="AQ136" i="20" a="1"/>
  <c r="L13" i="19" a="1"/>
  <c r="AM222" i="20" a="1"/>
  <c r="AB15" i="20" a="1"/>
  <c r="H37" i="19" a="1"/>
  <c r="BN60" i="20" a="1"/>
  <c r="BN194" i="20" a="1"/>
  <c r="BO194" i="20" a="1"/>
  <c r="BN256" i="20" a="1"/>
  <c r="Y25" i="20" a="1"/>
  <c r="AM184" i="20" a="1"/>
  <c r="AD25" i="20" a="1"/>
  <c r="BO196" i="20" a="1"/>
  <c r="AO101" i="20" a="1"/>
  <c r="BN223" i="20" a="1"/>
  <c r="E31" i="19" a="1"/>
  <c r="W30" i="20" a="1"/>
  <c r="J32" i="19" a="1"/>
  <c r="T36" i="20" a="1"/>
  <c r="BN61" i="20" a="1"/>
  <c r="AM243" i="20" a="1"/>
  <c r="J13" i="19" a="1"/>
  <c r="BQ223" i="20" a="1"/>
  <c r="BQ86" i="20" a="1"/>
  <c r="BN10" i="20" a="1"/>
  <c r="V32" i="20" a="1"/>
  <c r="F30" i="19" a="1"/>
  <c r="AQ115" i="20" a="1"/>
  <c r="BO168" i="20" a="1"/>
  <c r="U36" i="20" a="1"/>
  <c r="V14" i="20" a="1"/>
  <c r="U14" i="20" a="1"/>
  <c r="AQ131" i="20" a="1"/>
  <c r="G16" i="19" a="1"/>
  <c r="BM66" i="20" a="1"/>
  <c r="AQ81" i="20" a="1"/>
  <c r="AQ19" i="20" a="1"/>
  <c r="BQ194" i="20" a="1"/>
  <c r="AM228" i="20" a="1"/>
  <c r="BN51" i="20" a="1"/>
  <c r="K22" i="19" a="1"/>
  <c r="BO216" i="20" a="1"/>
  <c r="AM245" i="20" a="1"/>
  <c r="BN199" i="20" a="1"/>
  <c r="AO239" i="20" a="1"/>
  <c r="BO33" i="20" a="1"/>
  <c r="H36" i="19" a="1"/>
  <c r="AM14" i="20" a="1"/>
  <c r="BO62" i="20" a="1"/>
  <c r="F29" i="19" a="1"/>
  <c r="AN34" i="20" a="1"/>
  <c r="BO190" i="20" a="1"/>
  <c r="BM84" i="20" a="1"/>
  <c r="AO84" i="20" a="1"/>
  <c r="AQ159" i="20" a="1"/>
  <c r="AM196" i="20" a="1"/>
  <c r="R14" i="20" a="1"/>
  <c r="BQ182" i="20" a="1"/>
  <c r="AM65" i="20" a="1"/>
  <c r="AO216" i="20" a="1"/>
  <c r="BM233" i="20" a="1"/>
  <c r="BO100" i="20" a="1"/>
  <c r="V20" i="20" a="1"/>
  <c r="AO14" i="20" a="1"/>
  <c r="BM143" i="20" a="1"/>
  <c r="E9" i="19" a="1"/>
  <c r="AQ148" i="20" a="1"/>
  <c r="AD15" i="20" a="1"/>
  <c r="T12" i="20" a="1"/>
  <c r="D37" i="20" a="1"/>
  <c r="BM38" i="20" a="1"/>
  <c r="BQ112" i="20" a="1"/>
  <c r="BN12" i="20" a="1"/>
  <c r="BN112" i="20" a="1"/>
  <c r="Y22" i="20" a="1"/>
  <c r="AN49" i="20" a="1"/>
  <c r="D35" i="20" a="1"/>
  <c r="V34" i="20" a="1"/>
  <c r="AC12" i="20" a="1"/>
  <c r="BN63" i="20" a="1"/>
  <c r="AC19" i="20" a="1"/>
  <c r="AM119" i="20" a="1"/>
  <c r="AM136" i="20" a="1"/>
  <c r="L34" i="19" a="1"/>
  <c r="AQ62" i="20" a="1"/>
  <c r="T39" i="20" a="1"/>
  <c r="BO250" i="20" a="1"/>
  <c r="AD40" i="20" a="1"/>
  <c r="AN102" i="20" a="1"/>
  <c r="W38" i="20" a="1"/>
  <c r="BN62" i="20" a="1"/>
  <c r="BQ158" i="20" a="1"/>
  <c r="AM71" i="20" a="1"/>
  <c r="H36" i="20" a="1"/>
  <c r="AO135" i="20" a="1"/>
  <c r="J22" i="19" a="1"/>
  <c r="AO152" i="20" a="1"/>
  <c r="AQ174" i="20" a="1"/>
  <c r="J17" i="19" a="1"/>
  <c r="BQ190" i="20" a="1"/>
  <c r="AQ61" i="20" a="1"/>
  <c r="BO31" i="20" a="1"/>
  <c r="BM146" i="20" a="1"/>
  <c r="BM244" i="20" a="1"/>
  <c r="BQ70" i="20" a="1"/>
  <c r="AO71" i="20" a="1"/>
  <c r="E14" i="19" a="1"/>
  <c r="BO110" i="20" a="1"/>
  <c r="AM160" i="20" a="1"/>
  <c r="BM148" i="20" a="1"/>
  <c r="AO80" i="20" a="1"/>
  <c r="J6" i="19" a="1"/>
  <c r="AN61" i="20" a="1"/>
  <c r="BQ65" i="20" a="1"/>
  <c r="AQ102" i="20" a="1"/>
  <c r="S30" i="20" a="1"/>
  <c r="T22" i="20" a="1"/>
  <c r="AA29" i="20" a="1"/>
  <c r="J11" i="19" a="1"/>
  <c r="Z9" i="20" a="1"/>
  <c r="G10" i="19" a="1"/>
  <c r="BO72" i="20" a="1"/>
  <c r="BM52" i="20" a="1"/>
  <c r="X12" i="20" a="1"/>
  <c r="AQ29" i="20" a="1"/>
  <c r="BN68" i="20" a="1"/>
  <c r="BQ68" i="20" a="1"/>
  <c r="BO158" i="20" a="1"/>
  <c r="AM110" i="20" a="1"/>
  <c r="M22" i="19" a="1"/>
  <c r="AM224" i="20" a="1"/>
  <c r="AN190" i="20" a="1"/>
  <c r="X22" i="20" a="1"/>
  <c r="BQ159" i="20" a="1"/>
  <c r="V35" i="20" a="1"/>
  <c r="AQ64" i="20" a="1"/>
  <c r="K24" i="19" a="1"/>
  <c r="F11" i="19" a="1"/>
  <c r="BO50" i="20" a="1"/>
  <c r="BO109" i="20" a="1"/>
  <c r="BN190" i="20" a="1"/>
  <c r="AM54" i="20" a="1"/>
  <c r="E31" i="20" a="1"/>
  <c r="E29" i="19" a="1"/>
  <c r="X34" i="20" a="1"/>
  <c r="BM47" i="20" a="1"/>
  <c r="AM162" i="20" a="1"/>
  <c r="W29" i="20" a="1"/>
  <c r="AM18" i="20" a="1"/>
  <c r="BN150" i="20" a="1"/>
  <c r="AQ36" i="20" a="1"/>
  <c r="AO29" i="20" a="1"/>
  <c r="Y40" i="20" a="1"/>
  <c r="BM238" i="20" a="1"/>
  <c r="BM62" i="20" a="1"/>
  <c r="BO84" i="20" a="1"/>
  <c r="BO256" i="20" a="1"/>
  <c r="AO247" i="20" a="1"/>
  <c r="BQ258" i="20" a="1"/>
  <c r="BM242" i="20" a="1"/>
  <c r="BO20" i="20" a="1"/>
  <c r="W20" i="20" a="1"/>
  <c r="BO176" i="20" a="1"/>
  <c r="AA36" i="20" a="1"/>
  <c r="BQ169" i="20" a="1"/>
  <c r="BM48" i="20" a="1"/>
  <c r="AM238" i="20" a="1"/>
  <c r="AN13" i="20" a="1"/>
  <c r="AQ243" i="20" a="1"/>
  <c r="BQ55" i="20" a="1"/>
  <c r="AM101" i="20" a="1"/>
  <c r="BO183" i="20" a="1"/>
  <c r="BQ124" i="20" a="1"/>
  <c r="Y26" i="20" a="1"/>
  <c r="V19" i="20" a="1"/>
  <c r="BQ225" i="20" a="1"/>
  <c r="V33" i="20" a="1"/>
  <c r="AN225" i="20" a="1"/>
  <c r="BN28" i="20" a="1"/>
  <c r="AO166" i="20" a="1"/>
  <c r="BQ47" i="20" a="1"/>
  <c r="AA35" i="20" a="1"/>
  <c r="AQ167" i="20" a="1"/>
  <c r="F35" i="20" a="1"/>
  <c r="AQ228" i="20" a="1"/>
  <c r="BN213" i="20" a="1"/>
  <c r="AN62" i="20" a="1"/>
  <c r="BO65" i="20" a="1"/>
  <c r="AB33" i="20" a="1"/>
  <c r="AM173" i="20" a="1"/>
  <c r="BQ101" i="20" a="1"/>
  <c r="AO159" i="20" a="1"/>
  <c r="M13" i="19" a="1"/>
  <c r="V13" i="20" a="1"/>
  <c r="Z18" i="20" a="1"/>
  <c r="V37" i="20" a="1"/>
  <c r="AB10" i="20" a="1"/>
  <c r="BM53" i="20" a="1"/>
  <c r="BQ98" i="20" a="1"/>
  <c r="BO226" i="20" a="1"/>
  <c r="BQ111" i="20" a="1"/>
  <c r="AO16" i="20" a="1"/>
  <c r="M34" i="19" a="1"/>
  <c r="BN165" i="20" a="1"/>
  <c r="AC13" i="20" a="1"/>
  <c r="AB17" i="20" a="1"/>
  <c r="T32" i="20" a="1"/>
  <c r="AM60" i="20" a="1"/>
  <c r="AQ94" i="20" a="1"/>
  <c r="BQ239" i="20" a="1"/>
  <c r="T11" i="20" a="1"/>
  <c r="W18" i="20" a="1"/>
  <c r="AO119" i="20" a="1"/>
  <c r="AD10" i="20" a="1"/>
  <c r="BN96" i="20" a="1"/>
  <c r="BM93" i="20" a="1"/>
  <c r="D33" i="20" a="1"/>
  <c r="BO147" i="20" a="1"/>
  <c r="BM109" i="20" a="1"/>
  <c r="AQ54" i="20" a="1"/>
  <c r="Z16" i="20" a="1"/>
  <c r="AD37" i="20" a="1"/>
  <c r="AQ189" i="20" a="1"/>
  <c r="AO249" i="20" a="1"/>
  <c r="H27" i="20" a="1"/>
  <c r="AO144" i="20" a="1"/>
  <c r="AQ247" i="20" a="1"/>
  <c r="AO137" i="20" a="1"/>
  <c r="AM166" i="20" a="1"/>
  <c r="W10" i="20" a="1"/>
  <c r="BN230" i="20" a="1"/>
  <c r="AQ215" i="20" a="1"/>
  <c r="AN197" i="20" a="1"/>
  <c r="AO64" i="20" a="1"/>
  <c r="BM191" i="20" a="1"/>
  <c r="BN209" i="20" a="1"/>
  <c r="AQ133" i="20" a="1"/>
  <c r="BQ34" i="20" a="1"/>
  <c r="AN89" i="20" a="1"/>
  <c r="BQ129" i="20" a="1"/>
  <c r="S38" i="20" a="1"/>
  <c r="M26" i="19" a="1"/>
  <c r="BM95" i="20" a="1"/>
  <c r="BM130" i="20" a="1"/>
  <c r="H22" i="19" a="1"/>
  <c r="AC26" i="20" a="1"/>
  <c r="AN63" i="20" a="1"/>
  <c r="AM104" i="20" a="1"/>
  <c r="BN241" i="20" a="1"/>
  <c r="AN208" i="20" a="1"/>
  <c r="U10" i="20" a="1"/>
  <c r="AB16" i="20" a="1"/>
  <c r="Y13" i="20" a="1"/>
  <c r="AN69" i="20" a="1"/>
  <c r="Z38" i="20" a="1"/>
  <c r="AM185" i="20" a="1"/>
  <c r="L14" i="19" a="1"/>
  <c r="AQ143" i="20" a="1"/>
  <c r="AB40" i="20" a="1"/>
  <c r="F18" i="19" a="1"/>
  <c r="AO78" i="20" a="1"/>
  <c r="S33" i="20" a="1"/>
  <c r="AM112" i="20" a="1"/>
  <c r="E17" i="19" a="1"/>
  <c r="BO162" i="20" a="1"/>
  <c r="AM17" i="20" a="1"/>
  <c r="BQ152" i="20" a="1"/>
  <c r="F15" i="19" a="1"/>
  <c r="BQ108" i="20" a="1"/>
  <c r="H28" i="19" a="1"/>
  <c r="BN228" i="20" a="1"/>
  <c r="W40" i="20" a="1"/>
  <c r="BN34" i="20" a="1"/>
  <c r="BO127" i="20" a="1"/>
  <c r="BM150" i="20" a="1"/>
  <c r="E13" i="19" a="1"/>
  <c r="AN144" i="20" a="1"/>
  <c r="AN128" i="20" a="1"/>
  <c r="U19" i="20" a="1"/>
  <c r="R20" i="20" a="1"/>
  <c r="BQ228" i="20" a="1"/>
  <c r="BN178" i="20" a="1"/>
  <c r="Z19" i="20" a="1"/>
  <c r="AM64" i="20" a="1"/>
  <c r="BN94" i="20" a="1"/>
  <c r="X14" i="20" a="1"/>
  <c r="BQ206" i="20" a="1"/>
  <c r="AQ45" i="20" a="1"/>
  <c r="BM225" i="20" a="1"/>
  <c r="BQ166" i="20" a="1"/>
  <c r="R15" i="20" a="1"/>
  <c r="AD9" i="20" a="1"/>
  <c r="F29" i="20" a="1"/>
  <c r="AM231" i="20" a="1"/>
  <c r="AO183" i="20" a="1"/>
  <c r="H25" i="19" a="1"/>
  <c r="AQ14" i="20" a="1"/>
  <c r="E8" i="19" a="1"/>
  <c r="AN113" i="20" a="1"/>
  <c r="M33" i="19" a="1"/>
  <c r="AN114" i="20" a="1"/>
  <c r="BQ257" i="20" a="1"/>
  <c r="X24" i="20" a="1"/>
  <c r="E25" i="19" a="1"/>
  <c r="BN136" i="20" a="1"/>
  <c r="E23" i="19" a="1"/>
  <c r="K25" i="19" a="1"/>
  <c r="R29" i="20" a="1"/>
  <c r="AO72" i="20" a="1"/>
  <c r="AB30" i="20" a="1"/>
  <c r="BM243" i="20" a="1"/>
  <c r="BQ209" i="20" a="1"/>
  <c r="AM225" i="20" a="1"/>
  <c r="BN102" i="20" a="1"/>
  <c r="AM36" i="20" a="1"/>
  <c r="AQ152" i="20" a="1"/>
  <c r="R19" i="20" a="1"/>
  <c r="W31" i="20" a="1"/>
  <c r="AC37" i="20" a="1"/>
  <c r="AO151" i="20" a="1"/>
  <c r="AO114" i="20" a="1"/>
  <c r="D36" i="20" a="1"/>
  <c r="AO27" i="20" a="1"/>
  <c r="H14" i="14" a="1"/>
  <c r="BM87" i="20" a="1"/>
  <c r="AN110" i="20" a="1"/>
  <c r="BM98" i="20" a="1"/>
  <c r="H7" i="14" a="1"/>
  <c r="BO12" i="20" a="1"/>
  <c r="BO246" i="20" a="1"/>
  <c r="Z29" i="20" a="1"/>
  <c r="AQ68" i="20" a="1"/>
  <c r="Z25" i="20" a="1"/>
  <c r="BO209" i="20" a="1"/>
  <c r="BN111" i="20" a="1"/>
  <c r="AQ48" i="20" a="1"/>
  <c r="BO146" i="20" a="1"/>
  <c r="Y9" i="20" a="1"/>
  <c r="AO205" i="20" a="1"/>
  <c r="S40" i="20" a="1"/>
  <c r="BQ259" i="20" a="1"/>
  <c r="AC29" i="20" a="1"/>
  <c r="AN130" i="20" a="1"/>
  <c r="AN131" i="20" a="1"/>
  <c r="K19" i="19" a="1"/>
  <c r="BO242" i="20" a="1"/>
  <c r="AO47" i="20" a="1"/>
  <c r="AM70" i="20" a="1"/>
  <c r="BN31" i="20" a="1"/>
  <c r="BQ216" i="20" a="1"/>
  <c r="AM165" i="20" a="1"/>
  <c r="BM151" i="20" a="1"/>
  <c r="AO45" i="20" a="1"/>
  <c r="E33" i="20" a="1"/>
  <c r="F21" i="19" a="1"/>
  <c r="D31" i="20" a="1"/>
  <c r="BQ135" i="20" a="1"/>
  <c r="W36" i="20" a="1"/>
  <c r="BQ32" i="20" a="1"/>
  <c r="AO13" i="20" a="1"/>
  <c r="AO196" i="20" a="1"/>
  <c r="R17" i="20" a="1"/>
  <c r="BN118" i="20" a="1"/>
  <c r="K18" i="19" a="1"/>
  <c r="AQ77" i="20" a="1"/>
  <c r="R25" i="20" a="1"/>
  <c r="AO89" i="20" a="1"/>
  <c r="AM77" i="20" a="1"/>
  <c r="BN30" i="20" a="1"/>
  <c r="T35" i="20" a="1"/>
  <c r="BM163" i="20" a="1"/>
  <c r="BO49" i="20" a="1"/>
  <c r="BM118" i="20" a="1"/>
  <c r="G26" i="19" a="1"/>
  <c r="BO27" i="20" a="1"/>
  <c r="Z37" i="20" a="1"/>
  <c r="AM130" i="20" a="1"/>
  <c r="BM190" i="20" a="1"/>
  <c r="AB13" i="20" a="1"/>
  <c r="AN38" i="20" a="1"/>
  <c r="AQ13" i="20" a="1"/>
  <c r="H10" i="19" a="1"/>
  <c r="AO245" i="20" a="1"/>
  <c r="T25" i="20" a="1"/>
  <c r="AC21" i="20" a="1"/>
  <c r="BO46" i="20" a="1"/>
  <c r="AM53" i="20" a="1"/>
  <c r="BM134" i="20" a="1"/>
  <c r="BM70" i="20" a="1"/>
  <c r="BO116" i="20" a="1"/>
  <c r="W19" i="20" a="1"/>
  <c r="F32" i="20" a="1"/>
  <c r="T15" i="20" a="1"/>
  <c r="BM129" i="20" a="1"/>
  <c r="AO79" i="20" a="1"/>
  <c r="BM136" i="20" a="1"/>
  <c r="E38" i="20" a="1"/>
  <c r="Z40" i="20" a="1"/>
  <c r="BN52" i="20" a="1"/>
  <c r="BN69" i="20" a="1"/>
  <c r="BM197" i="20" a="1"/>
  <c r="AO77" i="20" a="1"/>
  <c r="AN78" i="20" a="1"/>
  <c r="AQ33" i="20" a="1"/>
  <c r="E26" i="19" a="1"/>
  <c r="AC25" i="20" a="1"/>
  <c r="AQ100" i="20" a="1"/>
  <c r="AN151" i="20" a="1"/>
  <c r="BN192" i="20" a="1"/>
  <c r="AQ128" i="20" a="1"/>
  <c r="AO95" i="20" a="1"/>
  <c r="L16" i="19" a="1"/>
  <c r="BO223" i="20" a="1"/>
  <c r="AN47" i="20" a="1"/>
  <c r="Z35" i="20" a="1"/>
  <c r="AO232" i="20" a="1"/>
  <c r="AO190" i="20" a="1"/>
  <c r="BN15" i="20" a="1"/>
  <c r="BQ229" i="20" a="1"/>
  <c r="AQ110" i="20" a="1"/>
  <c r="AM114" i="20" a="1"/>
  <c r="AM68" i="20" a="1"/>
  <c r="AN239" i="20" a="1"/>
  <c r="J14" i="19" a="1"/>
  <c r="R9" i="20" a="1"/>
  <c r="AQ212" i="20" a="1"/>
  <c r="L6" i="19" a="1"/>
  <c r="AO147" i="20" a="1"/>
  <c r="V31" i="20" a="1"/>
  <c r="BO93" i="20" a="1"/>
  <c r="X31" i="20" a="1"/>
  <c r="BQ246" i="20" a="1"/>
  <c r="AQ52" i="20" a="1"/>
  <c r="BN39" i="20" a="1"/>
  <c r="AN37" i="20" a="1"/>
  <c r="BO98" i="20" a="1"/>
  <c r="V10" i="20" a="1"/>
  <c r="AN215" i="20" a="1"/>
  <c r="AN210" i="20" a="1"/>
  <c r="E35" i="19" a="1"/>
  <c r="E7" i="19" a="1"/>
  <c r="AQ175" i="20" a="1"/>
  <c r="BQ117" i="20" a="1"/>
  <c r="BO11" i="20" a="1"/>
  <c r="AO129" i="20" a="1"/>
  <c r="F37" i="19" a="1"/>
  <c r="R37" i="20" a="1"/>
  <c r="AN15" i="20" a="1"/>
  <c r="BO213" i="20" a="1"/>
  <c r="BN222" i="20" a="1"/>
  <c r="AO208" i="20" a="1"/>
  <c r="G30" i="19" a="1"/>
  <c r="BM88" i="20" a="1"/>
  <c r="AN31" i="20" a="1"/>
  <c r="BN129" i="20" a="1"/>
  <c r="BN55" i="20" a="1"/>
  <c r="BQ35" i="20" a="1"/>
  <c r="BQ177" i="20" a="1"/>
  <c r="X15" i="20" a="1"/>
  <c r="BO22" i="20" a="1"/>
  <c r="AQ163" i="20" a="1"/>
  <c r="H15" i="19" a="1"/>
  <c r="S18" i="20" a="1"/>
  <c r="BM68" i="20" a="1"/>
  <c r="BM14" i="20" a="1"/>
  <c r="AM145" i="20" a="1"/>
  <c r="E11" i="19" a="1"/>
  <c r="S23" i="20" a="1"/>
  <c r="W26" i="20" a="1"/>
  <c r="AO242" i="20" a="1"/>
  <c r="AM51" i="20" a="1"/>
  <c r="F17" i="19" a="1"/>
  <c r="AN120" i="20" a="1"/>
  <c r="AQ84" i="20" a="1"/>
  <c r="BM102" i="20" a="1"/>
  <c r="BN47" i="20" a="1"/>
  <c r="Y15" i="20" a="1"/>
  <c r="AM93" i="20" a="1"/>
  <c r="AQ224" i="20" a="1"/>
  <c r="BM246" i="20" a="1"/>
  <c r="AO87" i="20" a="1"/>
  <c r="K16" i="19" a="1"/>
  <c r="AQ88" i="20" a="1"/>
  <c r="BM46" i="20" a="1"/>
  <c r="AA38" i="20" a="1"/>
  <c r="F26" i="19" a="1"/>
  <c r="H30" i="19" a="1"/>
  <c r="H14" i="19" a="1"/>
  <c r="AN143" i="20" a="1"/>
  <c r="BQ29" i="20" a="1"/>
  <c r="AO165" i="20" a="1"/>
  <c r="L12" i="19" a="1"/>
  <c r="AQ111" i="20" a="1"/>
  <c r="AO66" i="20" a="1"/>
  <c r="BO95" i="20" a="1"/>
  <c r="AN80" i="20" a="1"/>
  <c r="AQ210" i="20" a="1"/>
  <c r="AQ233" i="20" a="1"/>
  <c r="AO61" i="20" a="1"/>
  <c r="AO145" i="20" a="1"/>
  <c r="X17" i="20" a="1"/>
  <c r="AM163" i="20" a="1"/>
  <c r="AO130" i="20" a="1"/>
  <c r="BQ183" i="20" a="1"/>
  <c r="G23" i="19" a="1"/>
  <c r="W33" i="20" a="1"/>
  <c r="AQ198" i="20" a="1"/>
  <c r="R23" i="20" a="1"/>
  <c r="AN231" i="20" a="1"/>
  <c r="G24" i="19" a="1"/>
  <c r="AN223" i="20" a="1"/>
  <c r="AM31" i="20" a="1"/>
  <c r="BM199" i="20" a="1"/>
  <c r="BN38" i="20" a="1"/>
  <c r="T9" i="20" a="1"/>
  <c r="BN218" i="20" a="1"/>
  <c r="AD31" i="20" a="1"/>
  <c r="BO60" i="20" a="1"/>
  <c r="AQ151" i="20" a="1"/>
  <c r="AM87" i="20" a="1"/>
  <c r="BM13" i="20" a="1"/>
  <c r="AN243" i="20" a="1"/>
  <c r="BM72" i="20" a="1"/>
  <c r="AO233" i="20" a="1"/>
  <c r="AN194" i="20" a="1"/>
  <c r="BM110" i="20" a="1"/>
  <c r="AC9" i="20" a="1"/>
  <c r="AQ78" i="20" a="1"/>
  <c r="Z31" i="20" a="1"/>
  <c r="L25" i="19" a="1"/>
  <c r="BM34" i="20" a="1"/>
  <c r="S24" i="20" a="1"/>
  <c r="J16" i="19" a="1"/>
  <c r="F27" i="19" a="1"/>
  <c r="BO126" i="20" a="1"/>
  <c r="AQ80" i="20" a="1"/>
  <c r="AN10" i="20" a="1"/>
  <c r="L37" i="19" a="1"/>
  <c r="BQ69" i="20" a="1"/>
  <c r="AO55" i="20" a="1"/>
  <c r="AN87" i="20" a="1"/>
  <c r="AN19" i="20" a="1"/>
  <c r="AM229" i="20" a="1"/>
  <c r="R10" i="20" a="1"/>
  <c r="BO52" i="20" a="1"/>
  <c r="M16" i="19" a="1"/>
  <c r="AO199" i="20" a="1"/>
  <c r="AO229" i="20" a="1"/>
  <c r="AM211" i="20" a="1"/>
  <c r="G18" i="19" a="1"/>
  <c r="BM182" i="20" a="1"/>
  <c r="AN112" i="20" a="1"/>
  <c r="AO162" i="20" a="1"/>
  <c r="BN50" i="20" a="1"/>
  <c r="V11" i="20" a="1"/>
  <c r="BO114" i="20" a="1"/>
  <c r="BO67" i="20" a="1"/>
  <c r="BO165" i="20" a="1"/>
  <c r="AN150" i="20" a="1"/>
  <c r="V22" i="20" a="1"/>
  <c r="S10" i="20" a="1"/>
  <c r="H34" i="20" a="1"/>
  <c r="AO153" i="20" a="1"/>
  <c r="H11" i="19" a="1"/>
  <c r="AN213" i="20" a="1"/>
  <c r="Y28" i="20" a="1"/>
  <c r="AO34" i="20" a="1"/>
  <c r="W27" i="20" a="1"/>
  <c r="J23" i="19" a="1"/>
  <c r="K7" i="19" a="1"/>
  <c r="K20" i="19" a="1"/>
  <c r="AO81" i="20" a="1"/>
  <c r="G31" i="19" a="1"/>
  <c r="R11" i="20" a="1"/>
  <c r="AO169" i="20" a="1"/>
  <c r="AO157" i="20" a="1"/>
  <c r="AO210" i="20" a="1"/>
  <c r="BQ231" i="20" a="1"/>
  <c r="BQ126" i="20" a="1"/>
  <c r="U16" i="20" a="1"/>
  <c r="BM196" i="20" a="1"/>
  <c r="BN227" i="20" a="1"/>
  <c r="AN51" i="20" a="1"/>
  <c r="BQ165" i="20" a="1"/>
  <c r="F35" i="19" a="1"/>
  <c r="E33" i="19" a="1"/>
  <c r="G25" i="19" a="1"/>
  <c r="AN147" i="20" a="1"/>
  <c r="Y16" i="20" a="1"/>
  <c r="AO53" i="20" a="1"/>
  <c r="V21" i="20" a="1"/>
  <c r="AN175" i="20" a="1"/>
  <c r="BN86" i="20" a="1"/>
  <c r="AO161" i="20" a="1"/>
  <c r="L24" i="19" a="1"/>
  <c r="AN60" i="20" a="1"/>
  <c r="AN28" i="20" a="1"/>
  <c r="AO49" i="20" a="1"/>
  <c r="AM192" i="20" a="1"/>
  <c r="AM161" i="20" a="1"/>
  <c r="BM32" i="20" a="1"/>
  <c r="U39" i="20" a="1"/>
  <c r="BO212" i="20" a="1"/>
  <c r="BM111" i="20" a="1"/>
  <c r="BN208" i="20" a="1"/>
  <c r="AN137" i="20" a="1"/>
  <c r="BO136" i="20" a="1"/>
  <c r="AD14" i="20" a="1"/>
  <c r="AN192" i="20" a="1"/>
  <c r="AD18" i="20" a="1"/>
  <c r="G22" i="19" a="1"/>
  <c r="J29" i="19" a="1"/>
  <c r="R35" i="20" a="1"/>
  <c r="AM55" i="20" a="1"/>
  <c r="R24" i="20" a="1"/>
  <c r="H18" i="19" a="1"/>
  <c r="AN97" i="20" a="1"/>
  <c r="K32" i="19" a="1"/>
  <c r="BN242" i="20" a="1"/>
  <c r="T10" i="20" a="1"/>
  <c r="AQ132" i="20" a="1"/>
  <c r="AQ197" i="20" a="1"/>
  <c r="BM60" i="20" a="1"/>
  <c r="BO129" i="20" a="1"/>
  <c r="BQ230" i="20" a="1"/>
  <c r="BO117" i="20" a="1"/>
  <c r="BO87" i="20" a="1"/>
  <c r="AO88" i="20" a="1"/>
  <c r="J18" i="19" a="1"/>
  <c r="AO131" i="20" a="1"/>
  <c r="L29" i="19" a="1"/>
  <c r="T31" i="20" a="1"/>
  <c r="BN144" i="20" a="1"/>
  <c r="AQ222" i="20" a="1"/>
  <c r="AQ161" i="20" a="1"/>
  <c r="AO228" i="20" a="1"/>
  <c r="AN48" i="20" a="1"/>
  <c r="BQ224" i="20" a="1"/>
  <c r="AO158" i="20" a="1"/>
  <c r="BN166" i="20" a="1"/>
  <c r="BN46" i="20" a="1"/>
  <c r="M14" i="19" a="1"/>
  <c r="BN143" i="20" a="1"/>
  <c r="AQ16" i="20" a="1"/>
  <c r="AO163" i="20" a="1"/>
  <c r="AO150" i="20" a="1"/>
  <c r="D38" i="20" a="1"/>
  <c r="BN176" i="20" a="1"/>
  <c r="BO94" i="20" a="1"/>
  <c r="S20" i="20" a="1"/>
  <c r="BO113" i="20" a="1"/>
  <c r="BN184" i="20" a="1"/>
  <c r="AN173" i="20" a="1"/>
  <c r="AA31" i="20" a="1"/>
  <c r="H35" i="20" a="1"/>
  <c r="BM97" i="20" a="1"/>
  <c r="BO92" i="20" a="1"/>
  <c r="AN222" i="20" a="1"/>
  <c r="BO85" i="20" a="1"/>
  <c r="R22" i="20" a="1"/>
  <c r="BQ95" i="20" a="1"/>
  <c r="BQ62" i="20" a="1"/>
  <c r="AQ112" i="20" a="1"/>
  <c r="Z24" i="20" a="1"/>
  <c r="AC18" i="20" a="1"/>
  <c r="BQ238" i="20" a="1"/>
  <c r="AN229" i="20" a="1"/>
  <c r="AN121" i="20" a="1"/>
  <c r="U34" i="20" a="1"/>
  <c r="AO35" i="20" a="1"/>
  <c r="E30" i="20" a="1"/>
  <c r="BO135" i="20" a="1"/>
  <c r="AA16" i="20" a="1"/>
  <c r="BO169" i="20" a="1"/>
  <c r="E30" i="19" a="1"/>
  <c r="AQ67" i="20" a="1"/>
  <c r="BN160" i="20" a="1"/>
  <c r="AO83" i="20" a="1"/>
  <c r="BQ134" i="20" a="1"/>
  <c r="BM216" i="20" a="1"/>
  <c r="AQ237" i="20" a="1"/>
  <c r="H16" i="19" a="1"/>
  <c r="AO160" i="20" a="1"/>
  <c r="AM230" i="20" a="1"/>
  <c r="F16" i="19" a="1"/>
  <c r="BO207" i="20" a="1"/>
  <c r="BO132" i="20" a="1"/>
  <c r="J7" i="19" a="1"/>
  <c r="W23" i="20" a="1"/>
  <c r="BN13" i="20" a="1"/>
  <c r="K10" i="19" a="1"/>
  <c r="BM224" i="20" a="1"/>
  <c r="BO225" i="20" a="1"/>
  <c r="L28" i="19" a="1"/>
  <c r="AO182" i="20" a="1"/>
  <c r="AN160" i="20" a="1"/>
  <c r="L15" i="19" a="1"/>
  <c r="S9" i="20" a="1"/>
  <c r="BM256" i="20" a="1"/>
  <c r="AO103" i="20" a="1"/>
  <c r="AQ196" i="20" a="1"/>
  <c r="BN116" i="20" a="1"/>
  <c r="BM31" i="20" a="1"/>
  <c r="AM19" i="20" a="1"/>
  <c r="H30" i="20" a="1"/>
  <c r="AO85" i="20" a="1"/>
  <c r="D28" i="20" a="1"/>
  <c r="M23" i="19" a="1"/>
  <c r="BO66" i="20" a="1"/>
  <c r="BO241" i="20" a="1"/>
  <c r="BQ127" i="20" a="1"/>
  <c r="AQ211" i="20" a="1"/>
  <c r="BN22" i="20" a="1"/>
  <c r="AN115" i="20" a="1"/>
  <c r="BM35" i="20" a="1"/>
  <c r="BN98" i="20" a="1"/>
  <c r="BM20" i="20" a="1"/>
  <c r="BQ163" i="20" a="1"/>
  <c r="BM160" i="20" a="1"/>
  <c r="AD36" i="20" a="1"/>
  <c r="H8" i="19" a="1"/>
  <c r="BO206" i="20" a="1"/>
  <c r="BO17" i="20" a="1"/>
  <c r="BQ49" i="20" a="1"/>
  <c r="BN126" i="20" a="1"/>
  <c r="BO70" i="20" a="1"/>
  <c r="BO197" i="20" a="1"/>
  <c r="U32" i="20" a="1"/>
  <c r="K30" i="19" a="1"/>
  <c r="AM29" i="20" a="1"/>
  <c r="BM114" i="20" a="1"/>
  <c r="BQ179" i="20" a="1"/>
  <c r="AD13" i="20" a="1"/>
  <c r="BN19" i="20" a="1"/>
  <c r="AO133" i="20" a="1"/>
  <c r="BQ13" i="20" a="1"/>
  <c r="AN230" i="20" a="1"/>
  <c r="BQ222" i="20" a="1"/>
  <c r="BO217" i="20" a="1"/>
  <c r="W14" i="20" a="1"/>
  <c r="AQ129" i="20" a="1"/>
  <c r="F32" i="19" a="1"/>
  <c r="AC15" i="20" a="1"/>
  <c r="BN85" i="20" a="1"/>
  <c r="G36" i="19" a="1"/>
  <c r="BM112" i="20" a="1"/>
  <c r="BQ61" i="20" a="1"/>
  <c r="K27" i="19" a="1"/>
  <c r="R18" i="20" a="1"/>
  <c r="BQ143" i="20" a="1"/>
  <c r="L31" i="19" a="1"/>
  <c r="K37" i="19" a="1"/>
  <c r="BQ160" i="20" a="1"/>
  <c r="T13" i="20" a="1"/>
  <c r="AA11" i="20" a="1"/>
  <c r="Y10" i="20" a="1"/>
  <c r="BQ118" i="20" a="1"/>
  <c r="E37" i="19" a="1"/>
  <c r="BQ18" i="20" a="1"/>
  <c r="H31" i="20" a="1"/>
  <c r="BN113" i="20" a="1"/>
  <c r="AB18" i="20" a="1"/>
  <c r="AO50" i="20" a="1"/>
  <c r="AQ194" i="20" a="1"/>
  <c r="AB14" i="20" a="1"/>
  <c r="R36" i="20" a="1"/>
  <c r="BO186" i="20" a="1"/>
  <c r="E21" i="19" a="1"/>
  <c r="K15" i="19" a="1"/>
  <c r="AO63" i="20" a="1"/>
  <c r="BN238" i="20" a="1"/>
  <c r="X36" i="20" a="1"/>
  <c r="BN154" i="20" a="1"/>
  <c r="BN163" i="20" a="1"/>
  <c r="BQ178" i="20" a="1"/>
  <c r="AN14" i="20" a="1"/>
  <c r="AC28" i="20" a="1"/>
  <c r="BM27" i="20" a="1"/>
  <c r="K31" i="19" a="1"/>
  <c r="J15" i="19" a="1"/>
  <c r="BO55" i="20" a="1"/>
  <c r="AO11" i="20" a="1"/>
  <c r="Y30" i="20" a="1"/>
  <c r="R33" i="20" a="1"/>
  <c r="BN17" i="20" a="1"/>
  <c r="AM146" i="20" a="1"/>
  <c r="H29" i="19" a="1"/>
  <c r="U30" i="20" a="1"/>
  <c r="K21" i="19" a="1"/>
  <c r="S34" i="20" a="1"/>
  <c r="BN95" i="20" a="1"/>
  <c r="AN196" i="20" a="1"/>
  <c r="Y18" i="20" a="1"/>
  <c r="BO44" i="20" a="1"/>
  <c r="T37" i="20" a="1"/>
  <c r="BO154" i="20" a="1"/>
  <c r="AQ193" i="20" a="1"/>
  <c r="AN68" i="20" a="1"/>
  <c r="BO224" i="20" a="1"/>
  <c r="L36" i="19" a="1"/>
  <c r="AQ15" i="20" a="1"/>
  <c r="F33" i="20" a="1"/>
  <c r="J25" i="19" a="1"/>
  <c r="S16" i="20" a="1"/>
  <c r="BM183" i="20" a="1"/>
  <c r="H24" i="19" a="1"/>
  <c r="M10" i="19" a="1"/>
  <c r="BO180" i="20" a="1"/>
  <c r="Y36" i="20" a="1"/>
  <c r="BM258" i="20" a="1"/>
  <c r="BO120" i="20" a="1"/>
  <c r="AQ168" i="20" a="1"/>
  <c r="W24" i="20" a="1"/>
  <c r="AO97" i="20" a="1"/>
  <c r="AM30" i="20" a="1"/>
  <c r="AM227" i="20" a="1"/>
  <c r="X13" i="20" a="1"/>
  <c r="AN64" i="20" a="1"/>
  <c r="AA17" i="20" a="1"/>
  <c r="S36" i="20" a="1"/>
  <c r="U20" i="20" a="1"/>
  <c r="G20" i="19" a="1"/>
  <c r="BO111" i="20" a="1"/>
  <c r="J28" i="19" a="1"/>
  <c r="BM176" i="20" a="1"/>
  <c r="K35" i="19" a="1"/>
  <c r="BQ92" i="20" a="1"/>
  <c r="AM150" i="20" a="1"/>
  <c r="AD11" i="20" a="1"/>
  <c r="AM242" i="20" a="1"/>
  <c r="BQ210" i="20" a="1"/>
  <c r="BO185" i="20" a="1"/>
  <c r="AQ35" i="20" a="1"/>
  <c r="AN152" i="20" a="1"/>
  <c r="AN166" i="20" a="1"/>
  <c r="AO181" i="20" a="1"/>
  <c r="AM159" i="20" a="1"/>
  <c r="BN37" i="20" a="1"/>
  <c r="AN227" i="20" a="1"/>
  <c r="AA34" i="20" a="1"/>
  <c r="AA12" i="20" a="1"/>
  <c r="Z11" i="20" a="1"/>
  <c r="AO223" i="20" a="1"/>
  <c r="BO118" i="20" a="1"/>
  <c r="AN211" i="20" a="1"/>
  <c r="L7" i="19" a="1"/>
  <c r="BN18" i="20" a="1"/>
  <c r="BQ197" i="20" a="1"/>
  <c r="X23" i="20" a="1"/>
  <c r="AN133" i="20" a="1"/>
  <c r="AO149" i="20" a="1"/>
  <c r="AQ32" i="20" a="1"/>
  <c r="BM152" i="20" a="1"/>
  <c r="Z32" i="20" a="1"/>
  <c r="BN243" i="20" a="1"/>
  <c r="S21" i="20" a="1"/>
  <c r="W11" i="20" a="1"/>
  <c r="H17" i="19" a="1"/>
  <c r="F28" i="20" a="1"/>
  <c r="AQ231" i="20" a="1"/>
  <c r="R31" i="20" a="1"/>
  <c r="AN119" i="20" a="1"/>
  <c r="BQ244" i="20" a="1"/>
  <c r="AM116" i="20" a="1"/>
  <c r="AN193" i="20" a="1"/>
  <c r="AO69" i="20" a="1"/>
  <c r="AA9" i="20" a="1"/>
  <c r="X10" i="20" a="1"/>
  <c r="BN182" i="20" a="1"/>
  <c r="AO96" i="20" a="1"/>
  <c r="U31" i="20" a="1"/>
  <c r="AO237" i="20" a="1"/>
  <c r="BM147" i="20" a="1"/>
  <c r="U15" i="20" a="1"/>
  <c r="BM208" i="20" a="1"/>
  <c r="AC40" i="20" a="1"/>
  <c r="AN157" i="20" a="1"/>
  <c r="BQ97" i="20" a="1"/>
  <c r="AM11" i="20" a="1"/>
  <c r="K13" i="19" a="1"/>
  <c r="AA28" i="20" a="1"/>
  <c r="AN88" i="20" a="1"/>
  <c r="AO110" i="20" a="1"/>
  <c r="AO118" i="20" a="1"/>
  <c r="BM164" i="20" a="1"/>
  <c r="BO164" i="20" a="1"/>
  <c r="AC16" i="20" a="1"/>
  <c r="BO184" i="20" a="1"/>
  <c r="BN135" i="20" a="1"/>
  <c r="BQ84" i="20" a="1"/>
  <c r="Y23" i="20" a="1"/>
  <c r="AN66" i="20" a="1"/>
  <c r="AO193" i="20" a="1"/>
  <c r="AN207" i="20" a="1"/>
  <c r="AM147" i="20" a="1"/>
  <c r="BN169" i="20" a="1"/>
  <c r="BN109" i="20" a="1"/>
  <c r="BO34" i="20" a="1"/>
  <c r="AB38" i="20" a="1"/>
  <c r="AO54" i="20" a="1"/>
  <c r="AM103" i="20" a="1"/>
  <c r="BO125" i="20" a="1"/>
  <c r="E37" i="20" a="1"/>
  <c r="BN88" i="20" a="1"/>
  <c r="AQ150" i="20" a="1"/>
  <c r="AM89" i="20" a="1"/>
  <c r="BO28" i="20" a="1"/>
  <c r="BQ147" i="20" a="1"/>
  <c r="BO233" i="20" a="1"/>
  <c r="AQ164" i="20" a="1"/>
  <c r="AC14" i="20" a="1"/>
  <c r="E32" i="19" a="1"/>
  <c r="BQ66" i="20" a="1"/>
  <c r="BN244" i="20" a="1"/>
  <c r="BM222" i="20" a="1"/>
  <c r="BM128" i="20" a="1"/>
  <c r="BM12" i="20" a="1"/>
  <c r="AQ12" i="20" a="1"/>
  <c r="BO160" i="20" a="1"/>
  <c r="AN16" i="20" a="1"/>
  <c r="Z20" i="20" a="1"/>
  <c r="BO210" i="20" a="1"/>
  <c r="AN181" i="20" a="1"/>
  <c r="X26" i="20" a="1"/>
  <c r="AO82" i="20" a="1"/>
  <c r="AM153" i="20" a="1"/>
  <c r="G33" i="19" a="1"/>
  <c r="BO18" i="20" a="1"/>
  <c r="AM152" i="20" a="1"/>
  <c r="AO121" i="20" a="1"/>
  <c r="T24" i="20" a="1"/>
  <c r="AM85" i="20" a="1"/>
  <c r="H32" i="20" a="1"/>
  <c r="AN212" i="20" a="1"/>
  <c r="V36" i="20" a="1"/>
  <c r="BO86" i="20" a="1"/>
  <c r="BQ31" i="20" a="1"/>
  <c r="AO105" i="20" a="1"/>
  <c r="L22" i="19" a="1"/>
  <c r="AA37" i="20" a="1"/>
  <c r="BM198" i="20" a="1"/>
  <c r="AQ242" i="20" a="1"/>
  <c r="Y19" i="20" a="1"/>
  <c r="AM67" i="20" a="1"/>
  <c r="AN27" i="20" a="1"/>
  <c r="AM62" i="20" a="1"/>
  <c r="AM143" i="20" a="1"/>
  <c r="AM216" i="20" a="1"/>
  <c r="H37" i="20" a="1"/>
  <c r="E34" i="20" a="1"/>
  <c r="AN238" i="20" a="1"/>
  <c r="AO222" i="20" a="1"/>
  <c r="BQ85" i="20" a="1"/>
  <c r="AO48" i="20" a="1"/>
  <c r="BQ144" i="20" a="1"/>
  <c r="AO167" i="20" a="1"/>
  <c r="BN195" i="20" a="1"/>
  <c r="H7" i="19" a="1"/>
  <c r="AN153" i="20" a="1"/>
  <c r="AO100" i="20" a="1"/>
  <c r="AO128" i="20" a="1"/>
  <c r="BO15" i="20" a="1"/>
  <c r="BN127" i="20" a="1"/>
  <c r="E19" i="19" a="1"/>
  <c r="AM206" i="20" a="1"/>
  <c r="AQ214" i="20" a="1"/>
  <c r="U12" i="20" a="1"/>
  <c r="AN54" i="20" a="1"/>
  <c r="BN49" i="20" a="1"/>
  <c r="Y21" i="20" a="1"/>
  <c r="R21" i="20" a="1"/>
  <c r="S29" i="20" a="1"/>
  <c r="AM190" i="20" a="1"/>
  <c r="BO19" i="20" a="1"/>
  <c r="AD26" i="20" a="1"/>
  <c r="AN65" i="20" a="1"/>
  <c r="S12" i="20" a="1"/>
  <c r="BO159" i="20" a="1"/>
  <c r="AN109" i="20" a="1"/>
  <c r="BO133" i="20" a="1"/>
  <c r="BN196" i="20" a="1"/>
  <c r="AN163" i="20" a="1"/>
  <c r="AM167" i="20" a="1"/>
  <c r="BM85" i="20" a="1"/>
  <c r="AN226" i="20" a="1"/>
  <c r="U29" i="20" a="1"/>
  <c r="BN101" i="20" a="1"/>
  <c r="AN198" i="20" a="1"/>
  <c r="AN53" i="20" a="1"/>
  <c r="BO36" i="20" a="1"/>
  <c r="AN104" i="20" a="1"/>
  <c r="AO15" i="20" a="1"/>
  <c r="AQ30" i="20" a="1"/>
  <c r="AN158" i="20" a="1"/>
  <c r="AO168" i="20" a="1"/>
  <c r="BQ51" i="20" a="1"/>
  <c r="AN67" i="20" a="1"/>
  <c r="E6" i="19" a="1"/>
  <c r="AO65" i="20" a="1"/>
  <c r="V24" i="20" a="1"/>
  <c r="G29" i="19" a="1"/>
  <c r="AQ165" i="20" a="1"/>
  <c r="AM34" i="20" a="1"/>
  <c r="BQ180" i="20" a="1"/>
  <c r="AO224" i="20" a="1"/>
  <c r="BO124" i="20" a="1"/>
  <c r="F24" i="19" a="1"/>
  <c r="Y24" i="20" a="1"/>
  <c r="BM116" i="20" a="1"/>
  <c r="X35" i="20" a="1"/>
  <c r="AB21" i="20" a="1"/>
  <c r="AM32" i="20" a="1"/>
  <c r="L21" i="19" a="1"/>
  <c r="BM135" i="20" a="1"/>
  <c r="L26" i="19" a="1"/>
  <c r="BM232" i="20" a="1"/>
  <c r="M27" i="19" a="1"/>
  <c r="BQ60" i="20" a="1"/>
  <c r="BQ33" i="20" a="1"/>
  <c r="AO132" i="20" a="1"/>
  <c r="F39" i="20" a="1"/>
  <c r="AO243" i="20" a="1"/>
  <c r="BN181" i="20" a="1"/>
  <c r="AC20" i="20" a="1"/>
  <c r="AA20" i="20" a="1"/>
  <c r="BQ195" i="20" a="1"/>
  <c r="AN70" i="20" a="1"/>
  <c r="S15" i="20" a="1"/>
  <c r="E28" i="19" a="1"/>
  <c r="BM124" i="20" a="1"/>
  <c r="T29" i="20" a="1"/>
  <c r="AM52" i="20" a="1"/>
  <c r="H26" i="19" a="1"/>
  <c r="BM239" i="20" a="1"/>
  <c r="BO45" i="20" a="1"/>
  <c r="AQ118" i="20" a="1"/>
  <c r="AN136" i="20" a="1"/>
  <c r="E27" i="19" a="1"/>
  <c r="BO239" i="20" a="1"/>
  <c r="U25" i="20" a="1"/>
  <c r="J36" i="19" a="1"/>
  <c r="BO48" i="20" a="1"/>
  <c r="BQ87" i="20" a="1"/>
  <c r="BN161" i="20" a="1"/>
  <c r="AQ47" i="20" a="1"/>
  <c r="BQ11" i="20" a="1"/>
  <c r="AM63" i="20" a="1"/>
  <c r="AO197" i="20" a="1"/>
  <c r="AM48" i="20" a="1"/>
  <c r="G8" i="19" a="1"/>
  <c r="BQ184" i="20" a="1"/>
  <c r="BN146" i="20" a="1"/>
  <c r="BM185" i="20" a="1"/>
  <c r="BO32" i="20" a="1"/>
  <c r="AM49" i="20" a="1"/>
  <c r="BM28" i="20" a="1"/>
  <c r="BM177" i="20" a="1"/>
  <c r="BN70" i="20" a="1"/>
  <c r="BN128" i="20" a="1"/>
  <c r="V40" i="20" a="1"/>
  <c r="AM88" i="20" a="1"/>
  <c r="BN233" i="20" a="1"/>
  <c r="AM100" i="20" a="1"/>
  <c r="BO151" i="20" a="1"/>
  <c r="BO88" i="20" a="1"/>
  <c r="AN159" i="20" a="1"/>
  <c r="S26" i="20" a="1"/>
  <c r="R40" i="20" a="1"/>
  <c r="E29" i="20" a="1"/>
  <c r="T30" i="20" a="1"/>
  <c r="BN153" i="20" a="1"/>
  <c r="AN242" i="20" a="1"/>
  <c r="BM11" i="20" a="1"/>
  <c r="AN183" i="20" a="1"/>
  <c r="BQ17" i="20" a="1"/>
  <c r="H21" i="19" a="1"/>
  <c r="AB25" i="20" a="1"/>
  <c r="BQ196" i="20" a="1"/>
  <c r="BN206" i="20" a="1"/>
  <c r="R32" i="20" a="1"/>
  <c r="K6" i="19" a="1"/>
  <c r="G6" i="19" a="1"/>
  <c r="W37" i="20" a="1"/>
  <c r="BQ44" i="20" a="1"/>
  <c r="F22" i="19" a="1"/>
  <c r="BM212" i="20" a="1"/>
  <c r="BO119" i="20" a="1"/>
  <c r="M24" i="19" a="1"/>
  <c r="BN162" i="20" a="1"/>
  <c r="AQ208" i="20" a="1"/>
  <c r="BN11" i="20" a="1"/>
  <c r="BN27" i="20" a="1"/>
  <c r="AN83" i="20" a="1"/>
  <c r="BN158" i="20" a="1"/>
  <c r="BQ167" i="20" a="1"/>
  <c r="AO19" i="20" a="1"/>
  <c r="BM100" i="20" a="1"/>
  <c r="BO182" i="20" a="1"/>
  <c r="BM15" i="20" a="1"/>
  <c r="AM226" i="20" a="1"/>
  <c r="AM26" i="20" a="1"/>
  <c r="AD29" i="20" a="1"/>
  <c r="AO94" i="20" a="1"/>
  <c r="BO71" i="20" a="1"/>
  <c r="AQ20" i="20" a="1"/>
  <c r="AN100" i="20" a="1"/>
  <c r="BN93" i="20" a="1"/>
  <c r="AM33" i="20" a="1"/>
  <c r="AQ145" i="20" a="1"/>
  <c r="AQ85" i="20" a="1"/>
  <c r="BQ215" i="20" a="1"/>
  <c r="BM162" i="20" a="1"/>
  <c r="AC36" i="20" a="1"/>
  <c r="E27" i="20" a="1"/>
  <c r="AD33" i="20" a="1"/>
  <c r="AN86" i="20" a="1"/>
  <c r="Z36" i="20" a="1"/>
  <c r="AB19" i="20" a="1"/>
  <c r="AN30" i="20" a="1"/>
  <c r="AQ162" i="20" a="1"/>
  <c r="BM125" i="20" a="1"/>
  <c r="BO54" i="20" a="1"/>
  <c r="BO128" i="20" a="1"/>
  <c r="AD23" i="20" a="1"/>
  <c r="BM209" i="20" a="1"/>
  <c r="J31" i="19" a="1"/>
  <c r="AN82" i="20" a="1"/>
  <c r="BQ46" i="20" a="1"/>
  <c r="AO113" i="20" a="1"/>
  <c r="T38" i="20" a="1"/>
  <c r="BQ161" i="20" a="1"/>
  <c r="U38" i="20" a="1"/>
  <c r="AN167" i="20" a="1"/>
  <c r="M9" i="19" a="1"/>
  <c r="Y27" i="20" a="1"/>
  <c r="BQ133" i="20" a="1"/>
  <c r="J20" i="19" a="1"/>
  <c r="AQ191" i="20" a="1"/>
  <c r="BQ191" i="20" a="1"/>
  <c r="BQ113" i="20" a="1"/>
  <c r="V15" i="20" a="1"/>
  <c r="AB27" i="20" a="1"/>
  <c r="AQ70" i="20" a="1"/>
  <c r="F27" i="20" a="1"/>
  <c r="AO62" i="20" a="1"/>
  <c r="V25" i="20" a="1"/>
  <c r="T26" i="20" a="1"/>
  <c r="BO177" i="20" a="1"/>
  <c r="Y20" i="20" a="1"/>
  <c r="BM55" i="20" a="1"/>
  <c r="AN36" i="20" a="1"/>
  <c r="BM250" i="20" a="1"/>
  <c r="Z13" i="20" a="1"/>
  <c r="AO134" i="20" a="1"/>
  <c r="Y12" i="20" a="1"/>
  <c r="AM21" i="20" a="1"/>
  <c r="BN44" i="20" a="1"/>
  <c r="AD17" i="20" a="1"/>
  <c r="AQ195" i="20" a="1"/>
  <c r="AB9" i="20" a="1"/>
  <c r="BO218" i="20" a="1"/>
  <c r="AM113" i="20" a="1"/>
  <c r="BN53" i="20" a="1"/>
  <c r="J9" i="19" a="1"/>
  <c r="AO198" i="20" a="1"/>
  <c r="X11" i="20" a="1"/>
  <c r="L30" i="19" a="1"/>
  <c r="S22" i="20" a="1"/>
  <c r="U18" i="20" a="1"/>
  <c r="AQ192" i="20" a="1"/>
  <c r="BN65" i="20" a="1"/>
  <c r="AN105" i="20" a="1"/>
  <c r="X37" i="20" a="1"/>
  <c r="AQ190" i="20" a="1"/>
  <c r="BO259" i="20" a="1"/>
  <c r="Y37" i="20" a="1"/>
  <c r="AM205" i="20" a="1"/>
  <c r="AO120" i="20" a="1"/>
  <c r="AM80" i="20" a="1"/>
  <c r="W13" i="20" a="1"/>
  <c r="AA27" i="20" a="1"/>
  <c r="BN191" i="20" a="1"/>
  <c r="AM105" i="20" a="1"/>
  <c r="BN198" i="20" a="1"/>
  <c r="BO232" i="20" a="1"/>
  <c r="BQ63" i="20" a="1"/>
  <c r="AA15" i="20" a="1"/>
  <c r="AQ225" i="20" a="1"/>
  <c r="BQ50" i="20" a="1"/>
  <c r="BQ20" i="20" a="1"/>
  <c r="M25" i="19" a="1"/>
  <c r="BO150" i="20" a="1"/>
  <c r="AO32" i="20" a="1"/>
  <c r="BO144" i="20" a="1"/>
  <c r="AN32" i="20" a="1"/>
  <c r="AM247" i="20" a="1"/>
  <c r="BN215" i="20" a="1"/>
  <c r="BN226" i="20" a="1"/>
  <c r="AQ37" i="20" a="1"/>
  <c r="AO17" i="20" a="1"/>
  <c r="AN21" i="20" a="1"/>
  <c r="AQ181" i="20" a="1"/>
  <c r="AN81" i="20" a="1"/>
  <c r="BM153" i="20" a="1"/>
  <c r="BM51" i="20" a="1"/>
  <c r="BN64" i="20" a="1"/>
  <c r="BO244" i="20" a="1"/>
  <c r="AO215" i="20" a="1"/>
  <c r="V38" i="20" a="1"/>
  <c r="H27" i="19" a="1"/>
  <c r="J10" i="19" a="1"/>
  <c r="BQ192" i="20" a="1"/>
  <c r="L20" i="19" a="1"/>
  <c r="AO212" i="20" a="1"/>
  <c r="AM102" i="20" a="1"/>
  <c r="BM181" i="20" a="1"/>
  <c r="AM213" i="20" a="1"/>
  <c r="Y17" i="20" a="1"/>
  <c r="U37" i="20" a="1"/>
  <c r="X19" i="20" a="1"/>
  <c r="AM137" i="20" a="1"/>
  <c r="M19" i="19" a="1"/>
  <c r="BM260" i="20" a="1"/>
  <c r="AM38" i="20" a="1"/>
  <c r="BM33" i="20" a="1"/>
  <c r="S25" i="20" a="1"/>
  <c r="BN151" i="20" a="1"/>
  <c r="X38" i="20" a="1"/>
  <c r="AM118" i="20" a="1"/>
  <c r="Y33" i="20" a="1"/>
  <c r="L18" i="19" a="1"/>
  <c r="AQ97" i="20" a="1"/>
  <c r="AA26" i="20" a="1"/>
  <c r="BN108" i="20" a="1"/>
  <c r="BQ12" i="20" a="1"/>
  <c r="R28" i="20" a="1"/>
  <c r="AM111" i="20" a="1"/>
  <c r="F23" i="19" a="1"/>
  <c r="BQ162" i="20" a="1"/>
  <c r="BO215" i="20" a="1"/>
  <c r="Z28" i="20" a="1"/>
  <c r="AN84" i="20" a="1"/>
  <c r="U13" i="20" a="1"/>
  <c r="BO166" i="20" a="1"/>
  <c r="BO170" i="20" a="1"/>
  <c r="X29" i="20" a="1"/>
  <c r="AB32" i="20" a="1"/>
  <c r="F13" i="19" a="1"/>
  <c r="M29" i="19" a="1"/>
  <c r="V23" i="20" a="1"/>
  <c r="AN134" i="20" a="1"/>
  <c r="AA24" i="20" a="1"/>
  <c r="F30" i="20" a="1"/>
  <c r="AN146" i="20" a="1"/>
  <c r="BN250" i="20" a="1"/>
  <c r="BN32" i="20" a="1"/>
  <c r="BM206" i="20" a="1"/>
  <c r="BM120" i="20" a="1"/>
  <c r="S13" i="20" a="1"/>
  <c r="AO10" i="20" a="1"/>
  <c r="M17" i="19" a="1"/>
  <c r="BQ54" i="20" a="1"/>
  <c r="G32" i="19" a="1"/>
  <c r="M11" i="19" a="1"/>
  <c r="BN246" i="20" a="1"/>
  <c r="AN214" i="20" a="1"/>
  <c r="BO148" i="20" a="1"/>
  <c r="BM184" i="20" a="1"/>
  <c r="AQ227" i="20" a="1"/>
  <c r="BQ148" i="20" a="1"/>
  <c r="BM132" i="20" a="1"/>
  <c r="AQ34" i="20" a="1"/>
  <c r="BM257" i="20" a="1"/>
  <c r="BO222" i="20" a="1"/>
  <c r="E22" i="19" a="1"/>
  <c r="F34" i="20" a="1"/>
  <c r="AM195" i="20" a="1"/>
  <c r="BQ213" i="20" a="1"/>
  <c r="AA40" i="20" a="1"/>
  <c r="M28" i="19" a="1"/>
  <c r="L10" i="19" a="1"/>
  <c r="BQ232" i="20" a="1"/>
  <c r="D30" i="20" a="1"/>
  <c r="AQ96" i="20" a="1"/>
  <c r="AM86" i="20" a="1"/>
  <c r="W34" i="20" a="1"/>
  <c r="AM99" i="20" a="1"/>
  <c r="BN20" i="20" a="1"/>
  <c r="AN205" i="20" a="1"/>
  <c r="BO61" i="20" a="1"/>
  <c r="AO230" i="20" a="1"/>
  <c r="BO211" i="20" a="1"/>
  <c r="BO260" i="20" a="1"/>
  <c r="BM44" i="20" a="1"/>
  <c r="AC31" i="20" a="1"/>
  <c r="F36" i="20" a="1"/>
  <c r="AM47" i="20" a="1"/>
  <c r="G12" i="19" a="1"/>
  <c r="BM259" i="20" a="1"/>
  <c r="BQ45" i="20" a="1"/>
  <c r="BQ37" i="20" a="1"/>
  <c r="BM69" i="20" a="1"/>
  <c r="AD24" i="20" a="1"/>
  <c r="W17" i="20" a="1"/>
  <c r="AB22" i="20" a="1"/>
  <c r="AO68" i="20" a="1"/>
  <c r="AB28" i="20" a="1"/>
  <c r="K8" i="19" a="1"/>
  <c r="H29" i="20" a="1"/>
  <c r="BN124" i="20" a="1"/>
  <c r="BN45" i="20" a="1"/>
  <c r="W12" i="20" a="1"/>
  <c r="AM169" i="20" a="1"/>
  <c r="AN33" i="20" a="1"/>
  <c r="BQ150" i="20" a="1"/>
  <c r="BN92" i="20" a="1"/>
  <c r="BN225" i="20" a="1"/>
  <c r="S31" i="20" a="1"/>
  <c r="F37" i="20" a="1"/>
  <c r="AM157" i="20" a="1"/>
  <c r="BN168" i="20" a="1"/>
  <c r="AM15" i="20" a="1"/>
  <c r="G9" i="19" a="1"/>
  <c r="Z23" i="20" a="1"/>
  <c r="Z15" i="20" a="1"/>
  <c r="H5" i="14" a="1"/>
  <c r="BN259" i="20" a="1"/>
  <c r="J30" i="19" a="1"/>
  <c r="AN103" i="20" a="1"/>
  <c r="M8" i="19" a="1"/>
  <c r="W39" i="20" a="1"/>
  <c r="D34" i="20" a="1"/>
  <c r="BN114" i="20" a="1"/>
  <c r="X30" i="20" a="1"/>
  <c r="AM128" i="20" a="1"/>
  <c r="F7" i="19" a="1"/>
  <c r="AN189" i="20" a="1"/>
  <c r="BN186" i="20" a="1"/>
  <c r="BN212" i="20" a="1"/>
  <c r="T33" i="20" a="1"/>
  <c r="AN29" i="20" a="1"/>
  <c r="Z30" i="20" a="1"/>
  <c r="L17" i="19" a="1"/>
  <c r="M6" i="19" a="1"/>
  <c r="AQ147" i="20" a="1"/>
  <c r="BN216" i="20" a="1"/>
  <c r="BN183" i="20" a="1"/>
  <c r="BM45" i="20" a="1"/>
  <c r="AN195" i="20" a="1"/>
  <c r="L8" i="19" a="1"/>
  <c r="BO35" i="20" a="1"/>
  <c r="H31" i="19" a="1"/>
  <c r="E24" i="19" a="1"/>
  <c r="AO30" i="20" a="1"/>
  <c r="T20" i="20" a="1"/>
  <c r="AM28" i="20" a="1"/>
  <c r="BN120" i="20" a="1"/>
  <c r="BO53" i="20" a="1"/>
  <c r="J37" i="19" a="1"/>
  <c r="AN232" i="20" a="1"/>
  <c r="R30" i="20" a="1"/>
  <c r="AA33" i="20" a="1"/>
  <c r="AA39" i="20" a="1"/>
  <c r="F33" i="19" a="1"/>
  <c r="AQ86" i="20" a="1"/>
  <c r="AA19" i="20" a="1"/>
  <c r="AN26" i="20" a="1"/>
  <c r="L33" i="19" a="1"/>
  <c r="AN135" i="20" a="1"/>
  <c r="AN111" i="20" a="1"/>
  <c r="T16" i="20" a="1"/>
  <c r="Z12" i="20" a="1"/>
  <c r="AO51" i="20" a="1"/>
  <c r="BQ10" i="20" a="1"/>
  <c r="T21" i="20" a="1"/>
  <c r="BM113" i="20" a="1"/>
  <c r="AM98" i="20" a="1"/>
  <c r="AD27" i="20" a="1"/>
  <c r="X27" i="20" a="1"/>
  <c r="R39" i="20" a="1"/>
  <c r="BO29" i="20" a="1"/>
  <c r="E36" i="20" a="1"/>
  <c r="Z27" i="20" a="1"/>
  <c r="AO207" i="20" a="1"/>
  <c r="BO38" i="20" a="1"/>
  <c r="AN98" i="20" a="1"/>
  <c r="X28" i="20" a="1"/>
  <c r="BM213" i="20" a="1"/>
  <c r="V28" i="20" a="1"/>
  <c r="Z17" i="20" a="1"/>
  <c r="AN169" i="20" a="1"/>
  <c r="BQ114" i="20" a="1"/>
  <c r="X9" i="20" a="1"/>
  <c r="G15" i="19" a="1"/>
  <c r="AQ93" i="20" a="1"/>
  <c r="E10" i="19" a="1"/>
  <c r="AC39" i="20" a="1"/>
  <c r="BO181" i="20" a="1"/>
  <c r="BN119" i="20" a="1"/>
  <c r="AM69" i="20" a="1"/>
  <c r="BN177" i="20" a="1"/>
  <c r="E28" i="20" a="1"/>
  <c r="AQ166" i="20" a="1"/>
  <c r="BO238" i="20" a="1"/>
  <c r="BO51" i="20" a="1"/>
  <c r="F36" i="19" a="1"/>
  <c r="AN184" i="20" a="1"/>
  <c r="AQ49" i="20" a="1"/>
  <c r="Y31" i="20" a="1"/>
  <c r="BM17" i="20" a="1"/>
  <c r="AM208" i="20" a="1"/>
  <c r="BO153" i="20" a="1"/>
  <c r="AQ134" i="20" a="1"/>
  <c r="AN72" i="20" a="1"/>
  <c r="AO225" i="20" a="1"/>
  <c r="X18" i="20" a="1"/>
  <c r="AD39" i="20" a="1"/>
  <c r="BQ217" i="20" a="1"/>
  <c r="AQ95" i="20" a="1"/>
  <c r="AQ213" i="20" a="1"/>
  <c r="BN185" i="20" a="1"/>
  <c r="AO194" i="20" a="1"/>
  <c r="AN118" i="20" a="1"/>
  <c r="BO142" i="20" a="1"/>
  <c r="BQ28" i="20" a="1"/>
  <c r="BO192" i="20" a="1"/>
  <c r="BQ208" i="20" a="1"/>
  <c r="BN71" i="20" a="1"/>
  <c r="Y32" i="20" a="1"/>
  <c r="AM194" i="20" a="1"/>
  <c r="AM16" i="20" a="1"/>
  <c r="AM198" i="20" a="1"/>
  <c r="AN45" i="20" a="1"/>
  <c r="H12" i="19" a="1"/>
  <c r="AN18" i="20" a="1"/>
  <c r="BN48" i="20" a="1"/>
  <c r="M35" i="19" a="1"/>
  <c r="BN84" i="20" a="1"/>
  <c r="BM159" i="20" a="1"/>
  <c r="BN14" i="20" a="1"/>
  <c r="AQ149" i="20" a="1"/>
  <c r="G11" i="19" a="1"/>
  <c r="BN97" i="20" a="1"/>
  <c r="BN167" i="20" a="1"/>
  <c r="BO112" i="20" a="1"/>
  <c r="BM158" i="20" a="1"/>
  <c r="AB12" i="20" a="1"/>
  <c r="AO115" i="20" a="1"/>
  <c r="AO70" i="20" a="1"/>
  <c r="BQ116" i="20" a="1"/>
  <c r="BM49" i="20" a="1"/>
  <c r="AN162" i="20" a="1"/>
  <c r="X21" i="20" a="1"/>
  <c r="J19" i="19" a="1"/>
  <c r="BO130" i="20" a="1"/>
  <c r="F31" i="20" a="1"/>
  <c r="AM61" i="20" a="1"/>
  <c r="H6" i="19" a="1"/>
  <c r="BN35" i="20" a="1"/>
  <c r="AM151" i="20" a="1"/>
  <c r="AO67" i="20" a="1"/>
  <c r="AM174" i="20" a="1"/>
  <c r="U17" i="20" a="1"/>
  <c r="AN117" i="20" a="1"/>
  <c r="H35" i="19" a="1"/>
  <c r="V17" i="20" a="1"/>
  <c r="K36" i="19" a="1"/>
  <c r="AO31" i="20" a="1"/>
  <c r="AM164" i="20" a="1"/>
  <c r="AM223" i="20" a="1"/>
  <c r="K34" i="19" a="1"/>
  <c r="AM84" i="20" a="1"/>
  <c r="S19" i="20" a="1"/>
  <c r="BQ125" i="20" a="1"/>
  <c r="AO60" i="20" a="1"/>
  <c r="AQ44" i="20" a="1"/>
  <c r="T34" i="20" a="1"/>
  <c r="AO116" i="20" a="1"/>
  <c r="T17" i="20" a="1"/>
  <c r="Y34" i="20" a="1"/>
  <c r="BN164" i="20" a="1"/>
  <c r="AD16" i="20" a="1"/>
  <c r="AO136" i="20" a="1"/>
  <c r="E32" i="20" a="1"/>
  <c r="BQ128" i="20" a="1"/>
  <c r="AN132" i="20" a="1"/>
  <c r="F25" i="19" a="1"/>
  <c r="AQ63" i="20" a="1"/>
  <c r="AA30" i="20" a="1"/>
  <c r="BQ168" i="20" a="1"/>
  <c r="AN148" i="20" a="1"/>
  <c r="BO152" i="20" a="1"/>
  <c r="AB29" i="20" a="1"/>
  <c r="BQ226" i="20" a="1"/>
  <c r="BN117" i="20" a="1"/>
  <c r="BM37" i="20" a="1"/>
  <c r="AO143" i="20" a="1"/>
  <c r="BQ15" i="20" a="1"/>
  <c r="AN249" i="20" a="1"/>
  <c r="AN94" i="20" a="1"/>
  <c r="BM127" i="20" a="1"/>
  <c r="AQ207" i="20" a="1"/>
  <c r="AM44" i="20" a="1"/>
  <c r="AO117" i="20" a="1"/>
  <c r="BM39" i="20" a="1"/>
  <c r="W15" i="20" a="1"/>
  <c r="AQ157" i="20" a="1"/>
  <c r="U23" i="20" a="1"/>
  <c r="BQ119" i="20" a="1"/>
  <c r="AN168" i="20" a="1"/>
  <c r="G35" i="19" a="1"/>
  <c r="U28" i="20" a="1"/>
  <c r="AN182" i="20" a="1"/>
  <c r="D32" i="20" a="1"/>
  <c r="S32" i="20" a="1"/>
  <c r="BQ93" i="20" a="1"/>
  <c r="BN179" i="20" a="1"/>
  <c r="AM168" i="20" a="1"/>
  <c r="AO184" i="20" a="1"/>
  <c r="F9" i="19" a="1"/>
  <c r="BM223" i="20" a="1"/>
  <c r="BO208" i="20" a="1"/>
  <c r="BN152" i="20" a="1"/>
  <c r="AO112" i="20" a="1"/>
  <c r="AB35" i="20" a="1"/>
  <c r="BM215" i="20" a="1"/>
  <c r="AQ239" i="20" a="1"/>
  <c r="G34" i="19" a="1"/>
  <c r="S17" i="20" a="1"/>
  <c r="BQ207" i="20" a="1"/>
  <c r="BM67" i="20" a="1"/>
  <c r="AO175" i="20" a="1"/>
  <c r="BN130" i="20" a="1"/>
  <c r="H33" i="20" a="1"/>
  <c r="BM22" i="20" a="1"/>
  <c r="X25" i="20" a="1"/>
  <c r="BN54" i="20" a="1"/>
  <c r="BQ19" i="20" a="1"/>
  <c r="AM72" i="20" a="1"/>
  <c r="T19" i="20" a="1"/>
  <c r="AN149" i="20" a="1"/>
  <c r="BO108" i="20" a="1"/>
  <c r="AM94" i="20" a="1"/>
  <c r="BM178" i="20" a="1"/>
  <c r="BN260" i="20" a="1"/>
  <c r="BM168" i="20" a="1"/>
  <c r="BN170" i="20" a="1"/>
  <c r="L27" i="19" a="1"/>
  <c r="BN229" i="20" a="1"/>
  <c r="AQ206" i="20" a="1"/>
  <c r="AM83" i="20" a="1"/>
  <c r="S39" i="20" a="1"/>
  <c r="BO143" i="20" a="1"/>
  <c r="BO97" i="20" a="1"/>
  <c r="AM45" i="20" a="1"/>
  <c r="H38" i="20" a="1"/>
  <c r="AO174" i="20" a="1"/>
  <c r="AQ113" i="20" a="1"/>
  <c r="AO28" i="20" a="1"/>
  <c r="AN245" i="20" a="1"/>
  <c r="AO12" i="20" a="1"/>
  <c r="AA22" i="20" a="1"/>
  <c r="BO179" i="20" a="1"/>
  <c r="AQ26" i="20" a="1"/>
  <c r="K12" i="19" a="1"/>
  <c r="BM169" i="20" a="1"/>
  <c r="BN147" i="20" a="1"/>
  <c r="J8" i="19" a="1"/>
  <c r="AN93" i="20" a="1"/>
  <c r="BO64" i="20" a="1"/>
  <c r="BM36" i="20" a="1"/>
  <c r="AQ101" i="20" a="1"/>
  <c r="AQ130" i="20" a="1"/>
  <c r="H19" i="19" a="1"/>
  <c r="BM29" i="20" a="1"/>
  <c r="BQ130" i="20" a="1"/>
  <c r="AN174" i="20" a="1"/>
  <c r="BM154" i="20" a="1"/>
  <c r="BN148" i="20" a="1"/>
  <c r="Z14" i="20" a="1"/>
  <c r="BM230" i="20" a="1"/>
  <c r="AQ11" i="20" a="1"/>
  <c r="AN95" i="20" a="1"/>
  <c r="AN165" i="20" a="1"/>
  <c r="AC10" i="20" a="1"/>
  <c r="AO38" i="20" a="1"/>
  <c r="J35" i="19" a="1"/>
  <c r="AM158" i="20" a="1"/>
  <c r="BQ30" i="20" a="1"/>
  <c r="AM13" i="20" a="1"/>
  <c r="AN237" i="20" a="1"/>
  <c r="AQ103" i="20" a="1"/>
  <c r="S28" i="20" a="1"/>
  <c r="BO257" i="20" a="1"/>
  <c r="D39" i="20" a="1"/>
  <c r="S14" i="20" a="1"/>
  <c r="AN164" i="20" a="1"/>
  <c r="BQ198" i="20" a="1"/>
  <c r="AM20" i="20" a="1"/>
  <c r="L9" i="19" a="1"/>
  <c r="U35" i="20" a="1"/>
  <c r="AC24" i="20" a="1"/>
  <c r="BM50" i="20" a="1"/>
  <c r="BN87" i="20" a="1"/>
  <c r="AQ65" i="20" a="1"/>
  <c r="BM64" i="20" a="1"/>
  <c r="AM129" i="20" a="1"/>
  <c r="AQ184" i="20" a="1"/>
  <c r="BM117" i="20" a="1"/>
  <c r="BM195" i="20" a="1"/>
  <c r="AQ79" i="20" a="1"/>
  <c r="BQ64" i="20" a="1"/>
  <c r="BN197" i="20" a="1"/>
  <c r="U9" i="20" a="1"/>
  <c r="AN52" i="20" a="1"/>
  <c r="E39" i="20" a="1"/>
  <c r="AM175" i="20" a="1"/>
  <c r="L19" i="19" a="1"/>
  <c r="AQ31" i="20" a="1"/>
  <c r="BQ48" i="20" a="1"/>
  <c r="BN210" i="20" a="1"/>
  <c r="AB20" i="20" a="1"/>
  <c r="W21" i="20" a="1"/>
  <c r="BO13" i="20" a="1"/>
  <c r="AQ50" i="20" a="1"/>
  <c r="S11" i="20" a="1"/>
  <c r="AB11" i="20" a="1"/>
  <c r="V16" i="20" a="1"/>
  <c r="AO164" i="20" a="1"/>
  <c r="R13" i="20" a="1"/>
  <c r="E35" i="20" a="1"/>
  <c r="Z34" i="20" a="1"/>
  <c r="U33" i="20" a="1"/>
  <c r="AO192" i="20" a="1"/>
  <c r="K14" i="19" a="1"/>
  <c r="AO44" i="20" a="1"/>
  <c r="V29" i="20" a="1"/>
  <c r="AO213" i="20" a="1"/>
  <c r="AM207" i="20" a="1"/>
  <c r="R34" i="20" a="1"/>
  <c r="Y39" i="20" a="1"/>
  <c r="BM63" i="20" a="1"/>
  <c r="AM189" i="20" a="1"/>
  <c r="AC30" i="20" a="1"/>
  <c r="BO230" i="20" a="1"/>
  <c r="AO102" i="20" a="1"/>
  <c r="AM50" i="20" a="1"/>
  <c r="J24" i="19" a="1"/>
  <c r="AO111" i="20" a="1"/>
  <c r="T14" i="20" a="1"/>
  <c r="AM81" i="20" a="1"/>
  <c r="BQ96" i="20" a="1"/>
  <c r="BN67" i="20" a="1"/>
  <c r="BQ185" i="20" a="1"/>
  <c r="Z26" i="20" a="1"/>
  <c r="BM194" i="20" a="1"/>
  <c r="AQ114" i="20" a="1"/>
  <c r="E15" i="19" a="1"/>
  <c r="L32" i="19" a="1"/>
  <c r="AO26" i="20" a="1"/>
  <c r="AD30" i="20" a="1"/>
  <c r="H34" i="19" a="1"/>
  <c r="L35" i="19" a="1"/>
  <c r="T28" i="20" a="1"/>
  <c r="BM119" i="20" a="1"/>
  <c r="T23" i="20" a="1"/>
  <c r="AM135" i="20" a="1"/>
  <c r="BQ243" i="20" a="1"/>
  <c r="BO39" i="20" a="1"/>
  <c r="AC11" i="20" a="1"/>
  <c r="BQ52" i="20" a="1"/>
  <c r="AO195" i="20" a="1"/>
  <c r="AQ135" i="20" a="1"/>
  <c r="AN44" i="20" a="1"/>
  <c r="AM134" i="20" a="1"/>
  <c r="AQ28" i="20" a="1"/>
  <c r="BQ211" i="20" a="1"/>
  <c r="AM109" i="20" a="1"/>
  <c r="BN33" i="20" a="1"/>
  <c r="G27" i="19" a="1"/>
  <c r="AQ205" i="20" a="1"/>
  <c r="AO173" i="20" a="1"/>
  <c r="BO195" i="20" a="1"/>
  <c r="AQ183" i="20" a="1"/>
  <c r="BQ94" i="20" a="1"/>
  <c r="AB26" i="20" a="1"/>
  <c r="F31" i="19" a="1"/>
  <c r="AN77" i="20" a="1"/>
  <c r="J21" i="19" a="1"/>
  <c r="BO191" i="20" a="1"/>
  <c r="H9" i="19" a="1"/>
  <c r="BQ250" i="20" a="1"/>
  <c r="AQ229" i="20" a="1"/>
  <c r="AA23" i="20" a="1"/>
  <c r="AO148" i="20" a="1"/>
  <c r="BM65" i="20" a="1"/>
  <c r="K33" i="19" a="1"/>
  <c r="AO146" i="20" a="1"/>
  <c r="W28" i="20" a="1"/>
  <c r="AN191" i="20" a="1"/>
  <c r="BM30" i="20" a="1"/>
  <c r="W22" i="20" a="1"/>
  <c r="K17" i="19" a="1"/>
  <c r="AM96" i="20" a="1"/>
  <c r="AN116" i="20" a="1"/>
  <c r="AO238" i="20" a="1"/>
  <c r="M18" i="19" a="1"/>
  <c r="BM133" i="20" a="1"/>
  <c r="AM120" i="20" a="1"/>
  <c r="Y11" i="20" a="1"/>
  <c r="AQ51" i="20" a="1"/>
  <c r="BM227" i="20" a="1"/>
  <c r="BO161" i="20" a="1"/>
  <c r="BO56" i="20" a="1"/>
  <c r="AN99" i="20" a="1"/>
  <c r="BN142" i="20" a="1"/>
  <c r="BO243" i="20" a="1"/>
  <c r="X39" i="20" a="1"/>
  <c r="AM79" i="20" a="1"/>
  <c r="AM35" i="20" a="1"/>
  <c r="BM192" i="20" a="1"/>
  <c r="BQ36" i="20" a="1"/>
  <c r="BM92" i="20" a="1"/>
  <c r="BM18" i="20" a="1"/>
  <c r="AQ60" i="20" a="1"/>
  <c r="BN232" i="20" a="1"/>
  <c r="BQ164" i="20" a="1"/>
  <c r="BQ100" i="20" a="1"/>
  <c r="BM229" i="20" a="1"/>
  <c r="AQ99" i="20" a="1"/>
  <c r="AM233" i="20" a="1"/>
  <c r="AD19" i="20" a="1"/>
  <c r="G21" i="19" a="1"/>
  <c r="H28" i="20" a="1"/>
  <c r="J27" i="19" a="1"/>
  <c r="BO37" i="20" a="1"/>
  <c r="E36" i="19" a="1"/>
  <c r="BO227" i="20" a="1"/>
  <c r="BM86" i="20" a="1"/>
  <c r="V12" i="20" a="1"/>
  <c r="BO68" i="20" a="1"/>
  <c r="AM144" i="20" a="1"/>
  <c r="AN199" i="20" a="1"/>
  <c r="BM161" i="20" a="1"/>
  <c r="U22" i="20" a="1"/>
  <c r="AN145" i="20" a="1"/>
  <c r="BN72" i="20" a="1"/>
  <c r="Z22" i="20" a="1"/>
  <c r="AC23" i="20" a="1"/>
  <c r="AM210" i="20" a="1"/>
  <c r="BM96" i="20" a="1"/>
  <c r="D29" i="20" a="1"/>
  <c r="U24" i="20" a="1"/>
  <c r="AN185" i="20" a="1"/>
  <c r="R16" i="20" a="1"/>
  <c r="E34" i="19" a="1"/>
  <c r="AN85" i="20" a="1"/>
  <c r="M36" i="19" a="1"/>
  <c r="BO134" i="20" a="1"/>
  <c r="S37" i="20" a="1"/>
  <c r="AO18" i="20" a="1"/>
  <c r="S27" i="20" a="1"/>
  <c r="BM165" i="20" a="1"/>
  <c r="AM215" i="20" a="1"/>
  <c r="AQ117" i="20" a="1"/>
  <c r="AO191" i="20" a="1"/>
  <c r="AQ27" i="20" a="1"/>
  <c r="BN217" i="20" a="1"/>
  <c r="AQ173" i="20" a="1"/>
  <c r="BM211" i="20" a="1"/>
  <c r="K9" i="19" a="1"/>
  <c r="AM148" i="20" a="1"/>
  <c r="AM12" i="20" a="1"/>
  <c r="AQ146" i="20" a="1"/>
  <c r="F6" i="19" a="1"/>
  <c r="AQ144" i="20" a="1"/>
  <c r="AM214" i="20" a="1"/>
  <c r="AQ223" i="20" a="1"/>
  <c r="S35" i="20" a="1"/>
  <c r="J12" i="19" a="1"/>
  <c r="AQ66" i="20" a="1"/>
  <c r="BM226" i="20" a="1"/>
  <c r="BQ241" i="20" a="1"/>
  <c r="BM94" i="20" a="1"/>
  <c r="AM237" i="20" a="1"/>
  <c r="AB31" i="20" a="1"/>
  <c r="BN239" i="20" a="1"/>
  <c r="AC32" i="20" a="1"/>
  <c r="AD35" i="20" a="1"/>
  <c r="J26" i="19" a="1"/>
  <c r="U40" i="20" a="1"/>
  <c r="F19" i="19" a="1"/>
  <c r="BO47" i="20" a="1"/>
  <c r="BM61" i="20" a="1"/>
  <c r="BM19" i="20" a="1"/>
  <c r="U11" i="20" a="1"/>
  <c r="U26" i="20" a="1"/>
  <c r="AO21" i="20" a="1"/>
  <c r="AO33" i="20" a="1"/>
  <c r="X16" i="20" a="1"/>
  <c r="BM170" i="20" a="1"/>
  <c r="V26" i="20" a="1"/>
  <c r="BN224" i="20" a="1"/>
  <c r="X33" i="20" a="1"/>
  <c r="AO211" i="20" a="1"/>
  <c r="BQ242" i="20" a="1"/>
  <c r="AO189" i="20" a="1"/>
  <c r="H23" i="19" a="1"/>
  <c r="AO37" i="20" a="1"/>
  <c r="BQ53" i="20" a="1"/>
  <c r="F38" i="20" a="1"/>
  <c r="BO178" i="20" a="1"/>
  <c r="M37" i="19" a="1"/>
  <c r="AQ98" i="20" a="1"/>
  <c r="AO214" i="20" a="1"/>
  <c r="AM197" i="20" a="1"/>
  <c r="AD28" i="20" a="1"/>
  <c r="H32" i="19" a="1"/>
  <c r="BQ110" i="20" a="1"/>
  <c r="AD22" i="20" a="1"/>
  <c r="AQ83" i="20" a="1"/>
  <c r="AM191" i="20" a="1"/>
  <c r="AN79" i="20" a="1"/>
  <c r="Z39" i="20" a="1"/>
  <c r="AN12" i="20" a="1"/>
  <c r="AM78" i="20" a="1"/>
  <c r="H13" i="19" a="1"/>
  <c r="M21" i="19" a="1"/>
  <c r="AA18" i="20" a="1"/>
  <c r="AQ87" i="20" a="1"/>
  <c r="BM101" i="20" a="1"/>
  <c r="M15" i="19" a="1"/>
  <c r="W9" i="20" a="1"/>
  <c r="M20" i="19" a="1"/>
  <c r="Y29" i="20" a="1"/>
  <c r="BM217" i="20" a="1"/>
  <c r="AB37" i="20" a="1"/>
  <c r="F34" i="19" a="1"/>
  <c r="V30" i="20" a="1"/>
  <c r="BM186" i="20" a="1"/>
  <c r="AB39" i="20" a="1"/>
  <c r="BN159" i="20" a="1"/>
  <c r="BO63" i="20" a="1"/>
  <c r="AN55" i="20" a="1"/>
  <c r="BN258" i="20" a="1"/>
  <c r="AQ226" i="20" a="1"/>
  <c r="AM232" i="20" a="1"/>
  <c r="BN231" i="20" a="1"/>
  <c r="AC35" i="20" a="1"/>
  <c r="AM121" i="20" a="1"/>
  <c r="Z10" i="20" a="1"/>
  <c r="AM212" i="20" a="1"/>
  <c r="AQ53" i="20" a="1"/>
  <c r="AO93" i="20" a="1"/>
  <c r="AO20" i="20" a="1"/>
  <c r="M30" i="19" a="1"/>
  <c r="H20" i="19" a="1"/>
  <c r="G7" i="19" a="1"/>
  <c r="AD32" i="20" a="1"/>
  <c r="BM207" i="20" a="1"/>
  <c r="AN101" i="20" a="1"/>
  <c r="E20" i="19" a="1"/>
  <c r="AN11" i="20" a="1"/>
  <c r="BM71" i="20" a="1"/>
  <c r="BN125" i="20" a="1"/>
  <c r="AM182" i="20" a="1"/>
  <c r="Z33" i="20" a="1"/>
  <c r="U21" i="20" a="1"/>
  <c r="AO98" i="20" a="1"/>
  <c r="F28" i="19" a="1"/>
  <c r="AB36" i="20" a="1"/>
  <c r="J33" i="19" a="1"/>
  <c r="AM132" i="20" a="1"/>
  <c r="BN100" i="20" a="1"/>
  <c r="AO227" i="20" a="1"/>
  <c r="F20" i="19" a="1"/>
  <c r="AO86" i="20" a="1"/>
  <c r="M32" i="19" a="1"/>
  <c r="BQ153" i="20" a="1"/>
  <c r="BQ176" i="20" a="1"/>
  <c r="AO36" i="20" a="1"/>
  <c r="AQ104" i="20" a="1"/>
  <c r="AM37" i="20" a="1"/>
  <c r="BO199" i="20" a="1"/>
  <c r="BO69" i="20" a="1"/>
  <c r="AO206" i="20" a="1"/>
  <c r="BO228" i="20" a="1"/>
  <c r="H6" i="14" a="1"/>
  <c r="K11" i="19" a="1"/>
  <c r="Z21" i="20" a="1"/>
  <c r="AN228" i="20" a="1"/>
  <c r="F14" i="19" a="1"/>
  <c r="AM97" i="20" a="1"/>
  <c r="BN56" i="20" a="1"/>
  <c r="E18" i="19" a="1"/>
  <c r="E12" i="19" a="1"/>
  <c r="AA14" i="20" a="1"/>
  <c r="F10" i="19" a="1"/>
  <c r="AM27" i="20" a="1"/>
  <c r="G28" i="19" a="1"/>
  <c r="AN206" i="20" a="1"/>
  <c r="BQ67" i="20" a="1"/>
  <c r="X40" i="20" a="1"/>
  <c r="R26" i="20" a="1"/>
  <c r="BO10" i="20" a="1"/>
  <c r="BO101" i="20" a="1"/>
  <c r="AQ109" i="20" a="1"/>
  <c r="BM54" i="20" a="1"/>
  <c r="F8" i="19" a="1"/>
  <c r="AN161" i="20" a="1"/>
  <c r="D27" i="20" a="1"/>
  <c r="AO185" i="20" a="1"/>
  <c r="AQ232" i="20" a="1"/>
  <c r="G14" i="19" a="1"/>
  <c r="AN233" i="20" a="1"/>
  <c r="AQ245" i="20" a="1"/>
  <c r="V18" i="20" a="1"/>
  <c r="AO52" i="20" a="1"/>
  <c r="AD34" i="20" a="1"/>
  <c r="U27" i="20" a="1"/>
  <c r="AQ160" i="20" a="1"/>
  <c r="BN66" i="20" a="1"/>
  <c r="AC22" i="20" a="1"/>
  <c r="BO14" i="20" a="1"/>
  <c r="BO96" i="20" a="1"/>
  <c r="R12" i="20" a="1"/>
  <c r="J34" i="19" a="1"/>
  <c r="W35" i="20" a="1"/>
  <c r="M12" i="19" a="1"/>
  <c r="AM193" i="20" a="1"/>
  <c r="X20" i="20" a="1"/>
  <c r="AO109" i="20" a="1"/>
  <c r="BN29" i="20" a="1"/>
  <c r="AN71" i="20" a="1"/>
  <c r="AN50" i="20" a="1"/>
  <c r="BM10" i="20" a="1"/>
  <c r="X32" i="20" a="1"/>
  <c r="AQ158" i="20" a="1"/>
  <c r="G13" i="19" a="1"/>
  <c r="BQ27" i="20" a="1"/>
  <c r="K26" i="19" a="1"/>
  <c r="AC17" i="20" a="1"/>
  <c r="Y14" i="20" a="1"/>
  <c r="AB24" i="20" a="1"/>
  <c r="AD38" i="20" a="1"/>
  <c r="BM144" i="20" a="1"/>
  <c r="BQ227" i="20" a="1"/>
  <c r="V39" i="20" a="1"/>
  <c r="E16" i="19" a="1"/>
  <c r="AN216" i="20" a="1"/>
  <c r="BM166" i="20" a="1"/>
  <c r="AN247" i="20" a="1"/>
  <c r="K23" i="19" a="1"/>
  <c r="M31" i="19" a="1"/>
  <c r="G19" i="19" a="1"/>
  <c r="AD20" i="20" a="1"/>
  <c r="AC27" i="20" a="1"/>
  <c r="W25" i="20" a="1"/>
  <c r="AQ238" i="20" a="1"/>
  <c r="BM241" i="20" a="1"/>
  <c r="BQ71" i="20" a="1"/>
  <c r="L23" i="19" a="1"/>
  <c r="AN96" i="20" a="1"/>
  <c r="BN180" i="20" a="1"/>
  <c r="L11" i="19" a="1"/>
  <c r="BQ181" i="20" a="1"/>
  <c r="AM149" i="20" a="1"/>
  <c r="BM126" i="20" a="1"/>
  <c r="AM117" i="20" a="1"/>
  <c r="BM108" i="20" a="1"/>
  <c r="BQ151" i="20" a="1"/>
  <c r="BO102" i="20" a="1"/>
  <c r="V9" i="20" a="1"/>
  <c r="G37" i="19" a="1"/>
  <c r="AQ182" i="20" a="1"/>
  <c r="AM249" i="20" a="1"/>
  <c r="AQ116" i="20" a="1"/>
  <c r="BN110" i="20" a="1"/>
  <c r="BM180" i="20" a="1"/>
  <c r="BN132" i="20" a="1"/>
  <c r="BQ256" i="20" a="1"/>
  <c r="R38" i="20" a="1"/>
  <c r="BQ132" i="20" a="1"/>
  <c r="AN17" i="20" a="1"/>
  <c r="AO226" i="20" a="1"/>
  <c r="AM199" i="20" a="1"/>
  <c r="BQ212" i="20" a="1"/>
  <c r="AC33" i="20" a="1"/>
  <c r="V27" i="20" a="1"/>
  <c r="BQ142" i="20" a="1"/>
  <c r="BQ14" i="20" a="1"/>
  <c r="AQ230" i="20" a="1"/>
  <c r="AN224" i="20" a="1"/>
  <c r="F12" i="19" a="1"/>
  <c r="K29" i="19" a="1"/>
  <c r="K28" i="19" a="1"/>
  <c r="BM179" i="20" a="1"/>
  <c r="Y38" i="20" a="1"/>
  <c r="BO163" i="20" a="1"/>
  <c r="AQ17" i="20" a="1"/>
  <c r="AM133" i="20" a="1"/>
  <c r="AM66" i="20" a="1"/>
  <c r="BN207" i="20" a="1"/>
  <c r="AC38" i="20" a="1"/>
  <c r="W16" i="20" a="1"/>
  <c r="BO231" i="20" a="1"/>
  <c r="BO30" i="20" a="1"/>
  <c r="BM167" i="20" a="1"/>
  <c r="T40" i="20" a="1"/>
  <c r="AN129" i="20" a="1"/>
  <c r="M7" i="19" a="1"/>
  <c r="BN257" i="20" a="1"/>
  <c r="BN36" i="20" a="1"/>
  <c r="AM183" i="20" a="1"/>
  <c r="AD12" i="20" a="1"/>
  <c r="W32" i="20" a="1"/>
  <c r="T18" i="20" a="1"/>
  <c r="T27" i="20" a="1"/>
  <c r="AQ71" i="20" a="1"/>
  <c r="AM95" i="20" a="1"/>
  <c r="AM181" i="20" a="1"/>
  <c r="AM131" i="20" a="1"/>
  <c r="BO258" i="20" a="1"/>
  <c r="BO198" i="20" a="1"/>
  <c r="AA13" i="20" a="1"/>
  <c r="R27" i="20" a="1"/>
  <c r="G17" i="19" a="1"/>
  <c r="AN20" i="20" a="1"/>
  <c r="AM239" i="20" a="1"/>
  <c r="AO231" i="20" a="1"/>
  <c r="AQ69" i="20" a="1"/>
  <c r="AM10" i="20" a="1"/>
  <c r="BQ146" i="20" a="1"/>
  <c r="H33" i="19" a="1"/>
  <c r="AO99" i="20" a="1"/>
  <c r="BO223" i="20" l="1"/>
  <c r="AO182" i="20"/>
  <c r="BN39" i="20"/>
  <c r="F32" i="19"/>
  <c r="L32" i="19"/>
  <c r="M11" i="19"/>
  <c r="AM165" i="20"/>
  <c r="X15" i="20"/>
  <c r="G6" i="19"/>
  <c r="U11" i="20"/>
  <c r="F31" i="19"/>
  <c r="H25" i="19"/>
  <c r="W15" i="20"/>
  <c r="AQ78" i="20"/>
  <c r="H72" i="20" s="1"/>
  <c r="H84" i="20" s="1"/>
  <c r="L31" i="19"/>
  <c r="J14" i="19"/>
  <c r="G50" i="19" s="1"/>
  <c r="G35" i="19"/>
  <c r="E12" i="19"/>
  <c r="F48" i="19" s="1"/>
  <c r="AO233" i="20"/>
  <c r="E32" i="19"/>
  <c r="F68" i="19" s="1"/>
  <c r="S23" i="20"/>
  <c r="BQ33" i="20"/>
  <c r="F120" i="20" s="1"/>
  <c r="F133" i="20" s="1"/>
  <c r="AM67" i="20"/>
  <c r="BM27" i="20"/>
  <c r="R24" i="20"/>
  <c r="E19" i="19"/>
  <c r="F55" i="19" s="1"/>
  <c r="V28" i="20"/>
  <c r="BO162" i="20"/>
  <c r="AN162" i="20"/>
  <c r="E16" i="19"/>
  <c r="F52" i="19" s="1"/>
  <c r="R12" i="20"/>
  <c r="K29" i="19"/>
  <c r="F25" i="19"/>
  <c r="AQ61" i="20"/>
  <c r="G72" i="20" s="1"/>
  <c r="G84" i="20" s="1"/>
  <c r="K30" i="19"/>
  <c r="H32" i="20"/>
  <c r="T21" i="20"/>
  <c r="AD39" i="20"/>
  <c r="K6" i="19"/>
  <c r="Y28" i="20"/>
  <c r="M17" i="19"/>
  <c r="H37" i="19"/>
  <c r="F12" i="19"/>
  <c r="AN78" i="20"/>
  <c r="BM154" i="20"/>
  <c r="AM102" i="20"/>
  <c r="K18" i="19"/>
  <c r="BO27" i="20"/>
  <c r="W31" i="20"/>
  <c r="F29" i="20"/>
  <c r="K10" i="19"/>
  <c r="BO117" i="20"/>
  <c r="AA11" i="20"/>
  <c r="AO84" i="20"/>
  <c r="AC17" i="20"/>
  <c r="M19" i="19"/>
  <c r="K20" i="19"/>
  <c r="AQ34" i="20"/>
  <c r="E79" i="20" s="1"/>
  <c r="E91" i="20" s="1"/>
  <c r="AN111" i="20"/>
  <c r="BM147" i="20"/>
  <c r="E7" i="19"/>
  <c r="AN228" i="20"/>
  <c r="G27" i="19"/>
  <c r="AC20" i="20"/>
  <c r="T11" i="20"/>
  <c r="H29" i="20"/>
  <c r="S9" i="20"/>
  <c r="Z13" i="20"/>
  <c r="M28" i="19"/>
  <c r="S34" i="20"/>
  <c r="AO63" i="20"/>
  <c r="BQ250" i="20"/>
  <c r="H170" i="20" s="1"/>
  <c r="H183" i="20" s="1"/>
  <c r="BQ55" i="20"/>
  <c r="G125" i="20" s="1"/>
  <c r="G138" i="20" s="1"/>
  <c r="BM257" i="20"/>
  <c r="H6" i="14"/>
  <c r="BQ97" i="20"/>
  <c r="I119" i="20" s="1"/>
  <c r="I132" i="20" s="1"/>
  <c r="M8" i="19"/>
  <c r="Y26" i="20"/>
  <c r="AQ114" i="20"/>
  <c r="J76" i="20" s="1"/>
  <c r="J88" i="20" s="1"/>
  <c r="E20" i="19"/>
  <c r="F56" i="19" s="1"/>
  <c r="BQ44" i="20"/>
  <c r="G114" i="20" s="1"/>
  <c r="G127" i="20" s="1"/>
  <c r="BQ241" i="20"/>
  <c r="H161" i="20" s="1"/>
  <c r="H174" i="20" s="1"/>
  <c r="J26" i="19"/>
  <c r="G62" i="19" s="1"/>
  <c r="BQ111" i="20"/>
  <c r="J117" i="20" s="1"/>
  <c r="J130" i="20" s="1"/>
  <c r="BN47" i="20"/>
  <c r="X38" i="20"/>
  <c r="AN114" i="20"/>
  <c r="AO120" i="20"/>
  <c r="AA38" i="20"/>
  <c r="AM237" i="20"/>
  <c r="AQ242" i="20"/>
  <c r="AQ30" i="20"/>
  <c r="E75" i="20" s="1"/>
  <c r="E87" i="20" s="1"/>
  <c r="K25" i="19"/>
  <c r="AO168" i="20"/>
  <c r="AM72" i="20"/>
  <c r="BM168" i="20"/>
  <c r="F35" i="20"/>
  <c r="T14" i="20"/>
  <c r="E23" i="19"/>
  <c r="F59" i="19" s="1"/>
  <c r="AM143" i="20"/>
  <c r="J16" i="19"/>
  <c r="G52" i="19" s="1"/>
  <c r="AM111" i="20"/>
  <c r="H11" i="19"/>
  <c r="M20" i="19"/>
  <c r="BM241" i="20"/>
  <c r="AM38" i="20"/>
  <c r="AO113" i="20"/>
  <c r="J33" i="19"/>
  <c r="G69" i="19" s="1"/>
  <c r="AN166" i="20"/>
  <c r="F13" i="19"/>
  <c r="AQ228" i="20"/>
  <c r="H7" i="14"/>
  <c r="M21" i="19"/>
  <c r="BO119" i="20"/>
  <c r="E6" i="19"/>
  <c r="F43" i="19" s="1"/>
  <c r="AO153" i="20"/>
  <c r="AQ165" i="20"/>
  <c r="BM233" i="20"/>
  <c r="AB12" i="20"/>
  <c r="BM207" i="20"/>
  <c r="AO82" i="20"/>
  <c r="BM47" i="20"/>
  <c r="BN51" i="20"/>
  <c r="AM224" i="20"/>
  <c r="S10" i="20"/>
  <c r="AQ93" i="20"/>
  <c r="I71" i="20" s="1"/>
  <c r="I83" i="20" s="1"/>
  <c r="AO110" i="20"/>
  <c r="AO12" i="20"/>
  <c r="AB29" i="20"/>
  <c r="J8" i="19"/>
  <c r="G44" i="19" s="1"/>
  <c r="G22" i="19"/>
  <c r="BM116" i="20"/>
  <c r="J29" i="19"/>
  <c r="G65" i="19" s="1"/>
  <c r="W27" i="20"/>
  <c r="BQ194" i="20"/>
  <c r="BN95" i="20"/>
  <c r="AD17" i="20"/>
  <c r="AN63" i="20"/>
  <c r="Z25" i="20"/>
  <c r="V38" i="20"/>
  <c r="AQ129" i="20"/>
  <c r="AN161" i="20"/>
  <c r="BO35" i="20"/>
  <c r="K16" i="19"/>
  <c r="M13" i="19"/>
  <c r="H13" i="19"/>
  <c r="Y32" i="20"/>
  <c r="AN132" i="20"/>
  <c r="BM259" i="20"/>
  <c r="L37" i="19"/>
  <c r="F22" i="19"/>
  <c r="AQ98" i="20"/>
  <c r="I76" i="20" s="1"/>
  <c r="I88" i="20" s="1"/>
  <c r="AA22" i="20"/>
  <c r="AM213" i="20"/>
  <c r="E36" i="19"/>
  <c r="F72" i="19" s="1"/>
  <c r="AN101" i="20"/>
  <c r="AM48" i="20"/>
  <c r="AM34" i="20"/>
  <c r="BM70" i="20"/>
  <c r="BN222" i="20"/>
  <c r="AQ134" i="20"/>
  <c r="AN55" i="20"/>
  <c r="S37" i="20"/>
  <c r="M30" i="19"/>
  <c r="AB23" i="20"/>
  <c r="BO259" i="20"/>
  <c r="AN158" i="20"/>
  <c r="M36" i="19"/>
  <c r="BN49" i="20"/>
  <c r="AC28" i="20"/>
  <c r="AB30" i="20"/>
  <c r="K12" i="19"/>
  <c r="BQ232" i="20"/>
  <c r="H213" i="20" s="1"/>
  <c r="H226" i="20" s="1"/>
  <c r="Y19" i="20"/>
  <c r="AM50" i="20"/>
  <c r="Y31" i="20"/>
  <c r="S25" i="20"/>
  <c r="AQ146" i="20"/>
  <c r="BN127" i="20"/>
  <c r="E33" i="19"/>
  <c r="F69" i="19" s="1"/>
  <c r="BM246" i="20"/>
  <c r="BO244" i="20"/>
  <c r="U18" i="20"/>
  <c r="AN98" i="20"/>
  <c r="AO114" i="20"/>
  <c r="H7" i="19"/>
  <c r="AN79" i="20"/>
  <c r="BN213" i="20"/>
  <c r="AO193" i="20"/>
  <c r="AQ48" i="20"/>
  <c r="F75" i="20" s="1"/>
  <c r="F87" i="20" s="1"/>
  <c r="AO165" i="20"/>
  <c r="K32" i="19"/>
  <c r="BM112" i="20"/>
  <c r="BM186" i="20"/>
  <c r="Z18" i="20"/>
  <c r="AN10" i="20"/>
  <c r="G18" i="19"/>
  <c r="BN181" i="20"/>
  <c r="F36" i="19"/>
  <c r="K9" i="19"/>
  <c r="R30" i="20"/>
  <c r="BO85" i="20"/>
  <c r="AC18" i="20"/>
  <c r="G9" i="19"/>
  <c r="BN67" i="20"/>
  <c r="AN67" i="20"/>
  <c r="AO47" i="20"/>
  <c r="AN83" i="20"/>
  <c r="BM227" i="20"/>
  <c r="AQ208" i="20"/>
  <c r="AO231" i="20"/>
  <c r="L22" i="19"/>
  <c r="BM84" i="20"/>
  <c r="J19" i="19"/>
  <c r="G55" i="19" s="1"/>
  <c r="M10" i="19"/>
  <c r="BN182" i="20"/>
  <c r="W38" i="20"/>
  <c r="AM14" i="20"/>
  <c r="G15" i="19"/>
  <c r="BO159" i="20"/>
  <c r="V14" i="20"/>
  <c r="AM33" i="20"/>
  <c r="BQ64" i="20"/>
  <c r="H118" i="20" s="1"/>
  <c r="H131" i="20" s="1"/>
  <c r="AO173" i="20"/>
  <c r="BO124" i="20"/>
  <c r="AA34" i="20"/>
  <c r="K27" i="19"/>
  <c r="AN29" i="20"/>
  <c r="E10" i="19"/>
  <c r="F46" i="19" s="1"/>
  <c r="AQ215" i="20"/>
  <c r="AB21" i="20"/>
  <c r="BN119" i="20"/>
  <c r="Y14" i="20"/>
  <c r="BQ66" i="20"/>
  <c r="H120" i="20" s="1"/>
  <c r="H133" i="20" s="1"/>
  <c r="H31" i="19"/>
  <c r="BO246" i="20"/>
  <c r="BN17" i="20"/>
  <c r="BO30" i="20"/>
  <c r="AD28" i="20"/>
  <c r="BN96" i="20"/>
  <c r="BN52" i="20"/>
  <c r="BQ125" i="20"/>
  <c r="F159" i="20" s="1"/>
  <c r="F172" i="20" s="1"/>
  <c r="E37" i="19"/>
  <c r="F73" i="19" s="1"/>
  <c r="L26" i="19"/>
  <c r="L27" i="19"/>
  <c r="BQ238" i="20"/>
  <c r="H158" i="20" s="1"/>
  <c r="H171" i="20" s="1"/>
  <c r="F11" i="19"/>
  <c r="BM198" i="20"/>
  <c r="AA21" i="20"/>
  <c r="G7" i="19"/>
  <c r="X17" i="20"/>
  <c r="H29" i="19"/>
  <c r="AO21" i="20"/>
  <c r="AN117" i="20"/>
  <c r="H23" i="19"/>
  <c r="AQ175" i="20"/>
  <c r="L73" i="20" s="1"/>
  <c r="L85" i="20" s="1"/>
  <c r="BN177" i="20"/>
  <c r="BQ14" i="20"/>
  <c r="E118" i="20" s="1"/>
  <c r="E131" i="20" s="1"/>
  <c r="F34" i="20"/>
  <c r="BM88" i="20"/>
  <c r="BN10" i="20"/>
  <c r="J20" i="19"/>
  <c r="G56" i="19" s="1"/>
  <c r="W25" i="20"/>
  <c r="AM21" i="20"/>
  <c r="D39" i="20"/>
  <c r="BO190" i="20"/>
  <c r="AN85" i="20"/>
  <c r="BO199" i="20"/>
  <c r="AQ213" i="20"/>
  <c r="AA32" i="20"/>
  <c r="J9" i="19"/>
  <c r="G45" i="19" s="1"/>
  <c r="AQ68" i="20"/>
  <c r="G79" i="20" s="1"/>
  <c r="G91" i="20" s="1"/>
  <c r="AM185" i="20"/>
  <c r="BO64" i="20"/>
  <c r="AO131" i="20"/>
  <c r="AQ27" i="20"/>
  <c r="E72" i="20" s="1"/>
  <c r="E84" i="20" s="1"/>
  <c r="J34" i="19"/>
  <c r="G70" i="19" s="1"/>
  <c r="AO146" i="20"/>
  <c r="J24" i="19"/>
  <c r="AM97" i="20"/>
  <c r="BN143" i="20"/>
  <c r="BO158" i="20"/>
  <c r="E28" i="19"/>
  <c r="F64" i="19" s="1"/>
  <c r="AM166" i="20"/>
  <c r="AD15" i="20"/>
  <c r="L13" i="19"/>
  <c r="J22" i="19"/>
  <c r="G58" i="19" s="1"/>
  <c r="AN134" i="20"/>
  <c r="AN129" i="20"/>
  <c r="AQ130" i="20"/>
  <c r="AM195" i="20"/>
  <c r="AM238" i="20"/>
  <c r="K19" i="19"/>
  <c r="T15" i="20"/>
  <c r="D32" i="20"/>
  <c r="U21" i="20"/>
  <c r="BN126" i="20"/>
  <c r="R25" i="20"/>
  <c r="G11" i="19"/>
  <c r="BM132" i="20"/>
  <c r="BQ52" i="20"/>
  <c r="G122" i="20" s="1"/>
  <c r="G135" i="20" s="1"/>
  <c r="AD26" i="20"/>
  <c r="X9" i="20"/>
  <c r="BN100" i="20"/>
  <c r="BM260" i="20"/>
  <c r="V26" i="20"/>
  <c r="AO50" i="20"/>
  <c r="M14" i="19"/>
  <c r="AA35" i="20"/>
  <c r="AM137" i="20"/>
  <c r="E32" i="20"/>
  <c r="AN210" i="20"/>
  <c r="AM13" i="20"/>
  <c r="BO38" i="20"/>
  <c r="AM88" i="20"/>
  <c r="AQ63" i="20"/>
  <c r="G74" i="20" s="1"/>
  <c r="G86" i="20" s="1"/>
  <c r="BQ69" i="20"/>
  <c r="H123" i="20" s="1"/>
  <c r="H136" i="20" s="1"/>
  <c r="Y9" i="20"/>
  <c r="K14" i="19"/>
  <c r="J13" i="19"/>
  <c r="G49" i="19" s="1"/>
  <c r="AN86" i="20"/>
  <c r="E28" i="20"/>
  <c r="R23" i="20"/>
  <c r="AN118" i="20"/>
  <c r="BQ190" i="20"/>
  <c r="X25" i="20"/>
  <c r="BQ135" i="20"/>
  <c r="F169" i="20" s="1"/>
  <c r="F182" i="20" s="1"/>
  <c r="F26" i="19"/>
  <c r="BN191" i="20"/>
  <c r="D37" i="20"/>
  <c r="AC35" i="20"/>
  <c r="X40" i="20"/>
  <c r="H5" i="14"/>
  <c r="AA14" i="20"/>
  <c r="AN208" i="20"/>
  <c r="BO153" i="20"/>
  <c r="AC32" i="20"/>
  <c r="V34" i="20"/>
  <c r="BN231" i="20"/>
  <c r="BQ163" i="20"/>
  <c r="E208" i="20" s="1"/>
  <c r="E221" i="20" s="1"/>
  <c r="BO185" i="20"/>
  <c r="AN213" i="20"/>
  <c r="BM37" i="20"/>
  <c r="AN82" i="20"/>
  <c r="BQ158" i="20"/>
  <c r="E203" i="20" s="1"/>
  <c r="E216" i="20" s="1"/>
  <c r="AM93" i="20"/>
  <c r="BN15" i="20"/>
  <c r="AQ182" i="20"/>
  <c r="L80" i="20" s="1"/>
  <c r="L92" i="20" s="1"/>
  <c r="J23" i="19"/>
  <c r="G59" i="19" s="1"/>
  <c r="AO167" i="20"/>
  <c r="F15" i="19"/>
  <c r="V27" i="20"/>
  <c r="AO195" i="20"/>
  <c r="AM210" i="20"/>
  <c r="AA23" i="20"/>
  <c r="U20" i="20"/>
  <c r="E18" i="19"/>
  <c r="F54" i="19" s="1"/>
  <c r="BO120" i="20"/>
  <c r="W18" i="20"/>
  <c r="BO98" i="20"/>
  <c r="BN154" i="20"/>
  <c r="V36" i="20"/>
  <c r="S31" i="20"/>
  <c r="M34" i="19"/>
  <c r="W12" i="20"/>
  <c r="R37" i="20"/>
  <c r="G26" i="19"/>
  <c r="AB35" i="20"/>
  <c r="BQ191" i="20"/>
  <c r="E25" i="19"/>
  <c r="F61" i="19" s="1"/>
  <c r="S20" i="20"/>
  <c r="E8" i="19"/>
  <c r="F44" i="19" s="1"/>
  <c r="L17" i="19"/>
  <c r="H18" i="19"/>
  <c r="BN228" i="20"/>
  <c r="AQ31" i="20"/>
  <c r="E76" i="20" s="1"/>
  <c r="E88" i="20" s="1"/>
  <c r="AM99" i="20"/>
  <c r="H34" i="19"/>
  <c r="T29" i="20"/>
  <c r="F37" i="19"/>
  <c r="AM28" i="20"/>
  <c r="BQ126" i="20"/>
  <c r="F160" i="20" s="1"/>
  <c r="F173" i="20" s="1"/>
  <c r="AM20" i="20"/>
  <c r="L12" i="19"/>
  <c r="BN184" i="20"/>
  <c r="BQ101" i="20"/>
  <c r="I123" i="20" s="1"/>
  <c r="I136" i="20" s="1"/>
  <c r="BM150" i="20"/>
  <c r="M31" i="19"/>
  <c r="F24" i="19"/>
  <c r="AN81" i="20"/>
  <c r="BO218" i="20"/>
  <c r="AO87" i="20"/>
  <c r="R34" i="20"/>
  <c r="E31" i="19"/>
  <c r="BO118" i="20"/>
  <c r="K24" i="19"/>
  <c r="AB20" i="20"/>
  <c r="BN18" i="20"/>
  <c r="BM230" i="20"/>
  <c r="F28" i="19"/>
  <c r="BM148" i="20"/>
  <c r="S36" i="20"/>
  <c r="AC31" i="20"/>
  <c r="M6" i="19"/>
  <c r="BQ211" i="20"/>
  <c r="G208" i="20" s="1"/>
  <c r="G221" i="20" s="1"/>
  <c r="U9" i="20"/>
  <c r="F9" i="19"/>
  <c r="BN64" i="20"/>
  <c r="BN130" i="20"/>
  <c r="M9" i="19"/>
  <c r="AO65" i="20"/>
  <c r="U30" i="20"/>
  <c r="BO225" i="20"/>
  <c r="G16" i="19"/>
  <c r="BN225" i="20"/>
  <c r="R22" i="20"/>
  <c r="AQ205" i="20"/>
  <c r="BO111" i="20"/>
  <c r="E35" i="19"/>
  <c r="F71" i="19" s="1"/>
  <c r="M7" i="19"/>
  <c r="AN212" i="20"/>
  <c r="BQ98" i="20"/>
  <c r="I120" i="20" s="1"/>
  <c r="I133" i="20" s="1"/>
  <c r="BO230" i="20"/>
  <c r="AM226" i="20"/>
  <c r="J10" i="19"/>
  <c r="G46" i="19" s="1"/>
  <c r="BN239" i="20"/>
  <c r="AN185" i="20"/>
  <c r="AA26" i="20"/>
  <c r="AN104" i="20"/>
  <c r="BM159" i="20"/>
  <c r="W35" i="20"/>
  <c r="V12" i="20"/>
  <c r="S17" i="20"/>
  <c r="AQ247" i="20"/>
  <c r="AO103" i="20"/>
  <c r="H33" i="20"/>
  <c r="AM17" i="20"/>
  <c r="AO60" i="20"/>
  <c r="BQ34" i="20"/>
  <c r="F121" i="20" s="1"/>
  <c r="F134" i="20" s="1"/>
  <c r="BO170" i="20"/>
  <c r="S32" i="20"/>
  <c r="Y30" i="20"/>
  <c r="AN135" i="20"/>
  <c r="AN231" i="20"/>
  <c r="L8" i="19"/>
  <c r="W26" i="20"/>
  <c r="M24" i="19"/>
  <c r="E33" i="20"/>
  <c r="BQ13" i="20"/>
  <c r="E117" i="20" s="1"/>
  <c r="E130" i="20" s="1"/>
  <c r="L25" i="19"/>
  <c r="BO229" i="20"/>
  <c r="H35" i="19"/>
  <c r="E27" i="19"/>
  <c r="F63" i="19" s="1"/>
  <c r="J35" i="19"/>
  <c r="G19" i="19"/>
  <c r="AN137" i="20"/>
  <c r="BO53" i="20"/>
  <c r="BN33" i="20"/>
  <c r="D31" i="20"/>
  <c r="AM81" i="20"/>
  <c r="G36" i="19"/>
  <c r="R21" i="20"/>
  <c r="J6" i="19"/>
  <c r="AN197" i="20"/>
  <c r="Z37" i="20"/>
  <c r="BQ62" i="20"/>
  <c r="H116" i="20" s="1"/>
  <c r="H129" i="20" s="1"/>
  <c r="L10" i="19"/>
  <c r="BN244" i="20"/>
  <c r="BQ227" i="20"/>
  <c r="H208" i="20" s="1"/>
  <c r="H221" i="20" s="1"/>
  <c r="E13" i="19"/>
  <c r="J7" i="19"/>
  <c r="G43" i="19" s="1"/>
  <c r="L34" i="19"/>
  <c r="AO145" i="20"/>
  <c r="AM184" i="20"/>
  <c r="BO169" i="20"/>
  <c r="AO86" i="20"/>
  <c r="F14" i="19"/>
  <c r="X27" i="20"/>
  <c r="H12" i="19"/>
  <c r="BQ128" i="20"/>
  <c r="F162" i="20" s="1"/>
  <c r="F175" i="20" s="1"/>
  <c r="AD33" i="20"/>
  <c r="AO61" i="20"/>
  <c r="J15" i="19"/>
  <c r="G51" i="19" s="1"/>
  <c r="BO257" i="20"/>
  <c r="BM238" i="20"/>
  <c r="G34" i="19"/>
  <c r="H14" i="19"/>
  <c r="AM161" i="20"/>
  <c r="T31" i="20"/>
  <c r="G23" i="19"/>
  <c r="BO100" i="20"/>
  <c r="AN193" i="20"/>
  <c r="AO118" i="20"/>
  <c r="AO128" i="20"/>
  <c r="BQ184" i="20"/>
  <c r="F213" i="20" s="1"/>
  <c r="F226" i="20" s="1"/>
  <c r="AN128" i="20"/>
  <c r="BN152" i="20"/>
  <c r="AM131" i="20"/>
  <c r="BQ224" i="20"/>
  <c r="H205" i="20" s="1"/>
  <c r="H218" i="20" s="1"/>
  <c r="BM108" i="20"/>
  <c r="AA10" i="20"/>
  <c r="BN196" i="20"/>
  <c r="M12" i="19"/>
  <c r="AC19" i="20"/>
  <c r="D36" i="20"/>
  <c r="X14" i="20"/>
  <c r="L14" i="19"/>
  <c r="M37" i="19"/>
  <c r="T9" i="20"/>
  <c r="AM26" i="20"/>
  <c r="AQ87" i="20"/>
  <c r="H81" i="20" s="1"/>
  <c r="H93" i="20" s="1"/>
  <c r="F19" i="19"/>
  <c r="W39" i="20"/>
  <c r="R18" i="20"/>
  <c r="AN181" i="20"/>
  <c r="V22" i="20"/>
  <c r="F34" i="19"/>
  <c r="AM249" i="20"/>
  <c r="BQ209" i="20"/>
  <c r="G206" i="20" s="1"/>
  <c r="G219" i="20" s="1"/>
  <c r="BO211" i="20"/>
  <c r="AN119" i="20"/>
  <c r="AN89" i="20"/>
  <c r="AD31" i="20"/>
  <c r="E9" i="19"/>
  <c r="AN11" i="20"/>
  <c r="Y38" i="20"/>
  <c r="AN214" i="20"/>
  <c r="G20" i="19"/>
  <c r="BM160" i="20"/>
  <c r="AO136" i="20"/>
  <c r="S13" i="20"/>
  <c r="Y11" i="20"/>
  <c r="L21" i="19"/>
  <c r="AD20" i="20"/>
  <c r="H20" i="19"/>
  <c r="BM109" i="20"/>
  <c r="BQ167" i="20"/>
  <c r="E212" i="20" s="1"/>
  <c r="E225" i="20" s="1"/>
  <c r="AD25" i="20"/>
  <c r="AN195" i="20"/>
  <c r="F35" i="19"/>
  <c r="Z33" i="20"/>
  <c r="AO109" i="20"/>
  <c r="AN227" i="20"/>
  <c r="F27" i="20"/>
  <c r="AO152" i="20"/>
  <c r="W16" i="20"/>
  <c r="AO196" i="20"/>
  <c r="BM164" i="20"/>
  <c r="H33" i="19"/>
  <c r="BO196" i="20"/>
  <c r="AO230" i="20"/>
  <c r="BQ94" i="20"/>
  <c r="I116" i="20" s="1"/>
  <c r="I129" i="20" s="1"/>
  <c r="X39" i="20"/>
  <c r="AN211" i="20"/>
  <c r="BO250" i="20"/>
  <c r="AQ82" i="20"/>
  <c r="H76" i="20" s="1"/>
  <c r="H88" i="20" s="1"/>
  <c r="AN194" i="20"/>
  <c r="V15" i="20"/>
  <c r="V9" i="20"/>
  <c r="BM250" i="20"/>
  <c r="AM30" i="20"/>
  <c r="D33" i="20"/>
  <c r="K22" i="19"/>
  <c r="M18" i="19"/>
  <c r="BQ208" i="20"/>
  <c r="G205" i="20" s="1"/>
  <c r="G218" i="20" s="1"/>
  <c r="AQ190" i="20"/>
  <c r="K72" i="20" s="1"/>
  <c r="K84" i="20" s="1"/>
  <c r="V16" i="20"/>
  <c r="W32" i="20"/>
  <c r="W14" i="20"/>
  <c r="L20" i="19"/>
  <c r="AN31" i="20"/>
  <c r="J11" i="19"/>
  <c r="AM47" i="20"/>
  <c r="M16" i="19"/>
  <c r="D30" i="20"/>
  <c r="AA24" i="20"/>
  <c r="BN19" i="20"/>
  <c r="BM101" i="20"/>
  <c r="J36" i="19"/>
  <c r="G72" i="19" s="1"/>
  <c r="R38" i="20"/>
  <c r="Z22" i="20"/>
  <c r="AD34" i="20"/>
  <c r="V37" i="20"/>
  <c r="E37" i="20"/>
  <c r="M22" i="19"/>
  <c r="Y13" i="20"/>
  <c r="BN258" i="20"/>
  <c r="BO86" i="20"/>
  <c r="AM79" i="20"/>
  <c r="S28" i="20"/>
  <c r="F28" i="20"/>
  <c r="H21" i="19"/>
  <c r="AN84" i="20"/>
  <c r="U28" i="20"/>
  <c r="BN176" i="20"/>
  <c r="G24" i="19"/>
  <c r="W22" i="20"/>
  <c r="T16" i="20"/>
  <c r="AQ193" i="20"/>
  <c r="K75" i="20" s="1"/>
  <c r="K87" i="20" s="1"/>
  <c r="Z23" i="20"/>
  <c r="G28" i="19"/>
  <c r="U31" i="20"/>
  <c r="M35" i="19"/>
  <c r="BQ177" i="20"/>
  <c r="F206" i="20" s="1"/>
  <c r="F219" i="20" s="1"/>
  <c r="V33" i="20"/>
  <c r="S39" i="20"/>
  <c r="Z11" i="20"/>
  <c r="K17" i="19"/>
  <c r="BQ18" i="20"/>
  <c r="E122" i="20" s="1"/>
  <c r="E135" i="20" s="1"/>
  <c r="T10" i="20"/>
  <c r="BM44" i="20"/>
  <c r="K26" i="19"/>
  <c r="AQ86" i="20"/>
  <c r="H80" i="20" s="1"/>
  <c r="H92" i="20" s="1"/>
  <c r="AM98" i="20"/>
  <c r="BQ110" i="20"/>
  <c r="J116" i="20" s="1"/>
  <c r="J129" i="20" s="1"/>
  <c r="E26" i="19"/>
  <c r="BM29" i="20"/>
  <c r="G21" i="19"/>
  <c r="BQ45" i="20"/>
  <c r="G115" i="20" s="1"/>
  <c r="G128" i="20" s="1"/>
  <c r="L24" i="19"/>
  <c r="AN88" i="20"/>
  <c r="AN151" i="20"/>
  <c r="AM231" i="20"/>
  <c r="AM189" i="20"/>
  <c r="AQ206" i="20"/>
  <c r="AQ214" i="20"/>
  <c r="H35" i="20"/>
  <c r="J12" i="19"/>
  <c r="BN226" i="20"/>
  <c r="AM116" i="20"/>
  <c r="K28" i="19"/>
  <c r="AQ211" i="20"/>
  <c r="BO110" i="20"/>
  <c r="AO210" i="20"/>
  <c r="BO114" i="20"/>
  <c r="K23" i="19"/>
  <c r="BN257" i="20"/>
  <c r="BN56" i="20"/>
  <c r="AO89" i="20"/>
  <c r="AC9" i="20"/>
  <c r="F6" i="19"/>
  <c r="V10" i="20"/>
  <c r="BQ148" i="20"/>
  <c r="G164" i="20" s="1"/>
  <c r="G177" i="20" s="1"/>
  <c r="BM111" i="20"/>
  <c r="D34" i="20"/>
  <c r="BQ223" i="20"/>
  <c r="H204" i="20" s="1"/>
  <c r="H217" i="20" s="1"/>
  <c r="E31" i="20"/>
  <c r="H24" i="19"/>
  <c r="S35" i="20"/>
  <c r="G10" i="19"/>
  <c r="H19" i="19"/>
  <c r="BN38" i="20"/>
  <c r="AN199" i="20"/>
  <c r="AM208" i="20"/>
  <c r="F27" i="19"/>
  <c r="BQ153" i="20"/>
  <c r="G169" i="20" s="1"/>
  <c r="G182" i="20" s="1"/>
  <c r="AO54" i="20"/>
  <c r="BQ192" i="20"/>
  <c r="AM150" i="20"/>
  <c r="AN169" i="20"/>
  <c r="AQ152" i="20"/>
  <c r="E38" i="20"/>
  <c r="AQ49" i="20"/>
  <c r="F76" i="20" s="1"/>
  <c r="F88" i="20" s="1"/>
  <c r="M27" i="19"/>
  <c r="AM66" i="20"/>
  <c r="H9" i="19"/>
  <c r="L35" i="19"/>
  <c r="L18" i="19"/>
  <c r="R28" i="20"/>
  <c r="AO130" i="20"/>
  <c r="T30" i="20"/>
  <c r="AM121" i="20"/>
  <c r="BM98" i="20"/>
  <c r="W29" i="20"/>
  <c r="AO151" i="20"/>
  <c r="X11" i="20"/>
  <c r="J31" i="19"/>
  <c r="G67" i="19" s="1"/>
  <c r="AN80" i="20"/>
  <c r="BQ51" i="20"/>
  <c r="G121" i="20" s="1"/>
  <c r="G134" i="20" s="1"/>
  <c r="F31" i="20"/>
  <c r="AN110" i="20"/>
  <c r="BM12" i="20"/>
  <c r="AA30" i="20"/>
  <c r="BQ93" i="20"/>
  <c r="I115" i="20" s="1"/>
  <c r="I128" i="20" s="1"/>
  <c r="H10" i="19"/>
  <c r="Y12" i="20"/>
  <c r="AN72" i="20"/>
  <c r="AQ70" i="20"/>
  <c r="G81" i="20" s="1"/>
  <c r="G93" i="20" s="1"/>
  <c r="U17" i="20"/>
  <c r="BN233" i="20"/>
  <c r="AC12" i="20"/>
  <c r="BN230" i="20"/>
  <c r="AM18" i="20"/>
  <c r="AM158" i="20"/>
  <c r="AM128" i="20"/>
  <c r="BQ27" i="20"/>
  <c r="F114" i="20" s="1"/>
  <c r="F127" i="20" s="1"/>
  <c r="BM135" i="20"/>
  <c r="AM80" i="20"/>
  <c r="AQ160" i="20"/>
  <c r="AB17" i="20"/>
  <c r="AD32" i="20"/>
  <c r="T20" i="20"/>
  <c r="K33" i="19"/>
  <c r="H28" i="19"/>
  <c r="BM62" i="20"/>
  <c r="BN113" i="20"/>
  <c r="S40" i="20"/>
  <c r="BN180" i="20"/>
  <c r="L19" i="19"/>
  <c r="AN173" i="20"/>
  <c r="AO163" i="20"/>
  <c r="S15" i="20"/>
  <c r="AQ243" i="20"/>
  <c r="K31" i="19"/>
  <c r="AN112" i="20"/>
  <c r="AQ164" i="20"/>
  <c r="BM209" i="20"/>
  <c r="AM35" i="20"/>
  <c r="AM133" i="20"/>
  <c r="Y20" i="20"/>
  <c r="J30" i="19"/>
  <c r="G66" i="19" s="1"/>
  <c r="AM134" i="20"/>
  <c r="M15" i="19"/>
  <c r="BM194" i="20"/>
  <c r="AO97" i="20"/>
  <c r="AB25" i="20"/>
  <c r="F23" i="19"/>
  <c r="BO194" i="20"/>
  <c r="E27" i="20"/>
  <c r="G33" i="19"/>
  <c r="G13" i="19"/>
  <c r="AM145" i="20"/>
  <c r="AO147" i="20"/>
  <c r="V31" i="20"/>
  <c r="AD38" i="20"/>
  <c r="AO104" i="20"/>
  <c r="K13" i="19"/>
  <c r="AN222" i="20"/>
  <c r="F29" i="19"/>
  <c r="BM63" i="20"/>
  <c r="BN110" i="20"/>
  <c r="AO49" i="20"/>
  <c r="L28" i="19"/>
  <c r="BQ164" i="20"/>
  <c r="E209" i="20" s="1"/>
  <c r="E222" i="20" s="1"/>
  <c r="BO22" i="20"/>
  <c r="L15" i="19"/>
  <c r="BN147" i="20"/>
  <c r="AO34" i="20"/>
  <c r="BM113" i="20"/>
  <c r="BO109" i="20"/>
  <c r="AO93" i="20"/>
  <c r="BQ32" i="20"/>
  <c r="F119" i="20" s="1"/>
  <c r="F132" i="20" s="1"/>
  <c r="AC21" i="20"/>
  <c r="BN238" i="20"/>
  <c r="AM198" i="20"/>
  <c r="BO93" i="20"/>
  <c r="BM93" i="20"/>
  <c r="BO142" i="20"/>
  <c r="H6" i="19"/>
  <c r="AN27" i="20"/>
  <c r="AQ145" i="20"/>
  <c r="AA28" i="20"/>
  <c r="R20" i="20"/>
  <c r="BQ169" i="20"/>
  <c r="E214" i="20" s="1"/>
  <c r="E227" i="20" s="1"/>
  <c r="BM184" i="20"/>
  <c r="AB28" i="20"/>
  <c r="V32" i="20"/>
  <c r="AM135" i="20"/>
  <c r="BM124" i="20"/>
  <c r="BQ19" i="20"/>
  <c r="E123" i="20" s="1"/>
  <c r="E136" i="20" s="1"/>
  <c r="BN102" i="20"/>
  <c r="AM157" i="20"/>
  <c r="AQ226" i="20"/>
  <c r="BM96" i="20"/>
  <c r="AO94" i="20"/>
  <c r="AM114" i="20"/>
  <c r="AC27" i="20"/>
  <c r="BO210" i="20"/>
  <c r="S30" i="20"/>
  <c r="AQ143" i="20"/>
  <c r="BM51" i="20"/>
  <c r="BN146" i="20"/>
  <c r="BO242" i="20"/>
  <c r="BM167" i="20"/>
  <c r="AN103" i="20"/>
  <c r="AO101" i="20"/>
  <c r="BQ159" i="20"/>
  <c r="E204" i="20" s="1"/>
  <c r="E217" i="20" s="1"/>
  <c r="AA16" i="20"/>
  <c r="AB36" i="20"/>
  <c r="BQ12" i="20"/>
  <c r="E116" i="20" s="1"/>
  <c r="E129" i="20" s="1"/>
  <c r="BN151" i="20"/>
  <c r="AC26" i="20"/>
  <c r="F16" i="19"/>
  <c r="AM89" i="20"/>
  <c r="BQ118" i="20"/>
  <c r="J124" i="20" s="1"/>
  <c r="J137" i="20" s="1"/>
  <c r="AN21" i="20"/>
  <c r="E35" i="20"/>
  <c r="V20" i="20"/>
  <c r="H26" i="19"/>
  <c r="AC22" i="20"/>
  <c r="AN152" i="20"/>
  <c r="BQ108" i="20"/>
  <c r="J114" i="20" s="1"/>
  <c r="J127" i="20" s="1"/>
  <c r="BO116" i="20"/>
  <c r="AC13" i="20"/>
  <c r="AQ239" i="20"/>
  <c r="BO146" i="20"/>
  <c r="F7" i="19"/>
  <c r="AM174" i="20"/>
  <c r="BM14" i="20"/>
  <c r="AN238" i="20"/>
  <c r="AO66" i="20"/>
  <c r="V19" i="20"/>
  <c r="T34" i="20"/>
  <c r="AO116" i="20"/>
  <c r="G31" i="19"/>
  <c r="Z39" i="20"/>
  <c r="AO98" i="20"/>
  <c r="AO169" i="20"/>
  <c r="G37" i="19"/>
  <c r="K11" i="19"/>
  <c r="BQ124" i="20"/>
  <c r="F158" i="20" s="1"/>
  <c r="F171" i="20" s="1"/>
  <c r="AN116" i="20"/>
  <c r="BQ166" i="20"/>
  <c r="E211" i="20" s="1"/>
  <c r="E224" i="20" s="1"/>
  <c r="X31" i="20"/>
  <c r="F8" i="19"/>
  <c r="AQ183" i="20"/>
  <c r="L81" i="20" s="1"/>
  <c r="L93" i="20" s="1"/>
  <c r="J27" i="19"/>
  <c r="G63" i="19" s="1"/>
  <c r="AO79" i="20"/>
  <c r="T28" i="20"/>
  <c r="AM104" i="20"/>
  <c r="E22" i="19"/>
  <c r="F58" i="19" s="1"/>
  <c r="AQ84" i="20"/>
  <c r="H78" i="20" s="1"/>
  <c r="H90" i="20" s="1"/>
  <c r="H37" i="20"/>
  <c r="AN239" i="20"/>
  <c r="G30" i="19"/>
  <c r="F30" i="19"/>
  <c r="AN159" i="20"/>
  <c r="H34" i="20"/>
  <c r="AO185" i="20"/>
  <c r="Z35" i="20"/>
  <c r="G29" i="19"/>
  <c r="AN47" i="20"/>
  <c r="L33" i="19"/>
  <c r="BO151" i="20"/>
  <c r="BO15" i="20"/>
  <c r="Y10" i="20"/>
  <c r="L9" i="19"/>
  <c r="BM195" i="20"/>
  <c r="BQ162" i="20"/>
  <c r="E207" i="20" s="1"/>
  <c r="E220" i="20" s="1"/>
  <c r="E14" i="19"/>
  <c r="F50" i="19" s="1"/>
  <c r="J17" i="19"/>
  <c r="AN99" i="20"/>
  <c r="AN136" i="20"/>
  <c r="K21" i="19"/>
  <c r="K15" i="19"/>
  <c r="H17" i="19"/>
  <c r="AO190" i="20"/>
  <c r="AM100" i="20"/>
  <c r="AO175" i="20"/>
  <c r="BM190" i="20"/>
  <c r="BQ53" i="20"/>
  <c r="G123" i="20" s="1"/>
  <c r="G136" i="20" s="1"/>
  <c r="AO226" i="20"/>
  <c r="G8" i="19"/>
  <c r="BM199" i="20"/>
  <c r="J37" i="19"/>
  <c r="G73" i="19" s="1"/>
  <c r="Y15" i="20"/>
  <c r="X33" i="20"/>
  <c r="BO51" i="20"/>
  <c r="L7" i="19"/>
  <c r="AQ192" i="20"/>
  <c r="K74" i="20" s="1"/>
  <c r="K86" i="20" s="1"/>
  <c r="AB10" i="20"/>
  <c r="AM113" i="20"/>
  <c r="AM242" i="20"/>
  <c r="BN124" i="20"/>
  <c r="AM32" i="20"/>
  <c r="Y36" i="20"/>
  <c r="AM243" i="20"/>
  <c r="BN185" i="20"/>
  <c r="AN167" i="20"/>
  <c r="AQ223" i="20"/>
  <c r="AQ147" i="20"/>
  <c r="BO208" i="20"/>
  <c r="AN94" i="20"/>
  <c r="W21" i="20"/>
  <c r="U39" i="20"/>
  <c r="BN65" i="20"/>
  <c r="BQ165" i="20"/>
  <c r="E210" i="20" s="1"/>
  <c r="E223" i="20" s="1"/>
  <c r="AM167" i="20"/>
  <c r="BM161" i="20"/>
  <c r="F33" i="20"/>
  <c r="BN54" i="20"/>
  <c r="AN206" i="20"/>
  <c r="BQ65" i="20"/>
  <c r="H119" i="20" s="1"/>
  <c r="H132" i="20" s="1"/>
  <c r="E21" i="19"/>
  <c r="F57" i="19" s="1"/>
  <c r="AO228" i="20"/>
  <c r="AO166" i="20"/>
  <c r="BQ257" i="20"/>
  <c r="I159" i="20" s="1"/>
  <c r="I172" i="20" s="1"/>
  <c r="S22" i="20"/>
  <c r="AM181" i="20"/>
  <c r="AO148" i="20"/>
  <c r="AQ19" i="20"/>
  <c r="D80" i="20" s="1"/>
  <c r="D92" i="20" s="1"/>
  <c r="X20" i="20"/>
  <c r="AM10" i="20"/>
  <c r="H32" i="19"/>
  <c r="AQ36" i="20"/>
  <c r="E81" i="20" s="1"/>
  <c r="E93" i="20" s="1"/>
  <c r="AM228" i="20"/>
  <c r="AQ26" i="20"/>
  <c r="E71" i="20" s="1"/>
  <c r="E83" i="20" s="1"/>
  <c r="AQ222" i="20"/>
  <c r="W30" i="20"/>
  <c r="BO60" i="20"/>
  <c r="BN199" i="20"/>
  <c r="L16" i="19"/>
  <c r="BM256" i="20"/>
  <c r="S27" i="20"/>
  <c r="BN211" i="20"/>
  <c r="BO150" i="20"/>
  <c r="L6" i="19"/>
  <c r="X21" i="20"/>
  <c r="G12" i="19"/>
  <c r="BM177" i="20"/>
  <c r="U34" i="20"/>
  <c r="Z9" i="20"/>
  <c r="F32" i="20"/>
  <c r="BM49" i="20"/>
  <c r="AD13" i="20"/>
  <c r="AM162" i="20"/>
  <c r="AN225" i="20"/>
  <c r="R35" i="20"/>
  <c r="AN105" i="20"/>
  <c r="S14" i="20"/>
  <c r="BO102" i="20"/>
  <c r="AN93" i="20"/>
  <c r="H15" i="19"/>
  <c r="E15" i="19"/>
  <c r="F51" i="19" s="1"/>
  <c r="AD19" i="20"/>
  <c r="E30" i="19"/>
  <c r="F66" i="19" s="1"/>
  <c r="U33" i="20"/>
  <c r="Z10" i="20"/>
  <c r="AO194" i="20"/>
  <c r="E29" i="19"/>
  <c r="F65" i="19" s="1"/>
  <c r="H22" i="19"/>
  <c r="AO52" i="20"/>
  <c r="BQ212" i="20"/>
  <c r="G209" i="20" s="1"/>
  <c r="G222" i="20" s="1"/>
  <c r="AM82" i="20"/>
  <c r="AM183" i="20"/>
  <c r="M25" i="19"/>
  <c r="BN69" i="20"/>
  <c r="F21" i="19"/>
  <c r="BM117" i="20"/>
  <c r="AA39" i="20"/>
  <c r="AM160" i="20"/>
  <c r="AD11" i="20"/>
  <c r="G17" i="19"/>
  <c r="S38" i="20"/>
  <c r="BO62" i="20"/>
  <c r="AM151" i="20"/>
  <c r="AB33" i="20"/>
  <c r="T27" i="20"/>
  <c r="BQ181" i="20"/>
  <c r="F210" i="20" s="1"/>
  <c r="F223" i="20" s="1"/>
  <c r="AN145" i="20"/>
  <c r="AM85" i="20"/>
  <c r="K36" i="19"/>
  <c r="Z34" i="20"/>
  <c r="H36" i="19"/>
  <c r="BN101" i="20"/>
  <c r="BO20" i="20"/>
  <c r="X24" i="20"/>
  <c r="BN55" i="20"/>
  <c r="J28" i="19"/>
  <c r="G64" i="19" s="1"/>
  <c r="BO227" i="20"/>
  <c r="BN165" i="20"/>
  <c r="BM191" i="20"/>
  <c r="BO258" i="20"/>
  <c r="BO12" i="20"/>
  <c r="L23" i="19"/>
  <c r="AO206" i="20"/>
  <c r="J32" i="19"/>
  <c r="V39" i="20"/>
  <c r="BM95" i="20"/>
  <c r="AN146" i="20"/>
  <c r="R39" i="20"/>
  <c r="AN70" i="20"/>
  <c r="BN224" i="20"/>
  <c r="AO37" i="20"/>
  <c r="AN153" i="20"/>
  <c r="BQ61" i="20"/>
  <c r="H115" i="20" s="1"/>
  <c r="H128" i="20" s="1"/>
  <c r="AN164" i="20"/>
  <c r="F10" i="19"/>
  <c r="X23" i="20"/>
  <c r="D28" i="20"/>
  <c r="AM29" i="20"/>
  <c r="G14" i="19"/>
  <c r="Y29" i="20"/>
  <c r="E24" i="19"/>
  <c r="F60" i="19" s="1"/>
  <c r="U40" i="20"/>
  <c r="AA37" i="20"/>
  <c r="BO88" i="20"/>
  <c r="AD12" i="20"/>
  <c r="BM30" i="20"/>
  <c r="BN30" i="20"/>
  <c r="BQ63" i="20"/>
  <c r="H117" i="20" s="1"/>
  <c r="H130" i="20" s="1"/>
  <c r="L36" i="19"/>
  <c r="Y37" i="20"/>
  <c r="AO160" i="20"/>
  <c r="BM166" i="20"/>
  <c r="AA12" i="20"/>
  <c r="AN68" i="20"/>
  <c r="AO30" i="20"/>
  <c r="BO147" i="20"/>
  <c r="BQ259" i="20"/>
  <c r="I161" i="20" s="1"/>
  <c r="I174" i="20" s="1"/>
  <c r="AO27" i="20"/>
  <c r="AM101" i="20"/>
  <c r="BQ71" i="20"/>
  <c r="H125" i="20" s="1"/>
  <c r="H138" i="20" s="1"/>
  <c r="AN36" i="20"/>
  <c r="AM223" i="20"/>
  <c r="AA17" i="20"/>
  <c r="AO174" i="20"/>
  <c r="BN256" i="20"/>
  <c r="K7" i="19"/>
  <c r="AQ173" i="20"/>
  <c r="L71" i="20" s="1"/>
  <c r="L83" i="20" s="1"/>
  <c r="BM232" i="20"/>
  <c r="R14" i="20"/>
  <c r="Y23" i="20"/>
  <c r="BQ179" i="20"/>
  <c r="F208" i="20" s="1"/>
  <c r="F221" i="20" s="1"/>
  <c r="AM96" i="20"/>
  <c r="AO96" i="20"/>
  <c r="AA40" i="20"/>
  <c r="BM11" i="20"/>
  <c r="BM60" i="20"/>
  <c r="AD18" i="20"/>
  <c r="BQ143" i="20"/>
  <c r="G159" i="20" s="1"/>
  <c r="G172" i="20" s="1"/>
  <c r="AN115" i="20"/>
  <c r="AN232" i="20"/>
  <c r="AN182" i="20"/>
  <c r="BO55" i="20"/>
  <c r="AM190" i="20"/>
  <c r="AN143" i="20"/>
  <c r="BQ195" i="20"/>
  <c r="R9" i="20"/>
  <c r="J18" i="19"/>
  <c r="G54" i="19" s="1"/>
  <c r="BM136" i="20"/>
  <c r="Z32" i="20"/>
  <c r="U15" i="20"/>
  <c r="K37" i="19"/>
  <c r="L29" i="19"/>
  <c r="AN13" i="20"/>
  <c r="AQ65" i="20"/>
  <c r="G76" i="20" s="1"/>
  <c r="G88" i="20" s="1"/>
  <c r="X37" i="20"/>
  <c r="Y39" i="20"/>
  <c r="AO100" i="20"/>
  <c r="M32" i="19"/>
  <c r="BM56" i="20"/>
  <c r="G25" i="19"/>
  <c r="M23" i="19"/>
  <c r="M33" i="19"/>
  <c r="Y21" i="20"/>
  <c r="Z31" i="20"/>
  <c r="AO102" i="20"/>
  <c r="AO112" i="20"/>
  <c r="AO237" i="20"/>
  <c r="BM72" i="20"/>
  <c r="R19" i="20"/>
  <c r="AN120" i="20"/>
  <c r="AM55" i="20"/>
  <c r="U14" i="20"/>
  <c r="BM151" i="20"/>
  <c r="E39" i="20"/>
  <c r="AN133" i="20"/>
  <c r="AM103" i="20"/>
  <c r="H16" i="19"/>
  <c r="K35" i="19"/>
  <c r="AC25" i="20"/>
  <c r="Z14" i="20"/>
  <c r="BM38" i="20"/>
  <c r="X30" i="20"/>
  <c r="AA36" i="20"/>
  <c r="BM146" i="20"/>
  <c r="V35" i="20"/>
  <c r="AM37" i="20"/>
  <c r="BO44" i="20"/>
  <c r="BQ244" i="20"/>
  <c r="H164" i="20" s="1"/>
  <c r="H177" i="20" s="1"/>
  <c r="X19" i="20"/>
  <c r="AM132" i="20"/>
  <c r="E34" i="19"/>
  <c r="AA13" i="20"/>
  <c r="AO225" i="20"/>
  <c r="AC36" i="20"/>
  <c r="AO67" i="20"/>
  <c r="AD23" i="20"/>
  <c r="AB22" i="20"/>
  <c r="AD21" i="20"/>
  <c r="BQ132" i="20"/>
  <c r="F166" i="20" s="1"/>
  <c r="F179" i="20" s="1"/>
  <c r="S12" i="20"/>
  <c r="AO14" i="20"/>
  <c r="F33" i="19"/>
  <c r="BQ215" i="20"/>
  <c r="G212" i="20" s="1"/>
  <c r="G225" i="20" s="1"/>
  <c r="BO224" i="20"/>
  <c r="BM212" i="20"/>
  <c r="V25" i="20"/>
  <c r="AN183" i="20"/>
  <c r="M29" i="19"/>
  <c r="T39" i="20"/>
  <c r="BM66" i="20"/>
  <c r="Z30" i="20"/>
  <c r="BM61" i="20"/>
  <c r="AA29" i="20"/>
  <c r="BN12" i="20"/>
  <c r="BO181" i="20"/>
  <c r="G32" i="19"/>
  <c r="Z26" i="20"/>
  <c r="AO28" i="20"/>
  <c r="BN98" i="20"/>
  <c r="BN62" i="20"/>
  <c r="AM117" i="20"/>
  <c r="AO72" i="20"/>
  <c r="U23" i="20"/>
  <c r="AB14" i="20"/>
  <c r="AQ224" i="20"/>
  <c r="BN241" i="20"/>
  <c r="AM230" i="20"/>
  <c r="AQ109" i="20"/>
  <c r="J71" i="20" s="1"/>
  <c r="J83" i="20" s="1"/>
  <c r="BO136" i="20"/>
  <c r="S19" i="20"/>
  <c r="AN192" i="20"/>
  <c r="H30" i="19"/>
  <c r="S21" i="20"/>
  <c r="J25" i="19"/>
  <c r="Z16" i="20"/>
  <c r="AM193" i="20"/>
  <c r="BN260" i="20"/>
  <c r="L30" i="19"/>
  <c r="AM239" i="20"/>
  <c r="T17" i="20"/>
  <c r="BO178" i="20"/>
  <c r="AB11" i="20"/>
  <c r="AO227" i="20"/>
  <c r="AQ115" i="20"/>
  <c r="J77" i="20" s="1"/>
  <c r="J89" i="20" s="1"/>
  <c r="BQ213" i="20"/>
  <c r="G210" i="20" s="1"/>
  <c r="G223" i="20" s="1"/>
  <c r="BO72" i="20"/>
  <c r="AC16" i="20"/>
  <c r="AQ52" i="20"/>
  <c r="F79" i="20" s="1"/>
  <c r="F91" i="20" s="1"/>
  <c r="BM120" i="20"/>
  <c r="BM33" i="20"/>
  <c r="AO119" i="20"/>
  <c r="AC39" i="20"/>
  <c r="AA20" i="20"/>
  <c r="AQ60" i="20"/>
  <c r="G71" i="20" s="1"/>
  <c r="G83" i="20" s="1"/>
  <c r="BO239" i="20"/>
  <c r="AO239" i="20"/>
  <c r="AN242" i="20"/>
  <c r="BM45" i="20"/>
  <c r="AQ101" i="20"/>
  <c r="I79" i="20" s="1"/>
  <c r="I91" i="20" s="1"/>
  <c r="AO68" i="20"/>
  <c r="BN144" i="20"/>
  <c r="BM39" i="20"/>
  <c r="AQ174" i="20"/>
  <c r="L72" i="20" s="1"/>
  <c r="L84" i="20" s="1"/>
  <c r="BN186" i="20"/>
  <c r="V23" i="20"/>
  <c r="BN87" i="20"/>
  <c r="E17" i="19"/>
  <c r="F53" i="19" s="1"/>
  <c r="BN229" i="20"/>
  <c r="F17" i="19"/>
  <c r="Z29" i="20"/>
  <c r="AN160" i="20"/>
  <c r="BM243" i="20"/>
  <c r="H8" i="19"/>
  <c r="V18" i="20"/>
  <c r="BN37" i="20"/>
  <c r="AD22" i="20"/>
  <c r="AO81" i="20"/>
  <c r="AC10" i="20"/>
  <c r="T23" i="20"/>
  <c r="AN168" i="20"/>
  <c r="AO150" i="20"/>
  <c r="BQ178" i="20"/>
  <c r="F207" i="20" s="1"/>
  <c r="F220" i="20" s="1"/>
  <c r="AN30" i="20"/>
  <c r="AQ50" i="20"/>
  <c r="F77" i="20" s="1"/>
  <c r="F89" i="20" s="1"/>
  <c r="AO184" i="20"/>
  <c r="AQ132" i="20"/>
  <c r="AM182" i="20"/>
  <c r="T26" i="20"/>
  <c r="AN102" i="20"/>
  <c r="AC15" i="20"/>
  <c r="AQ197" i="20"/>
  <c r="K79" i="20" s="1"/>
  <c r="K91" i="20" s="1"/>
  <c r="BN216" i="20"/>
  <c r="AN95" i="20"/>
  <c r="AM175" i="20"/>
  <c r="AA27" i="20"/>
  <c r="BQ113" i="20"/>
  <c r="J119" i="20" s="1"/>
  <c r="J132" i="20" s="1"/>
  <c r="AO129" i="20"/>
  <c r="AO32" i="20"/>
  <c r="BN168" i="20"/>
  <c r="U32" i="20"/>
  <c r="BN44" i="20"/>
  <c r="S29" i="20"/>
  <c r="R36" i="20"/>
  <c r="AQ166" i="20"/>
  <c r="BM239" i="20"/>
  <c r="BN109" i="20"/>
  <c r="AN157" i="20"/>
  <c r="X16" i="20"/>
  <c r="AO134" i="20"/>
  <c r="AM159" i="20"/>
  <c r="BN206" i="20"/>
  <c r="AM16" i="20"/>
  <c r="BQ87" i="20"/>
  <c r="E169" i="20" s="1"/>
  <c r="E182" i="20" s="1"/>
  <c r="AD37" i="20"/>
  <c r="V40" i="20"/>
  <c r="AO199" i="20"/>
  <c r="R26" i="20"/>
  <c r="D27" i="20"/>
  <c r="AO158" i="20"/>
  <c r="BQ86" i="20"/>
  <c r="E168" i="20" s="1"/>
  <c r="E181" i="20" s="1"/>
  <c r="BO228" i="20"/>
  <c r="BO182" i="20"/>
  <c r="AM215" i="20"/>
  <c r="BM64" i="20"/>
  <c r="AQ245" i="20"/>
  <c r="AQ71" i="20"/>
  <c r="G82" i="20" s="1"/>
  <c r="G94" i="20" s="1"/>
  <c r="AN247" i="20"/>
  <c r="AD14" i="20"/>
  <c r="AN148" i="20"/>
  <c r="AN144" i="20"/>
  <c r="AN121" i="20"/>
  <c r="AQ15" i="20"/>
  <c r="D76" i="20" s="1"/>
  <c r="D88" i="20" s="1"/>
  <c r="BN243" i="20"/>
  <c r="BM94" i="20"/>
  <c r="BO133" i="20"/>
  <c r="BN134" i="20"/>
  <c r="Y16" i="20"/>
  <c r="W33" i="20"/>
  <c r="AM65" i="20"/>
  <c r="BM97" i="20"/>
  <c r="BM100" i="20"/>
  <c r="AN34" i="20"/>
  <c r="AQ191" i="20"/>
  <c r="K73" i="20" s="1"/>
  <c r="K85" i="20" s="1"/>
  <c r="AM222" i="20"/>
  <c r="AD10" i="20"/>
  <c r="BN20" i="20"/>
  <c r="BQ183" i="20"/>
  <c r="F212" i="20" s="1"/>
  <c r="F225" i="20" s="1"/>
  <c r="BO209" i="20"/>
  <c r="BO87" i="20"/>
  <c r="AN14" i="20"/>
  <c r="AM225" i="20"/>
  <c r="BM118" i="20"/>
  <c r="AQ100" i="20"/>
  <c r="I78" i="20" s="1"/>
  <c r="I90" i="20" s="1"/>
  <c r="BO97" i="20"/>
  <c r="BQ17" i="20"/>
  <c r="E121" i="20" s="1"/>
  <c r="E134" i="20" s="1"/>
  <c r="BQ206" i="20"/>
  <c r="G203" i="20" s="1"/>
  <c r="G216" i="20" s="1"/>
  <c r="BM87" i="20"/>
  <c r="AB37" i="20"/>
  <c r="BQ207" i="20"/>
  <c r="G204" i="20" s="1"/>
  <c r="G217" i="20" s="1"/>
  <c r="S26" i="20"/>
  <c r="BQ47" i="20"/>
  <c r="G117" i="20" s="1"/>
  <c r="G130" i="20" s="1"/>
  <c r="BQ11" i="20"/>
  <c r="E115" i="20" s="1"/>
  <c r="E128" i="20" s="1"/>
  <c r="AQ117" i="20"/>
  <c r="J79" i="20" s="1"/>
  <c r="J91" i="20" s="1"/>
  <c r="AD40" i="20"/>
  <c r="BN97" i="20"/>
  <c r="AQ20" i="20"/>
  <c r="D81" i="20" s="1"/>
  <c r="D93" i="20" s="1"/>
  <c r="BO231" i="20"/>
  <c r="AA31" i="20"/>
  <c r="AQ33" i="20"/>
  <c r="E78" i="20" s="1"/>
  <c r="E90" i="20" s="1"/>
  <c r="BQ68" i="20"/>
  <c r="H122" i="20" s="1"/>
  <c r="H135" i="20" s="1"/>
  <c r="BN31" i="20"/>
  <c r="AO64" i="20"/>
  <c r="BQ242" i="20"/>
  <c r="H162" i="20" s="1"/>
  <c r="H175" i="20" s="1"/>
  <c r="AO35" i="20"/>
  <c r="AO211" i="20"/>
  <c r="BO67" i="20"/>
  <c r="Z17" i="20"/>
  <c r="BQ246" i="20"/>
  <c r="H166" i="20" s="1"/>
  <c r="H179" i="20" s="1"/>
  <c r="BM126" i="20"/>
  <c r="BQ119" i="20"/>
  <c r="J125" i="20" s="1"/>
  <c r="J138" i="20" s="1"/>
  <c r="AQ18" i="20"/>
  <c r="D79" i="20" s="1"/>
  <c r="D91" i="20" s="1"/>
  <c r="U22" i="20"/>
  <c r="AB18" i="20"/>
  <c r="T36" i="20"/>
  <c r="J21" i="19"/>
  <c r="G57" i="19" s="1"/>
  <c r="AQ103" i="20"/>
  <c r="I81" i="20" s="1"/>
  <c r="I93" i="20" s="1"/>
  <c r="F18" i="19"/>
  <c r="AO132" i="20"/>
  <c r="W40" i="20"/>
  <c r="AN205" i="20"/>
  <c r="L11" i="19"/>
  <c r="AN17" i="20"/>
  <c r="AQ136" i="20"/>
  <c r="AM144" i="20"/>
  <c r="F39" i="20"/>
  <c r="AN77" i="20"/>
  <c r="AO137" i="20"/>
  <c r="BM50" i="20"/>
  <c r="BN217" i="20"/>
  <c r="BO154" i="20"/>
  <c r="K8" i="19"/>
  <c r="T40" i="20"/>
  <c r="AQ207" i="20"/>
  <c r="AC29" i="20"/>
  <c r="AO162" i="20"/>
  <c r="BM226" i="20"/>
  <c r="BM22" i="20"/>
  <c r="AM105" i="20"/>
  <c r="Z38" i="20"/>
  <c r="AM173" i="20"/>
  <c r="AO181" i="20"/>
  <c r="AR178" i="20" s="1"/>
  <c r="BO198" i="20"/>
  <c r="BN167" i="20"/>
  <c r="AQ66" i="20"/>
  <c r="G77" i="20" s="1"/>
  <c r="G89" i="20" s="1"/>
  <c r="BO163" i="20"/>
  <c r="BQ182" i="20"/>
  <c r="F211" i="20" s="1"/>
  <c r="F224" i="20" s="1"/>
  <c r="AQ85" i="20"/>
  <c r="H79" i="20" s="1"/>
  <c r="H91" i="20" s="1"/>
  <c r="BM218" i="20"/>
  <c r="AO15" i="20"/>
  <c r="AQ37" i="20"/>
  <c r="E82" i="20" s="1"/>
  <c r="E94" i="20" s="1"/>
  <c r="AN20" i="20"/>
  <c r="AO197" i="20"/>
  <c r="AN223" i="20"/>
  <c r="BN166" i="20"/>
  <c r="AD16" i="20"/>
  <c r="V17" i="20"/>
  <c r="AO33" i="20"/>
  <c r="AO13" i="20"/>
  <c r="AQ69" i="20"/>
  <c r="G80" i="20" s="1"/>
  <c r="G92" i="20" s="1"/>
  <c r="AM191" i="20"/>
  <c r="AM197" i="20"/>
  <c r="AQ88" i="20"/>
  <c r="H82" i="20" s="1"/>
  <c r="H94" i="20" s="1"/>
  <c r="R17" i="20"/>
  <c r="W23" i="20"/>
  <c r="AO26" i="20"/>
  <c r="BM244" i="20"/>
  <c r="BO128" i="20"/>
  <c r="BO126" i="20"/>
  <c r="BN192" i="20"/>
  <c r="Z28" i="20"/>
  <c r="BQ48" i="20"/>
  <c r="G118" i="20" s="1"/>
  <c r="G131" i="20" s="1"/>
  <c r="BQ31" i="20"/>
  <c r="F118" i="20" s="1"/>
  <c r="F131" i="20" s="1"/>
  <c r="X36" i="20"/>
  <c r="X29" i="20"/>
  <c r="AM119" i="20"/>
  <c r="BM222" i="20"/>
  <c r="R13" i="20"/>
  <c r="Z27" i="20"/>
  <c r="BO160" i="20"/>
  <c r="BM55" i="20"/>
  <c r="AQ94" i="20"/>
  <c r="I72" i="20" s="1"/>
  <c r="I84" i="20" s="1"/>
  <c r="AO62" i="20"/>
  <c r="BO256" i="20"/>
  <c r="AQ196" i="20"/>
  <c r="K78" i="20" s="1"/>
  <c r="K90" i="20" s="1"/>
  <c r="AM62" i="20"/>
  <c r="X34" i="20"/>
  <c r="AC14" i="20"/>
  <c r="AN109" i="20"/>
  <c r="AB31" i="20"/>
  <c r="AQ168" i="20"/>
  <c r="H27" i="20"/>
  <c r="BN223" i="20"/>
  <c r="BM231" i="20"/>
  <c r="Z15" i="20"/>
  <c r="AO149" i="20"/>
  <c r="AM115" i="20"/>
  <c r="BM223" i="20"/>
  <c r="AM164" i="20"/>
  <c r="Z12" i="20"/>
  <c r="AM70" i="20"/>
  <c r="AM245" i="20"/>
  <c r="AQ16" i="20"/>
  <c r="D77" i="20" s="1"/>
  <c r="D89" i="20" s="1"/>
  <c r="BO191" i="20"/>
  <c r="AN229" i="20"/>
  <c r="BQ216" i="20"/>
  <c r="G213" i="20" s="1"/>
  <c r="G226" i="20" s="1"/>
  <c r="AM214" i="20"/>
  <c r="T37" i="20"/>
  <c r="BM71" i="20"/>
  <c r="AO143" i="20"/>
  <c r="AQ210" i="20"/>
  <c r="F30" i="20"/>
  <c r="BM13" i="20"/>
  <c r="AM169" i="20"/>
  <c r="AO207" i="20"/>
  <c r="AC38" i="20"/>
  <c r="AM61" i="20"/>
  <c r="BM36" i="20"/>
  <c r="AO121" i="20"/>
  <c r="BO95" i="20"/>
  <c r="AN50" i="20"/>
  <c r="BN242" i="20"/>
  <c r="BN46" i="20"/>
  <c r="AO20" i="20"/>
  <c r="BQ258" i="20"/>
  <c r="I160" i="20" s="1"/>
  <c r="I173" i="20" s="1"/>
  <c r="AB39" i="20"/>
  <c r="BN227" i="20"/>
  <c r="AM86" i="20"/>
  <c r="W28" i="20"/>
  <c r="BN195" i="20"/>
  <c r="AQ12" i="20"/>
  <c r="D73" i="20" s="1"/>
  <c r="D85" i="20" s="1"/>
  <c r="AB19" i="20"/>
  <c r="AO11" i="20"/>
  <c r="BQ70" i="20"/>
  <c r="H124" i="20" s="1"/>
  <c r="H137" i="20" s="1"/>
  <c r="D29" i="20"/>
  <c r="AO80" i="20"/>
  <c r="BM134" i="20"/>
  <c r="T33" i="20"/>
  <c r="BQ176" i="20"/>
  <c r="F205" i="20" s="1"/>
  <c r="F218" i="20" s="1"/>
  <c r="K34" i="19"/>
  <c r="U27" i="20"/>
  <c r="BN29" i="20"/>
  <c r="BN197" i="20"/>
  <c r="E34" i="20"/>
  <c r="BQ38" i="20"/>
  <c r="F125" i="20" s="1"/>
  <c r="F138" i="20" s="1"/>
  <c r="F20" i="19"/>
  <c r="AD24" i="20"/>
  <c r="AM68" i="20"/>
  <c r="T38" i="20"/>
  <c r="AM136" i="20"/>
  <c r="W34" i="20"/>
  <c r="W24" i="20"/>
  <c r="BM31" i="20"/>
  <c r="H27" i="19"/>
  <c r="BQ146" i="20"/>
  <c r="G162" i="20" s="1"/>
  <c r="G175" i="20" s="1"/>
  <c r="AQ51" i="20"/>
  <c r="F78" i="20" s="1"/>
  <c r="F90" i="20" s="1"/>
  <c r="X26" i="20"/>
  <c r="S18" i="20"/>
  <c r="U10" i="20"/>
  <c r="AC23" i="20"/>
  <c r="BM152" i="20"/>
  <c r="BO11" i="20"/>
  <c r="BN160" i="20"/>
  <c r="BN63" i="20"/>
  <c r="BO68" i="20"/>
  <c r="BN158" i="20"/>
  <c r="AQ67" i="20"/>
  <c r="G78" i="20" s="1"/>
  <c r="G90" i="20" s="1"/>
  <c r="S16" i="20"/>
  <c r="BQ112" i="20"/>
  <c r="J118" i="20" s="1"/>
  <c r="J131" i="20" s="1"/>
  <c r="AM163" i="20"/>
  <c r="AQ159" i="20"/>
  <c r="AM129" i="20"/>
  <c r="AN149" i="20"/>
  <c r="U37" i="20"/>
  <c r="AM95" i="20"/>
  <c r="BO192" i="20"/>
  <c r="BM185" i="20"/>
  <c r="AN96" i="20"/>
  <c r="AC30" i="20"/>
  <c r="AB13" i="20"/>
  <c r="Y25" i="20"/>
  <c r="BM143" i="20"/>
  <c r="AM60" i="20"/>
  <c r="V13" i="20"/>
  <c r="AB32" i="20"/>
  <c r="AN216" i="20"/>
  <c r="AO183" i="20"/>
  <c r="AA18" i="20"/>
  <c r="Y33" i="20"/>
  <c r="AB15" i="20"/>
  <c r="BQ29" i="20"/>
  <c r="F116" i="20" s="1"/>
  <c r="F129" i="20" s="1"/>
  <c r="BO18" i="20"/>
  <c r="V30" i="20"/>
  <c r="BO206" i="20"/>
  <c r="BM208" i="20"/>
  <c r="BO243" i="20"/>
  <c r="BM180" i="20"/>
  <c r="AN33" i="20"/>
  <c r="T25" i="20"/>
  <c r="AQ102" i="20"/>
  <c r="I80" i="20" s="1"/>
  <c r="I92" i="20" s="1"/>
  <c r="AB24" i="20"/>
  <c r="AA33" i="20"/>
  <c r="AO189" i="20"/>
  <c r="W10" i="20"/>
  <c r="T22" i="20"/>
  <c r="AD27" i="20"/>
  <c r="BQ230" i="20"/>
  <c r="H211" i="20" s="1"/>
  <c r="H224" i="20" s="1"/>
  <c r="AM19" i="20"/>
  <c r="BO84" i="20"/>
  <c r="BQ142" i="20"/>
  <c r="G158" i="20" s="1"/>
  <c r="G171" i="20" s="1"/>
  <c r="BM128" i="20"/>
  <c r="BQ228" i="20"/>
  <c r="H209" i="20" s="1"/>
  <c r="H222" i="20" s="1"/>
  <c r="BO13" i="20"/>
  <c r="AQ83" i="20"/>
  <c r="H77" i="20" s="1"/>
  <c r="H89" i="20" s="1"/>
  <c r="AQ28" i="20"/>
  <c r="E73" i="20" s="1"/>
  <c r="E85" i="20" s="1"/>
  <c r="AN48" i="20"/>
  <c r="U13" i="20"/>
  <c r="BO207" i="20"/>
  <c r="BO32" i="20"/>
  <c r="BN190" i="20"/>
  <c r="BN178" i="20"/>
  <c r="AN32" i="20"/>
  <c r="AQ118" i="20"/>
  <c r="J80" i="20" s="1"/>
  <c r="J92" i="20" s="1"/>
  <c r="BO101" i="20"/>
  <c r="AN100" i="20"/>
  <c r="AQ53" i="20"/>
  <c r="F80" i="20" s="1"/>
  <c r="F92" i="20" s="1"/>
  <c r="AN198" i="20"/>
  <c r="BQ133" i="20"/>
  <c r="F167" i="20" s="1"/>
  <c r="F180" i="20" s="1"/>
  <c r="X28" i="20"/>
  <c r="AQ64" i="20"/>
  <c r="G75" i="20" s="1"/>
  <c r="G87" i="20" s="1"/>
  <c r="BQ116" i="20"/>
  <c r="J122" i="20" s="1"/>
  <c r="J135" i="20" s="1"/>
  <c r="AN196" i="20"/>
  <c r="AM120" i="20"/>
  <c r="BO222" i="20"/>
  <c r="BM48" i="20"/>
  <c r="AQ157" i="20"/>
  <c r="AQ194" i="20"/>
  <c r="K76" i="20" s="1"/>
  <c r="K88" i="20" s="1"/>
  <c r="AN131" i="20"/>
  <c r="AQ189" i="20"/>
  <c r="K71" i="20" s="1"/>
  <c r="K83" i="20" s="1"/>
  <c r="BQ10" i="20"/>
  <c r="E114" i="20" s="1"/>
  <c r="E127" i="20" s="1"/>
  <c r="BO184" i="20"/>
  <c r="AO242" i="20"/>
  <c r="AN51" i="20"/>
  <c r="BN71" i="20"/>
  <c r="AQ167" i="20"/>
  <c r="AQ44" i="20"/>
  <c r="F71" i="20" s="1"/>
  <c r="F83" i="20" s="1"/>
  <c r="BQ239" i="20"/>
  <c r="H159" i="20" s="1"/>
  <c r="H172" i="20" s="1"/>
  <c r="AQ99" i="20"/>
  <c r="I77" i="20" s="1"/>
  <c r="I89" i="20" s="1"/>
  <c r="AN62" i="20"/>
  <c r="AQ17" i="20"/>
  <c r="D78" i="20" s="1"/>
  <c r="D90" i="20" s="1"/>
  <c r="BN32" i="20"/>
  <c r="BN120" i="20"/>
  <c r="AQ104" i="20"/>
  <c r="I82" i="20" s="1"/>
  <c r="I94" i="20" s="1"/>
  <c r="BM130" i="20"/>
  <c r="BM192" i="20"/>
  <c r="BO46" i="20"/>
  <c r="BN72" i="20"/>
  <c r="AN215" i="20"/>
  <c r="AM52" i="20"/>
  <c r="T13" i="20"/>
  <c r="M26" i="19"/>
  <c r="E11" i="19"/>
  <c r="F47" i="19" s="1"/>
  <c r="W36" i="20"/>
  <c r="W13" i="20"/>
  <c r="AM146" i="20"/>
  <c r="T32" i="20"/>
  <c r="AO83" i="20"/>
  <c r="BN94" i="20"/>
  <c r="Y35" i="20"/>
  <c r="T19" i="20"/>
  <c r="X10" i="20"/>
  <c r="R15" i="20"/>
  <c r="AN184" i="20"/>
  <c r="D38" i="20"/>
  <c r="H30" i="20"/>
  <c r="AQ231" i="20"/>
  <c r="AQ131" i="20"/>
  <c r="U36" i="20"/>
  <c r="Y34" i="20"/>
  <c r="X18" i="20"/>
  <c r="BQ168" i="20"/>
  <c r="E213" i="20" s="1"/>
  <c r="E226" i="20" s="1"/>
  <c r="Y24" i="20"/>
  <c r="H38" i="20"/>
  <c r="H36" i="20"/>
  <c r="AA25" i="20"/>
  <c r="AO157" i="20"/>
  <c r="BO34" i="20"/>
  <c r="BQ134" i="20"/>
  <c r="F168" i="20" s="1"/>
  <c r="F181" i="20" s="1"/>
  <c r="AO213" i="20"/>
  <c r="W17" i="20"/>
  <c r="Z19" i="20"/>
  <c r="AM194" i="20"/>
  <c r="BM258" i="20"/>
  <c r="AM84" i="20"/>
  <c r="BN207" i="20"/>
  <c r="AQ232" i="20"/>
  <c r="AN45" i="20"/>
  <c r="BM162" i="20"/>
  <c r="BQ92" i="20"/>
  <c r="I114" i="20" s="1"/>
  <c r="I127" i="20" s="1"/>
  <c r="BN60" i="20"/>
  <c r="W9" i="20"/>
  <c r="AO214" i="20"/>
  <c r="BQ50" i="20"/>
  <c r="G120" i="20" s="1"/>
  <c r="G133" i="20" s="1"/>
  <c r="AC37" i="20"/>
  <c r="AO10" i="20"/>
  <c r="AN53" i="20"/>
  <c r="BO47" i="20"/>
  <c r="AN87" i="20"/>
  <c r="E30" i="20"/>
  <c r="BQ37" i="20"/>
  <c r="F124" i="20" s="1"/>
  <c r="F137" i="20" s="1"/>
  <c r="AQ111" i="20"/>
  <c r="J73" i="20" s="1"/>
  <c r="J85" i="20" s="1"/>
  <c r="AN233" i="20"/>
  <c r="AA15" i="20"/>
  <c r="AO212" i="20"/>
  <c r="AN64" i="20"/>
  <c r="BM15" i="20"/>
  <c r="AM149" i="20"/>
  <c r="BM242" i="20"/>
  <c r="U19" i="20"/>
  <c r="AQ198" i="20"/>
  <c r="K80" i="20" s="1"/>
  <c r="K92" i="20" s="1"/>
  <c r="T35" i="20"/>
  <c r="BM133" i="20"/>
  <c r="BO92" i="20"/>
  <c r="AM94" i="20"/>
  <c r="T12" i="20"/>
  <c r="F36" i="20"/>
  <c r="AM153" i="20"/>
  <c r="BN215" i="20"/>
  <c r="AM168" i="20"/>
  <c r="AQ163" i="20"/>
  <c r="BN14" i="20"/>
  <c r="Z36" i="20"/>
  <c r="E29" i="20"/>
  <c r="AN165" i="20"/>
  <c r="AQ97" i="20"/>
  <c r="I75" i="20" s="1"/>
  <c r="I87" i="20" s="1"/>
  <c r="AO69" i="20"/>
  <c r="BO56" i="20"/>
  <c r="BM215" i="20"/>
  <c r="AQ144" i="20"/>
  <c r="AM27" i="20"/>
  <c r="BM35" i="20"/>
  <c r="U26" i="20"/>
  <c r="Y27" i="20"/>
  <c r="BN11" i="20"/>
  <c r="BM20" i="20"/>
  <c r="BO216" i="20"/>
  <c r="BN198" i="20"/>
  <c r="BO152" i="20"/>
  <c r="AQ238" i="20"/>
  <c r="BN170" i="20"/>
  <c r="BM65" i="20"/>
  <c r="AO29" i="20"/>
  <c r="BO125" i="20"/>
  <c r="BQ100" i="20"/>
  <c r="I122" i="20" s="1"/>
  <c r="I135" i="20" s="1"/>
  <c r="AM78" i="20"/>
  <c r="BN142" i="20"/>
  <c r="R31" i="20"/>
  <c r="BM129" i="20"/>
  <c r="AN12" i="20"/>
  <c r="AN190" i="20"/>
  <c r="BM86" i="20"/>
  <c r="BQ217" i="20"/>
  <c r="G214" i="20" s="1"/>
  <c r="G227" i="20" s="1"/>
  <c r="U29" i="20"/>
  <c r="AN49" i="20"/>
  <c r="AN237" i="20"/>
  <c r="BM119" i="20"/>
  <c r="AQ158" i="20"/>
  <c r="BM182" i="20"/>
  <c r="BM216" i="20"/>
  <c r="BO215" i="20"/>
  <c r="U12" i="20"/>
  <c r="BN250" i="20"/>
  <c r="BM54" i="20"/>
  <c r="AM45" i="20"/>
  <c r="D35" i="20"/>
  <c r="AQ47" i="20"/>
  <c r="F74" i="20" s="1"/>
  <c r="F86" i="20" s="1"/>
  <c r="AC11" i="20"/>
  <c r="AO99" i="20"/>
  <c r="BQ150" i="20"/>
  <c r="G166" i="20" s="1"/>
  <c r="G179" i="20" s="1"/>
  <c r="BO14" i="20"/>
  <c r="AO78" i="20"/>
  <c r="AO48" i="20"/>
  <c r="BQ46" i="20"/>
  <c r="G116" i="20" s="1"/>
  <c r="G129" i="20" s="1"/>
  <c r="AM71" i="20"/>
  <c r="F37" i="20"/>
  <c r="AO159" i="20"/>
  <c r="BN28" i="20"/>
  <c r="AM147" i="20"/>
  <c r="V21" i="20"/>
  <c r="AO243" i="20"/>
  <c r="BM18" i="20"/>
  <c r="BQ130" i="20"/>
  <c r="F164" i="20" s="1"/>
  <c r="F177" i="20" s="1"/>
  <c r="BN35" i="20"/>
  <c r="BO167" i="20"/>
  <c r="AQ13" i="20"/>
  <c r="D74" i="20" s="1"/>
  <c r="D86" i="20" s="1"/>
  <c r="AQ149" i="20"/>
  <c r="AQ162" i="20"/>
  <c r="BN88" i="20"/>
  <c r="BN232" i="20"/>
  <c r="AN60" i="20"/>
  <c r="BO260" i="20"/>
  <c r="AM212" i="20"/>
  <c r="BN133" i="20"/>
  <c r="BQ210" i="20"/>
  <c r="G207" i="20" s="1"/>
  <c r="G220" i="20" s="1"/>
  <c r="AN61" i="20"/>
  <c r="AM205" i="20"/>
  <c r="BO113" i="20"/>
  <c r="AD36" i="20"/>
  <c r="AM83" i="20"/>
  <c r="BM197" i="20"/>
  <c r="BQ256" i="20"/>
  <c r="I158" i="20" s="1"/>
  <c r="I171" i="20" s="1"/>
  <c r="AO247" i="20"/>
  <c r="BQ49" i="20"/>
  <c r="G119" i="20" s="1"/>
  <c r="G132" i="20" s="1"/>
  <c r="BN161" i="20"/>
  <c r="W20" i="20"/>
  <c r="BO232" i="20"/>
  <c r="AM31" i="20"/>
  <c r="BO179" i="20"/>
  <c r="BQ85" i="20"/>
  <c r="E167" i="20" s="1"/>
  <c r="E180" i="20" s="1"/>
  <c r="AO223" i="20"/>
  <c r="AD9" i="20"/>
  <c r="BQ127" i="20"/>
  <c r="F161" i="20" s="1"/>
  <c r="F174" i="20" s="1"/>
  <c r="AM87" i="20"/>
  <c r="AQ151" i="20"/>
  <c r="BM169" i="20"/>
  <c r="AN54" i="20"/>
  <c r="R11" i="20"/>
  <c r="BQ117" i="20"/>
  <c r="J123" i="20" s="1"/>
  <c r="J136" i="20" s="1"/>
  <c r="X35" i="20"/>
  <c r="BN128" i="20"/>
  <c r="R10" i="20"/>
  <c r="BN212" i="20"/>
  <c r="BM19" i="20"/>
  <c r="BM102" i="20"/>
  <c r="BQ114" i="20"/>
  <c r="J120" i="20" s="1"/>
  <c r="J133" i="20" s="1"/>
  <c r="AM63" i="20"/>
  <c r="BM32" i="20"/>
  <c r="AM148" i="20"/>
  <c r="W11" i="20"/>
  <c r="AO71" i="20"/>
  <c r="BO36" i="20"/>
  <c r="AD35" i="20"/>
  <c r="AO117" i="20"/>
  <c r="BN136" i="20"/>
  <c r="BM178" i="20"/>
  <c r="BM165" i="20"/>
  <c r="BO48" i="20"/>
  <c r="AQ80" i="20"/>
  <c r="H74" i="20" s="1"/>
  <c r="H86" i="20" s="1"/>
  <c r="R40" i="20"/>
  <c r="AQ11" i="20"/>
  <c r="D72" i="20" s="1"/>
  <c r="D84" i="20" s="1"/>
  <c r="AQ150" i="20"/>
  <c r="BQ20" i="20"/>
  <c r="E124" i="20" s="1"/>
  <c r="E137" i="20" s="1"/>
  <c r="AO105" i="20"/>
  <c r="BQ129" i="20"/>
  <c r="F163" i="20" s="1"/>
  <c r="F176" i="20" s="1"/>
  <c r="BN179" i="20"/>
  <c r="BQ84" i="20"/>
  <c r="E166" i="20" s="1"/>
  <c r="E179" i="20" s="1"/>
  <c r="AO55" i="20"/>
  <c r="AN52" i="20"/>
  <c r="AQ45" i="20"/>
  <c r="F72" i="20" s="1"/>
  <c r="F84" i="20" s="1"/>
  <c r="BM183" i="20"/>
  <c r="AM192" i="20"/>
  <c r="AN245" i="20"/>
  <c r="BO69" i="20"/>
  <c r="BM52" i="20"/>
  <c r="AN130" i="20"/>
  <c r="AN243" i="20"/>
  <c r="Y22" i="20"/>
  <c r="BQ95" i="20"/>
  <c r="I117" i="20" s="1"/>
  <c r="I130" i="20" s="1"/>
  <c r="BN163" i="20"/>
  <c r="AQ113" i="20"/>
  <c r="J75" i="20" s="1"/>
  <c r="J87" i="20" s="1"/>
  <c r="AO111" i="20"/>
  <c r="AN38" i="20"/>
  <c r="BO212" i="20"/>
  <c r="AM49" i="20"/>
  <c r="BO45" i="20"/>
  <c r="BO183" i="20"/>
  <c r="BO96" i="20"/>
  <c r="AO208" i="20"/>
  <c r="BQ144" i="20"/>
  <c r="G160" i="20" s="1"/>
  <c r="G173" i="20" s="1"/>
  <c r="BN48" i="20"/>
  <c r="AQ225" i="20"/>
  <c r="BO195" i="20"/>
  <c r="AO51" i="20"/>
  <c r="BM217" i="20"/>
  <c r="BN132" i="20"/>
  <c r="BQ243" i="20"/>
  <c r="H163" i="20" s="1"/>
  <c r="H176" i="20" s="1"/>
  <c r="AO36" i="20"/>
  <c r="BM228" i="20"/>
  <c r="AO38" i="20"/>
  <c r="AO216" i="20"/>
  <c r="BO177" i="20"/>
  <c r="BN50" i="20"/>
  <c r="AQ227" i="20"/>
  <c r="AM69" i="20"/>
  <c r="BO29" i="20"/>
  <c r="BQ160" i="20"/>
  <c r="E205" i="20" s="1"/>
  <c r="E218" i="20" s="1"/>
  <c r="BN164" i="20"/>
  <c r="AQ181" i="20"/>
  <c r="L79" i="20" s="1"/>
  <c r="L91" i="20" s="1"/>
  <c r="BM69" i="20"/>
  <c r="BO161" i="20"/>
  <c r="AM15" i="20"/>
  <c r="AN15" i="20"/>
  <c r="BO134" i="20"/>
  <c r="BM170" i="20"/>
  <c r="AO229" i="20"/>
  <c r="AN19" i="20"/>
  <c r="BQ36" i="20"/>
  <c r="F123" i="20" s="1"/>
  <c r="F136" i="20" s="1"/>
  <c r="BN159" i="20"/>
  <c r="BN112" i="20"/>
  <c r="BN259" i="20"/>
  <c r="BO144" i="20"/>
  <c r="AO232" i="20"/>
  <c r="BO52" i="20"/>
  <c r="AQ32" i="20"/>
  <c r="E77" i="20" s="1"/>
  <c r="E89" i="20" s="1"/>
  <c r="BO168" i="20"/>
  <c r="BM92" i="20"/>
  <c r="BN117" i="20"/>
  <c r="BN108" i="20"/>
  <c r="BQ198" i="20"/>
  <c r="BO31" i="20"/>
  <c r="BM28" i="20"/>
  <c r="AO16" i="20"/>
  <c r="BM17" i="20"/>
  <c r="X13" i="20"/>
  <c r="AB16" i="20"/>
  <c r="BO108" i="20"/>
  <c r="BN45" i="20"/>
  <c r="BO213" i="20"/>
  <c r="AQ128" i="20"/>
  <c r="AO224" i="20"/>
  <c r="AQ62" i="20"/>
  <c r="G73" i="20" s="1"/>
  <c r="G85" i="20" s="1"/>
  <c r="BN70" i="20"/>
  <c r="AO238" i="20"/>
  <c r="AO31" i="20"/>
  <c r="BN135" i="20"/>
  <c r="BN27" i="20"/>
  <c r="AN65" i="20"/>
  <c r="AN175" i="20"/>
  <c r="BO49" i="20"/>
  <c r="BN84" i="20"/>
  <c r="BN111" i="20"/>
  <c r="AN26" i="20"/>
  <c r="AQ95" i="20"/>
  <c r="I73" i="20" s="1"/>
  <c r="I85" i="20" s="1"/>
  <c r="BQ225" i="20"/>
  <c r="H206" i="20" s="1"/>
  <c r="H219" i="20" s="1"/>
  <c r="BN153" i="20"/>
  <c r="BQ180" i="20"/>
  <c r="F209" i="20" s="1"/>
  <c r="F222" i="20" s="1"/>
  <c r="AO53" i="20"/>
  <c r="AQ195" i="20"/>
  <c r="K77" i="20" s="1"/>
  <c r="K89" i="20" s="1"/>
  <c r="BN22" i="20"/>
  <c r="BN210" i="20"/>
  <c r="BN218" i="20"/>
  <c r="BN68" i="20"/>
  <c r="BN129" i="20"/>
  <c r="BM225" i="20"/>
  <c r="AO133" i="20"/>
  <c r="BO54" i="20"/>
  <c r="E36" i="20"/>
  <c r="Y40" i="20"/>
  <c r="AQ81" i="20"/>
  <c r="H75" i="20" s="1"/>
  <c r="H87" i="20" s="1"/>
  <c r="BO10" i="20"/>
  <c r="AC40" i="20"/>
  <c r="V11" i="20"/>
  <c r="BQ109" i="20"/>
  <c r="J115" i="20" s="1"/>
  <c r="J128" i="20" s="1"/>
  <c r="AM232" i="20"/>
  <c r="BN13" i="20"/>
  <c r="BM125" i="20"/>
  <c r="AQ112" i="20"/>
  <c r="J74" i="20" s="1"/>
  <c r="J86" i="20" s="1"/>
  <c r="BN148" i="20"/>
  <c r="BN209" i="20"/>
  <c r="BO241" i="20"/>
  <c r="BQ54" i="20"/>
  <c r="G124" i="20" s="1"/>
  <c r="G137" i="20" s="1"/>
  <c r="BM67" i="20"/>
  <c r="AQ212" i="20"/>
  <c r="AM54" i="20"/>
  <c r="BQ147" i="20"/>
  <c r="G163" i="20" s="1"/>
  <c r="G176" i="20" s="1"/>
  <c r="BO186" i="20"/>
  <c r="AM207" i="20"/>
  <c r="BO94" i="20"/>
  <c r="U35" i="20"/>
  <c r="U24" i="20"/>
  <c r="V24" i="20"/>
  <c r="R33" i="20"/>
  <c r="AO222" i="20"/>
  <c r="AO85" i="20"/>
  <c r="BM213" i="20"/>
  <c r="BN183" i="20"/>
  <c r="AO205" i="20"/>
  <c r="AA19" i="20"/>
  <c r="BQ151" i="20"/>
  <c r="G167" i="20" s="1"/>
  <c r="G180" i="20" s="1"/>
  <c r="BM179" i="20"/>
  <c r="W37" i="20"/>
  <c r="AO77" i="20"/>
  <c r="AO164" i="20"/>
  <c r="AO144" i="20"/>
  <c r="AO115" i="20"/>
  <c r="AB38" i="20"/>
  <c r="AM216" i="20"/>
  <c r="AN35" i="20"/>
  <c r="AM130" i="20"/>
  <c r="AM112" i="20"/>
  <c r="BO65" i="20"/>
  <c r="BO66" i="20"/>
  <c r="AN97" i="20"/>
  <c r="BO135" i="20"/>
  <c r="BO112" i="20"/>
  <c r="AM229" i="20"/>
  <c r="AQ79" i="20"/>
  <c r="H73" i="20" s="1"/>
  <c r="H85" i="20" s="1"/>
  <c r="AM53" i="20"/>
  <c r="AM233" i="20"/>
  <c r="BM110" i="20"/>
  <c r="AM51" i="20"/>
  <c r="BQ231" i="20"/>
  <c r="H212" i="20" s="1"/>
  <c r="H225" i="20" s="1"/>
  <c r="BQ35" i="20"/>
  <c r="F122" i="20" s="1"/>
  <c r="F135" i="20" s="1"/>
  <c r="BM163" i="20"/>
  <c r="BN36" i="20"/>
  <c r="AN207" i="20"/>
  <c r="AQ133" i="20"/>
  <c r="BO33" i="20"/>
  <c r="AM110" i="20"/>
  <c r="BO143" i="20"/>
  <c r="AN28" i="20"/>
  <c r="BO70" i="20"/>
  <c r="BO132" i="20"/>
  <c r="AN44" i="20"/>
  <c r="AO191" i="20"/>
  <c r="BN246" i="20"/>
  <c r="AN71" i="20"/>
  <c r="BO19" i="20"/>
  <c r="BN208" i="20"/>
  <c r="BO148" i="20"/>
  <c r="BO226" i="20"/>
  <c r="BQ67" i="20"/>
  <c r="H121" i="20" s="1"/>
  <c r="H134" i="20" s="1"/>
  <c r="BQ185" i="20"/>
  <c r="F214" i="20" s="1"/>
  <c r="F227" i="20" s="1"/>
  <c r="BQ229" i="20"/>
  <c r="H210" i="20" s="1"/>
  <c r="H223" i="20" s="1"/>
  <c r="BO28" i="20"/>
  <c r="BQ96" i="20"/>
  <c r="I118" i="20" s="1"/>
  <c r="I131" i="20" s="1"/>
  <c r="BN66" i="20"/>
  <c r="BN85" i="20"/>
  <c r="BO39" i="20"/>
  <c r="BN114" i="20"/>
  <c r="BO165" i="20"/>
  <c r="AN18" i="20"/>
  <c r="BM142" i="20"/>
  <c r="BQ152" i="20"/>
  <c r="G168" i="20" s="1"/>
  <c r="G181" i="20" s="1"/>
  <c r="BN125" i="20"/>
  <c r="BQ197" i="20"/>
  <c r="BN169" i="20"/>
  <c r="AD30" i="20"/>
  <c r="AO161" i="20"/>
  <c r="S24" i="20"/>
  <c r="AQ184" i="20"/>
  <c r="L82" i="20" s="1"/>
  <c r="L94" i="20" s="1"/>
  <c r="AN37" i="20"/>
  <c r="AO95" i="20"/>
  <c r="AO44" i="20"/>
  <c r="BO233" i="20"/>
  <c r="AO249" i="20"/>
  <c r="BN61" i="20"/>
  <c r="BO164" i="20"/>
  <c r="AQ230" i="20"/>
  <c r="AM211" i="20"/>
  <c r="AQ96" i="20"/>
  <c r="I74" i="20" s="1"/>
  <c r="I86" i="20" s="1"/>
  <c r="BN116" i="20"/>
  <c r="BN150" i="20"/>
  <c r="BM181" i="20"/>
  <c r="AQ237" i="20"/>
  <c r="BN86" i="20"/>
  <c r="BN194" i="20"/>
  <c r="AN226" i="20"/>
  <c r="BM211" i="20"/>
  <c r="BO63" i="20"/>
  <c r="BO130" i="20"/>
  <c r="AN16" i="20"/>
  <c r="BM176" i="20"/>
  <c r="BO50" i="20"/>
  <c r="AN230" i="20"/>
  <c r="BM206" i="20"/>
  <c r="S33" i="20"/>
  <c r="BM224" i="20"/>
  <c r="AM196" i="20"/>
  <c r="BQ15" i="20"/>
  <c r="E119" i="20" s="1"/>
  <c r="E132" i="20" s="1"/>
  <c r="AQ29" i="20"/>
  <c r="E74" i="20" s="1"/>
  <c r="E86" i="20" s="1"/>
  <c r="BM114" i="20"/>
  <c r="AM109" i="20"/>
  <c r="AM44" i="20"/>
  <c r="BN92" i="20"/>
  <c r="Y17" i="20"/>
  <c r="AO17" i="20"/>
  <c r="AB26" i="20"/>
  <c r="AN191" i="20"/>
  <c r="AN224" i="20"/>
  <c r="AM118" i="20"/>
  <c r="BO197" i="20"/>
  <c r="AM11" i="20"/>
  <c r="AQ135" i="20"/>
  <c r="H31" i="20"/>
  <c r="BO166" i="20"/>
  <c r="BO238" i="20"/>
  <c r="BQ196" i="20"/>
  <c r="BM144" i="20"/>
  <c r="BN118" i="20"/>
  <c r="AO88" i="20"/>
  <c r="BO61" i="20"/>
  <c r="AA9" i="20"/>
  <c r="AQ110" i="20"/>
  <c r="J72" i="20" s="1"/>
  <c r="J84" i="20" s="1"/>
  <c r="U16" i="20"/>
  <c r="AN174" i="20"/>
  <c r="BQ226" i="20"/>
  <c r="H207" i="20" s="1"/>
  <c r="H220" i="20" s="1"/>
  <c r="BN162" i="20"/>
  <c r="BM153" i="20"/>
  <c r="AO18" i="20"/>
  <c r="R16" i="20"/>
  <c r="BO129" i="20"/>
  <c r="F38" i="20"/>
  <c r="Z20" i="20"/>
  <c r="AN113" i="20"/>
  <c r="X22" i="20"/>
  <c r="AO70" i="20"/>
  <c r="AC24" i="20"/>
  <c r="BO180" i="20"/>
  <c r="U38" i="20"/>
  <c r="BM53" i="20"/>
  <c r="H28" i="20"/>
  <c r="U25" i="20"/>
  <c r="AB9" i="20"/>
  <c r="BM210" i="20"/>
  <c r="Z21" i="20"/>
  <c r="AQ14" i="20"/>
  <c r="D75" i="20" s="1"/>
  <c r="D87" i="20" s="1"/>
  <c r="Y18" i="20"/>
  <c r="BQ28" i="20"/>
  <c r="F115" i="20" s="1"/>
  <c r="F128" i="20" s="1"/>
  <c r="AB27" i="20"/>
  <c r="AQ148" i="20"/>
  <c r="AD29" i="20"/>
  <c r="BN53" i="20"/>
  <c r="BO127" i="20"/>
  <c r="BQ222" i="20"/>
  <c r="H203" i="20" s="1"/>
  <c r="H216" i="20" s="1"/>
  <c r="AO245" i="20"/>
  <c r="AM206" i="20"/>
  <c r="BM158" i="20"/>
  <c r="Z24" i="20"/>
  <c r="AN147" i="20"/>
  <c r="AM77" i="20"/>
  <c r="AN69" i="20"/>
  <c r="AO45" i="20"/>
  <c r="AO19" i="20"/>
  <c r="AN249" i="20"/>
  <c r="AQ229" i="20"/>
  <c r="AN150" i="20"/>
  <c r="AQ233" i="20"/>
  <c r="BM68" i="20"/>
  <c r="AQ116" i="20"/>
  <c r="J78" i="20" s="1"/>
  <c r="J90" i="20" s="1"/>
  <c r="S11" i="20"/>
  <c r="BM34" i="20"/>
  <c r="W19" i="20"/>
  <c r="BN34" i="20"/>
  <c r="AN163" i="20"/>
  <c r="AM199" i="20"/>
  <c r="X12" i="20"/>
  <c r="AM227" i="20"/>
  <c r="BO176" i="20"/>
  <c r="BO37" i="20"/>
  <c r="X32" i="20"/>
  <c r="AC33" i="20"/>
  <c r="R29" i="20"/>
  <c r="AO198" i="20"/>
  <c r="BQ30" i="20"/>
  <c r="F117" i="20" s="1"/>
  <c r="F130" i="20" s="1"/>
  <c r="AM12" i="20"/>
  <c r="R32" i="20"/>
  <c r="T18" i="20"/>
  <c r="AM152" i="20"/>
  <c r="BN93" i="20"/>
  <c r="AQ35" i="20"/>
  <c r="E80" i="20" s="1"/>
  <c r="E92" i="20" s="1"/>
  <c r="AO215" i="20"/>
  <c r="AM247" i="20"/>
  <c r="T24" i="20"/>
  <c r="R27" i="20"/>
  <c r="AQ77" i="20"/>
  <c r="H71" i="20" s="1"/>
  <c r="H83" i="20" s="1"/>
  <c r="V29" i="20"/>
  <c r="BQ161" i="20"/>
  <c r="E206" i="20" s="1"/>
  <c r="E219" i="20" s="1"/>
  <c r="AN66" i="20"/>
  <c r="BM127" i="20"/>
  <c r="BM46" i="20"/>
  <c r="AQ161" i="20"/>
  <c r="AB40" i="20"/>
  <c r="BQ60" i="20"/>
  <c r="H114" i="20" s="1"/>
  <c r="H127" i="20" s="1"/>
  <c r="BO17" i="20"/>
  <c r="BM196" i="20"/>
  <c r="BO71" i="20"/>
  <c r="BO217" i="20"/>
  <c r="AQ54" i="20"/>
  <c r="F81" i="20" s="1"/>
  <c r="F93" i="20" s="1"/>
  <c r="BM10" i="20"/>
  <c r="AO135" i="20"/>
  <c r="AM36" i="20"/>
  <c r="Z40" i="20"/>
  <c r="BM229" i="20"/>
  <c r="BM85" i="20"/>
  <c r="AM64" i="20"/>
  <c r="AN189" i="20"/>
  <c r="AO192" i="20"/>
  <c r="H14" i="14"/>
  <c r="H9" i="14" a="1"/>
  <c r="H10" i="14" a="1"/>
  <c r="H11" i="14" a="1"/>
  <c r="H13" i="14" a="1"/>
  <c r="H12" i="14" a="1"/>
  <c r="H8" i="14" a="1"/>
  <c r="BR117" i="20" l="1"/>
  <c r="AR133" i="20"/>
  <c r="BR169" i="20"/>
  <c r="BV169" i="20" s="1"/>
  <c r="I28" i="20"/>
  <c r="AR69" i="20"/>
  <c r="BR71" i="20"/>
  <c r="BV71" i="20" s="1"/>
  <c r="AR198" i="20"/>
  <c r="AV198" i="20" s="1"/>
  <c r="BR29" i="20"/>
  <c r="AR50" i="20"/>
  <c r="BR84" i="20"/>
  <c r="BR52" i="20"/>
  <c r="AR53" i="20"/>
  <c r="AR189" i="20"/>
  <c r="AR48" i="20"/>
  <c r="AR159" i="20"/>
  <c r="I38" i="20"/>
  <c r="AR83" i="20"/>
  <c r="BR63" i="20"/>
  <c r="BR243" i="20"/>
  <c r="BR130" i="20"/>
  <c r="BR17" i="20"/>
  <c r="BR217" i="20"/>
  <c r="BV217" i="20" s="1"/>
  <c r="AR190" i="20"/>
  <c r="AR149" i="20"/>
  <c r="AR85" i="20"/>
  <c r="AP115" i="20"/>
  <c r="BR226" i="20"/>
  <c r="BR20" i="20"/>
  <c r="BV20" i="20" s="1"/>
  <c r="AR130" i="20"/>
  <c r="AP198" i="20"/>
  <c r="I30" i="20"/>
  <c r="AP17" i="20"/>
  <c r="AR81" i="20"/>
  <c r="AR96" i="20"/>
  <c r="BR168" i="20"/>
  <c r="BR108" i="20"/>
  <c r="BR258" i="20"/>
  <c r="AP227" i="20"/>
  <c r="BR192" i="20"/>
  <c r="AR13" i="20"/>
  <c r="AR225" i="20"/>
  <c r="AR86" i="20"/>
  <c r="AR229" i="20"/>
  <c r="BR158" i="20"/>
  <c r="AR183" i="20"/>
  <c r="AR192" i="20"/>
  <c r="BP244" i="20"/>
  <c r="I36" i="20"/>
  <c r="AR101" i="20"/>
  <c r="BR228" i="20"/>
  <c r="AP104" i="20"/>
  <c r="Q7" i="19"/>
  <c r="Q20" i="19"/>
  <c r="AR135" i="20"/>
  <c r="AR245" i="20"/>
  <c r="AP44" i="20"/>
  <c r="AP34" i="20"/>
  <c r="BR239" i="20"/>
  <c r="AP175" i="20"/>
  <c r="AR31" i="20"/>
  <c r="BR195" i="20"/>
  <c r="AR208" i="20"/>
  <c r="BP101" i="20"/>
  <c r="AP212" i="20"/>
  <c r="BR92" i="20"/>
  <c r="BR256" i="20"/>
  <c r="BR159" i="20"/>
  <c r="AR34" i="20"/>
  <c r="AP178" i="20"/>
  <c r="AS178" i="20" s="1"/>
  <c r="AT178" i="20" s="1"/>
  <c r="W62" i="20" s="1"/>
  <c r="BR38" i="20"/>
  <c r="BV38" i="20" s="1"/>
  <c r="BR64" i="20"/>
  <c r="BR259" i="20"/>
  <c r="BV259" i="20" s="1"/>
  <c r="AP161" i="20"/>
  <c r="BR114" i="20"/>
  <c r="AR168" i="20"/>
  <c r="AV168" i="20" s="1"/>
  <c r="Q18" i="19"/>
  <c r="BP85" i="20"/>
  <c r="O27" i="20"/>
  <c r="BP206" i="20"/>
  <c r="AP228" i="20"/>
  <c r="AP54" i="20"/>
  <c r="AR182" i="20"/>
  <c r="Q21" i="19"/>
  <c r="AR181" i="20"/>
  <c r="BR257" i="20"/>
  <c r="BP63" i="20"/>
  <c r="AP109" i="20"/>
  <c r="AR136" i="20"/>
  <c r="AV136" i="20" s="1"/>
  <c r="I33" i="20"/>
  <c r="BR119" i="20"/>
  <c r="BV119" i="20" s="1"/>
  <c r="AR226" i="20"/>
  <c r="BR224" i="20"/>
  <c r="BR146" i="20"/>
  <c r="BR183" i="20"/>
  <c r="AR27" i="20"/>
  <c r="AR118" i="20"/>
  <c r="AV118" i="20" s="1"/>
  <c r="BP70" i="20"/>
  <c r="Q36" i="19"/>
  <c r="AR205" i="20"/>
  <c r="BP48" i="20"/>
  <c r="AR26" i="20"/>
  <c r="AR211" i="20"/>
  <c r="BR55" i="20"/>
  <c r="BV55" i="20" s="1"/>
  <c r="AP151" i="20"/>
  <c r="O32" i="19"/>
  <c r="I68" i="19" s="1"/>
  <c r="BR14" i="20"/>
  <c r="AR97" i="20"/>
  <c r="BR110" i="20"/>
  <c r="AP88" i="20"/>
  <c r="AP47" i="20"/>
  <c r="AP29" i="20"/>
  <c r="BP159" i="20"/>
  <c r="BR98" i="20"/>
  <c r="G32" i="20"/>
  <c r="BR190" i="20"/>
  <c r="Q29" i="19"/>
  <c r="Q30" i="19"/>
  <c r="BR54" i="20"/>
  <c r="AP66" i="20"/>
  <c r="O32" i="20"/>
  <c r="BP165" i="20"/>
  <c r="BR207" i="20"/>
  <c r="BR97" i="20"/>
  <c r="AR54" i="20"/>
  <c r="AV54" i="20" s="1"/>
  <c r="AP84" i="20"/>
  <c r="BR184" i="20"/>
  <c r="BP230" i="20"/>
  <c r="AR195" i="20"/>
  <c r="Q8" i="19"/>
  <c r="BR118" i="20"/>
  <c r="Q23" i="19"/>
  <c r="BR15" i="20"/>
  <c r="BR185" i="20"/>
  <c r="BV185" i="20" s="1"/>
  <c r="BR100" i="20"/>
  <c r="AR247" i="20"/>
  <c r="AV247" i="20" s="1"/>
  <c r="AR49" i="20"/>
  <c r="BP182" i="20"/>
  <c r="AR100" i="20"/>
  <c r="AP98" i="20"/>
  <c r="AP197" i="20"/>
  <c r="AP192" i="20"/>
  <c r="BP62" i="20"/>
  <c r="AR148" i="20"/>
  <c r="AR80" i="20"/>
  <c r="AP113" i="20"/>
  <c r="AP196" i="20"/>
  <c r="BP192" i="20"/>
  <c r="BP150" i="20"/>
  <c r="BP12" i="20"/>
  <c r="BR95" i="20"/>
  <c r="BR125" i="20"/>
  <c r="AR157" i="20"/>
  <c r="S8" i="19"/>
  <c r="V8" i="19" s="1"/>
  <c r="AP79" i="20"/>
  <c r="BR163" i="20"/>
  <c r="BR148" i="20"/>
  <c r="AP208" i="20"/>
  <c r="BR49" i="20"/>
  <c r="BR244" i="20"/>
  <c r="BR242" i="20"/>
  <c r="AP114" i="20"/>
  <c r="G30" i="20"/>
  <c r="BR53" i="20"/>
  <c r="AR112" i="20"/>
  <c r="O8" i="19"/>
  <c r="I44" i="19" s="1"/>
  <c r="I29" i="20"/>
  <c r="BR225" i="20"/>
  <c r="G28" i="20"/>
  <c r="J28" i="20" s="1"/>
  <c r="K28" i="20" s="1"/>
  <c r="AP116" i="20"/>
  <c r="Q6" i="19"/>
  <c r="Q10" i="19"/>
  <c r="Q28" i="19"/>
  <c r="BR191" i="20"/>
  <c r="BP60" i="20"/>
  <c r="AR94" i="20"/>
  <c r="AR161" i="20"/>
  <c r="AP194" i="20"/>
  <c r="AP32" i="20"/>
  <c r="Q19" i="19"/>
  <c r="BP100" i="20"/>
  <c r="AR145" i="20"/>
  <c r="BP223" i="20"/>
  <c r="BP86" i="20"/>
  <c r="BR44" i="20"/>
  <c r="BP231" i="20"/>
  <c r="BP11" i="20"/>
  <c r="AR44" i="20"/>
  <c r="AR17" i="20"/>
  <c r="BR232" i="20"/>
  <c r="BV232" i="20" s="1"/>
  <c r="AP70" i="20"/>
  <c r="AP60" i="20"/>
  <c r="AR212" i="20"/>
  <c r="BR13" i="20"/>
  <c r="AR10" i="20"/>
  <c r="BP135" i="20"/>
  <c r="AP86" i="20"/>
  <c r="G34" i="20"/>
  <c r="Q33" i="19"/>
  <c r="BP208" i="20"/>
  <c r="BR134" i="20"/>
  <c r="BR167" i="20"/>
  <c r="O29" i="20"/>
  <c r="BR176" i="20"/>
  <c r="BP92" i="20"/>
  <c r="AP11" i="20"/>
  <c r="BP34" i="20"/>
  <c r="O11" i="20"/>
  <c r="AP149" i="20"/>
  <c r="BP87" i="20"/>
  <c r="G27" i="20"/>
  <c r="AP45" i="20"/>
  <c r="BP119" i="20"/>
  <c r="AR66" i="20"/>
  <c r="AP103" i="20"/>
  <c r="AR77" i="20"/>
  <c r="AP112" i="20"/>
  <c r="BP162" i="20"/>
  <c r="BR48" i="20"/>
  <c r="BR129" i="20"/>
  <c r="BP117" i="20"/>
  <c r="AP226" i="20"/>
  <c r="AP206" i="20"/>
  <c r="BP178" i="20"/>
  <c r="O33" i="20"/>
  <c r="BP125" i="20"/>
  <c r="AP26" i="20"/>
  <c r="AR16" i="20"/>
  <c r="AR215" i="20"/>
  <c r="AV215" i="20" s="1"/>
  <c r="AP245" i="20"/>
  <c r="AP51" i="20"/>
  <c r="AP148" i="20"/>
  <c r="BR179" i="20"/>
  <c r="BP197" i="20"/>
  <c r="AP205" i="20"/>
  <c r="BP169" i="20"/>
  <c r="BS169" i="20" s="1"/>
  <c r="BU169" i="20" s="1"/>
  <c r="E200" i="20" s="1"/>
  <c r="AP152" i="20"/>
  <c r="BR47" i="20"/>
  <c r="O10" i="20"/>
  <c r="BP130" i="20"/>
  <c r="AP95" i="20"/>
  <c r="AP164" i="20"/>
  <c r="AR68" i="20"/>
  <c r="AP81" i="20"/>
  <c r="BP133" i="20"/>
  <c r="BR68" i="20"/>
  <c r="BP134" i="20"/>
  <c r="BR87" i="20"/>
  <c r="BV87" i="20" s="1"/>
  <c r="BP65" i="20"/>
  <c r="AR237" i="20"/>
  <c r="BP55" i="20"/>
  <c r="AP28" i="20"/>
  <c r="BR227" i="20"/>
  <c r="AR51" i="20"/>
  <c r="BR60" i="20"/>
  <c r="BP64" i="20"/>
  <c r="AR184" i="20"/>
  <c r="AV184" i="20" s="1"/>
  <c r="AR147" i="20"/>
  <c r="AP158" i="20"/>
  <c r="BP232" i="20"/>
  <c r="G29" i="20"/>
  <c r="AR117" i="20"/>
  <c r="O6" i="19"/>
  <c r="BP148" i="20"/>
  <c r="BP191" i="20"/>
  <c r="AP87" i="20"/>
  <c r="BR246" i="20"/>
  <c r="BV246" i="20" s="1"/>
  <c r="BP126" i="20"/>
  <c r="AP50" i="20"/>
  <c r="AR110" i="20"/>
  <c r="AR113" i="20"/>
  <c r="BR36" i="20"/>
  <c r="I37" i="20"/>
  <c r="BR126" i="20"/>
  <c r="BR69" i="20"/>
  <c r="BR32" i="20"/>
  <c r="BR31" i="20"/>
  <c r="BR231" i="20"/>
  <c r="AR132" i="20"/>
  <c r="AR32" i="20"/>
  <c r="AP193" i="20"/>
  <c r="AP85" i="20"/>
  <c r="AR116" i="20"/>
  <c r="G33" i="20"/>
  <c r="AR87" i="20"/>
  <c r="AR173" i="20"/>
  <c r="BR27" i="20"/>
  <c r="BR28" i="20"/>
  <c r="BP152" i="20"/>
  <c r="BP151" i="20"/>
  <c r="AP62" i="20"/>
  <c r="BR12" i="20"/>
  <c r="AR175" i="20"/>
  <c r="AR174" i="20"/>
  <c r="G53" i="19"/>
  <c r="Q17" i="19"/>
  <c r="BR111" i="20"/>
  <c r="G31" i="20"/>
  <c r="AP195" i="20"/>
  <c r="G60" i="19"/>
  <c r="Q24" i="19"/>
  <c r="BP168" i="20"/>
  <c r="G61" i="19"/>
  <c r="Q25" i="19"/>
  <c r="F49" i="19"/>
  <c r="Q13" i="19"/>
  <c r="G71" i="19"/>
  <c r="Q35" i="19"/>
  <c r="AP181" i="20"/>
  <c r="BP31" i="20"/>
  <c r="BP36" i="20"/>
  <c r="N8" i="19"/>
  <c r="BR35" i="20"/>
  <c r="BR67" i="20"/>
  <c r="AP129" i="20"/>
  <c r="AP117" i="20"/>
  <c r="AR104" i="20"/>
  <c r="AV104" i="20" s="1"/>
  <c r="BR124" i="20"/>
  <c r="BP66" i="20"/>
  <c r="AP61" i="20"/>
  <c r="BP35" i="20"/>
  <c r="AR146" i="20"/>
  <c r="BP153" i="20"/>
  <c r="Q27" i="19"/>
  <c r="Q15" i="19"/>
  <c r="Q22" i="19"/>
  <c r="BR160" i="20"/>
  <c r="AR191" i="20"/>
  <c r="AR52" i="20"/>
  <c r="AR95" i="20"/>
  <c r="AR82" i="20"/>
  <c r="BR135" i="20"/>
  <c r="BV135" i="20" s="1"/>
  <c r="AR84" i="20"/>
  <c r="AP231" i="20"/>
  <c r="AR232" i="20"/>
  <c r="AV232" i="20" s="1"/>
  <c r="AR71" i="20"/>
  <c r="AV71" i="20" s="1"/>
  <c r="AR28" i="20"/>
  <c r="BR198" i="20"/>
  <c r="BV198" i="20" s="1"/>
  <c r="AR109" i="20"/>
  <c r="Q37" i="19"/>
  <c r="AP232" i="20"/>
  <c r="AR214" i="20"/>
  <c r="BR37" i="20"/>
  <c r="AP77" i="20"/>
  <c r="AR70" i="20"/>
  <c r="AR88" i="20"/>
  <c r="AV88" i="20" s="1"/>
  <c r="BR238" i="20"/>
  <c r="BP61" i="20"/>
  <c r="AR115" i="20"/>
  <c r="BP44" i="20"/>
  <c r="BR144" i="20"/>
  <c r="BR177" i="20"/>
  <c r="BR45" i="20"/>
  <c r="AR111" i="20"/>
  <c r="BR113" i="20"/>
  <c r="AP78" i="20"/>
  <c r="AR33" i="20"/>
  <c r="AR129" i="20"/>
  <c r="AR166" i="20"/>
  <c r="AR93" i="20"/>
  <c r="AP15" i="20"/>
  <c r="BR216" i="20"/>
  <c r="AP63" i="20"/>
  <c r="AP215" i="20"/>
  <c r="O37" i="20"/>
  <c r="O15" i="20"/>
  <c r="AP118" i="20"/>
  <c r="AP190" i="20"/>
  <c r="O17" i="20"/>
  <c r="BP217" i="20"/>
  <c r="BP226" i="20"/>
  <c r="BR182" i="20"/>
  <c r="O16" i="20"/>
  <c r="AP168" i="20"/>
  <c r="BP243" i="20"/>
  <c r="BP185" i="20"/>
  <c r="AP230" i="20"/>
  <c r="BP98" i="20"/>
  <c r="BP71" i="20"/>
  <c r="BS71" i="20" s="1"/>
  <c r="BT71" i="20" s="1"/>
  <c r="S111" i="20" s="1"/>
  <c r="BP30" i="20"/>
  <c r="I32" i="20"/>
  <c r="BP190" i="20"/>
  <c r="AP20" i="20"/>
  <c r="BP238" i="20"/>
  <c r="BR109" i="20"/>
  <c r="AR151" i="20"/>
  <c r="I27" i="20"/>
  <c r="O13" i="20"/>
  <c r="O22" i="20"/>
  <c r="BP229" i="20"/>
  <c r="BR180" i="20"/>
  <c r="O14" i="20"/>
  <c r="AR160" i="20"/>
  <c r="O24" i="20"/>
  <c r="BP211" i="20"/>
  <c r="AP10" i="20"/>
  <c r="BR51" i="20"/>
  <c r="BR151" i="20"/>
  <c r="BP184" i="20"/>
  <c r="O28" i="20"/>
  <c r="AP222" i="20"/>
  <c r="AR163" i="20"/>
  <c r="O12" i="20"/>
  <c r="AP71" i="20"/>
  <c r="O30" i="20"/>
  <c r="BP37" i="20"/>
  <c r="BP246" i="20"/>
  <c r="BP109" i="20"/>
  <c r="AR128" i="20"/>
  <c r="O21" i="20"/>
  <c r="BP32" i="20"/>
  <c r="BR230" i="20"/>
  <c r="BP18" i="20"/>
  <c r="AP80" i="20"/>
  <c r="AP82" i="20"/>
  <c r="AP13" i="20"/>
  <c r="BP132" i="20"/>
  <c r="AP238" i="20"/>
  <c r="BP10" i="20"/>
  <c r="BP52" i="20"/>
  <c r="BP15" i="20"/>
  <c r="N36" i="19"/>
  <c r="H72" i="19" s="1"/>
  <c r="AR165" i="20"/>
  <c r="BP213" i="20"/>
  <c r="O36" i="19"/>
  <c r="I72" i="19" s="1"/>
  <c r="BP222" i="20"/>
  <c r="BP95" i="20"/>
  <c r="BP116" i="20"/>
  <c r="AR12" i="20"/>
  <c r="AP223" i="20"/>
  <c r="BP47" i="20"/>
  <c r="BP256" i="20"/>
  <c r="S32" i="19"/>
  <c r="L68" i="19" s="1"/>
  <c r="O68" i="19" s="1"/>
  <c r="BR70" i="20"/>
  <c r="BV70" i="20" s="1"/>
  <c r="AP247" i="20"/>
  <c r="BR164" i="20"/>
  <c r="BR212" i="20"/>
  <c r="BR165" i="20"/>
  <c r="BR166" i="20"/>
  <c r="BR197" i="20"/>
  <c r="BR196" i="20"/>
  <c r="AP37" i="20"/>
  <c r="AP36" i="20"/>
  <c r="BR19" i="20"/>
  <c r="BR18" i="20"/>
  <c r="BR66" i="20"/>
  <c r="BR65" i="20"/>
  <c r="AR144" i="20"/>
  <c r="AR143" i="20"/>
  <c r="BR93" i="20"/>
  <c r="BR94" i="20"/>
  <c r="BP225" i="20"/>
  <c r="BP224" i="20"/>
  <c r="BP209" i="20"/>
  <c r="BP210" i="20"/>
  <c r="AP69" i="20"/>
  <c r="AS69" i="20" s="1"/>
  <c r="AT69" i="20" s="1"/>
  <c r="R66" i="20" s="1"/>
  <c r="AP68" i="20"/>
  <c r="AP49" i="20"/>
  <c r="AP48" i="20"/>
  <c r="AS48" i="20" s="1"/>
  <c r="AT48" i="20" s="1"/>
  <c r="Q61" i="20" s="1"/>
  <c r="AP242" i="20"/>
  <c r="AP243" i="20"/>
  <c r="AR243" i="20"/>
  <c r="BP118" i="20"/>
  <c r="BP129" i="20"/>
  <c r="BP128" i="20"/>
  <c r="BP14" i="20"/>
  <c r="BP13" i="20"/>
  <c r="O18" i="20"/>
  <c r="AP135" i="20"/>
  <c r="AP136" i="20"/>
  <c r="BP45" i="20"/>
  <c r="BP46" i="20"/>
  <c r="BR128" i="20"/>
  <c r="BR127" i="20"/>
  <c r="AP143" i="20"/>
  <c r="AP144" i="20"/>
  <c r="BP216" i="20"/>
  <c r="BP215" i="20"/>
  <c r="AP182" i="20"/>
  <c r="AP100" i="20"/>
  <c r="AP101" i="20"/>
  <c r="AR30" i="20"/>
  <c r="AR29" i="20"/>
  <c r="AR37" i="20"/>
  <c r="AV37" i="20" s="1"/>
  <c r="AR36" i="20"/>
  <c r="AP146" i="20"/>
  <c r="AP145" i="20"/>
  <c r="G68" i="19"/>
  <c r="Q32" i="19"/>
  <c r="BR61" i="20"/>
  <c r="BR62" i="20"/>
  <c r="AP160" i="20"/>
  <c r="AP159" i="20"/>
  <c r="AS159" i="20" s="1"/>
  <c r="AT159" i="20" s="1"/>
  <c r="BP69" i="20"/>
  <c r="BP68" i="20"/>
  <c r="AR194" i="20"/>
  <c r="AR193" i="20"/>
  <c r="AP225" i="20"/>
  <c r="AP94" i="20"/>
  <c r="AP93" i="20"/>
  <c r="AP31" i="20"/>
  <c r="AR78" i="20"/>
  <c r="AR79" i="20"/>
  <c r="AP174" i="20"/>
  <c r="BP166" i="20"/>
  <c r="BP167" i="20"/>
  <c r="BP124" i="20"/>
  <c r="AP35" i="20"/>
  <c r="G48" i="19"/>
  <c r="Q12" i="19"/>
  <c r="F62" i="19"/>
  <c r="Q26" i="19"/>
  <c r="BR85" i="20"/>
  <c r="BR86" i="20"/>
  <c r="G47" i="19"/>
  <c r="Q11" i="19"/>
  <c r="F45" i="19"/>
  <c r="Q9" i="19"/>
  <c r="O39" i="20"/>
  <c r="O35" i="20"/>
  <c r="O20" i="20"/>
  <c r="G37" i="20"/>
  <c r="O23" i="20"/>
  <c r="AP150" i="20"/>
  <c r="BR241" i="20"/>
  <c r="AP99" i="20"/>
  <c r="I31" i="20"/>
  <c r="BP242" i="20"/>
  <c r="BP33" i="20"/>
  <c r="AP147" i="20"/>
  <c r="BP196" i="20"/>
  <c r="AR19" i="20"/>
  <c r="AR18" i="20"/>
  <c r="BP181" i="20"/>
  <c r="BP180" i="20"/>
  <c r="AP211" i="20"/>
  <c r="AP210" i="20"/>
  <c r="AP53" i="20"/>
  <c r="AP52" i="20"/>
  <c r="AR224" i="20"/>
  <c r="AR223" i="20"/>
  <c r="AP18" i="20"/>
  <c r="AP19" i="20"/>
  <c r="BP161" i="20"/>
  <c r="BP160" i="20"/>
  <c r="AR99" i="20"/>
  <c r="AR98" i="20"/>
  <c r="BR213" i="20"/>
  <c r="BR215" i="20"/>
  <c r="BR34" i="20"/>
  <c r="BR33" i="20"/>
  <c r="AR242" i="20"/>
  <c r="BR206" i="20"/>
  <c r="BP142" i="20"/>
  <c r="BP143" i="20"/>
  <c r="AP163" i="20"/>
  <c r="AP162" i="20"/>
  <c r="BR11" i="20"/>
  <c r="BR10" i="20"/>
  <c r="BP28" i="20"/>
  <c r="BP29" i="20"/>
  <c r="AR207" i="20"/>
  <c r="AP213" i="20"/>
  <c r="AP214" i="20"/>
  <c r="AR197" i="20"/>
  <c r="AR196" i="20"/>
  <c r="BP50" i="20"/>
  <c r="BP49" i="20"/>
  <c r="BP94" i="20"/>
  <c r="BP93" i="20"/>
  <c r="AP16" i="20"/>
  <c r="O26" i="20"/>
  <c r="AR67" i="20"/>
  <c r="F70" i="19"/>
  <c r="Q34" i="19"/>
  <c r="AR228" i="20"/>
  <c r="AR227" i="20"/>
  <c r="BP54" i="20"/>
  <c r="BP53" i="20"/>
  <c r="AP167" i="20"/>
  <c r="BP198" i="20"/>
  <c r="BP194" i="20"/>
  <c r="AP134" i="20"/>
  <c r="AP133" i="20"/>
  <c r="AS133" i="20" s="1"/>
  <c r="AT133" i="20" s="1"/>
  <c r="BP111" i="20"/>
  <c r="BP110" i="20"/>
  <c r="O38" i="20"/>
  <c r="BP163" i="20"/>
  <c r="BP164" i="20"/>
  <c r="BP108" i="20"/>
  <c r="BR211" i="20"/>
  <c r="BR210" i="20"/>
  <c r="O9" i="20"/>
  <c r="G35" i="20"/>
  <c r="G36" i="20"/>
  <c r="AP130" i="20"/>
  <c r="AP131" i="20"/>
  <c r="AR60" i="20"/>
  <c r="AR61" i="20"/>
  <c r="AP183" i="20"/>
  <c r="AP184" i="20"/>
  <c r="AR102" i="20"/>
  <c r="AR103" i="20"/>
  <c r="AR65" i="20"/>
  <c r="AR64" i="20"/>
  <c r="F67" i="19"/>
  <c r="Q31" i="19"/>
  <c r="BP227" i="20"/>
  <c r="BP228" i="20"/>
  <c r="O31" i="20"/>
  <c r="BR152" i="20"/>
  <c r="BR153" i="20"/>
  <c r="BV153" i="20" s="1"/>
  <c r="O25" i="20"/>
  <c r="AP96" i="20"/>
  <c r="BP177" i="20"/>
  <c r="BP176" i="20"/>
  <c r="BR194" i="20"/>
  <c r="BP179" i="20"/>
  <c r="BP207" i="20"/>
  <c r="S6" i="19"/>
  <c r="V6" i="19" s="1"/>
  <c r="N6" i="19"/>
  <c r="S36" i="19"/>
  <c r="V36" i="19" s="1"/>
  <c r="Q14" i="19"/>
  <c r="BP17" i="20"/>
  <c r="AP33" i="20"/>
  <c r="BP114" i="20"/>
  <c r="AP224" i="20"/>
  <c r="BP239" i="20"/>
  <c r="BP241" i="20"/>
  <c r="I34" i="20"/>
  <c r="I35" i="20"/>
  <c r="Q16" i="19"/>
  <c r="N32" i="19"/>
  <c r="BP51" i="20"/>
  <c r="AR11" i="20"/>
  <c r="BP195" i="20"/>
  <c r="AR45" i="20"/>
  <c r="AP229" i="20"/>
  <c r="AP110" i="20"/>
  <c r="AR164" i="20"/>
  <c r="AP207" i="20"/>
  <c r="AR238" i="20"/>
  <c r="BR96" i="20"/>
  <c r="AP237" i="20"/>
  <c r="AP165" i="20"/>
  <c r="G38" i="20"/>
  <c r="J38" i="20" s="1"/>
  <c r="AR162" i="20"/>
  <c r="BR208" i="20"/>
  <c r="AP189" i="20"/>
  <c r="O19" i="20"/>
  <c r="BP158" i="20"/>
  <c r="AP173" i="20"/>
  <c r="BP113" i="20"/>
  <c r="BR50" i="20"/>
  <c r="AP111" i="20"/>
  <c r="BP67" i="20"/>
  <c r="BP27" i="20"/>
  <c r="BR161" i="20"/>
  <c r="BP183" i="20"/>
  <c r="BP212" i="20"/>
  <c r="AR222" i="20"/>
  <c r="O36" i="20"/>
  <c r="BR101" i="20"/>
  <c r="BV101" i="20" s="1"/>
  <c r="AR20" i="20"/>
  <c r="AV20" i="20" s="1"/>
  <c r="AP64" i="20"/>
  <c r="BP127" i="20"/>
  <c r="AP97" i="20"/>
  <c r="AR35" i="20"/>
  <c r="AP27" i="20"/>
  <c r="AR15" i="20"/>
  <c r="AR158" i="20"/>
  <c r="AR150" i="20"/>
  <c r="BP38" i="20"/>
  <c r="BR150" i="20"/>
  <c r="AP166" i="20"/>
  <c r="BP96" i="20"/>
  <c r="AR152" i="20"/>
  <c r="AV152" i="20" s="1"/>
  <c r="BR229" i="20"/>
  <c r="BP259" i="20"/>
  <c r="AR63" i="20"/>
  <c r="BR143" i="20"/>
  <c r="BR222" i="20"/>
  <c r="AR206" i="20"/>
  <c r="AR239" i="20"/>
  <c r="BR181" i="20"/>
  <c r="BP146" i="20"/>
  <c r="BR142" i="20"/>
  <c r="AP14" i="20"/>
  <c r="AR47" i="20"/>
  <c r="BP257" i="20"/>
  <c r="BR162" i="20"/>
  <c r="AP12" i="20"/>
  <c r="BP144" i="20"/>
  <c r="BR132" i="20"/>
  <c r="BR112" i="20"/>
  <c r="AP191" i="20"/>
  <c r="BP19" i="20"/>
  <c r="AP30" i="20"/>
  <c r="AP83" i="20"/>
  <c r="BP20" i="20"/>
  <c r="AR62" i="20"/>
  <c r="BR178" i="20"/>
  <c r="BR116" i="20"/>
  <c r="AP157" i="20"/>
  <c r="AR230" i="20"/>
  <c r="AR131" i="20"/>
  <c r="AP102" i="20"/>
  <c r="AR134" i="20"/>
  <c r="O40" i="20"/>
  <c r="BP258" i="20"/>
  <c r="AR213" i="20"/>
  <c r="BR46" i="20"/>
  <c r="AP128" i="20"/>
  <c r="AP67" i="20"/>
  <c r="BR209" i="20"/>
  <c r="BP97" i="20"/>
  <c r="AR14" i="20"/>
  <c r="AP132" i="20"/>
  <c r="AR210" i="20"/>
  <c r="AR167" i="20"/>
  <c r="BP112" i="20"/>
  <c r="AP65" i="20"/>
  <c r="BP84" i="20"/>
  <c r="BR147" i="20"/>
  <c r="BR133" i="20"/>
  <c r="AP239" i="20"/>
  <c r="BR30" i="20"/>
  <c r="AR231" i="20"/>
  <c r="AR114" i="20"/>
  <c r="BP147" i="20"/>
  <c r="BR223" i="20"/>
  <c r="H13" i="14"/>
  <c r="H11" i="14"/>
  <c r="H9" i="14"/>
  <c r="H10" i="14"/>
  <c r="H8" i="14"/>
  <c r="H12" i="14"/>
  <c r="X26" i="17"/>
  <c r="Y26" i="17" s="1"/>
  <c r="W26" i="17"/>
  <c r="X25" i="17"/>
  <c r="Y25" i="17" s="1"/>
  <c r="W25" i="17"/>
  <c r="X24" i="17"/>
  <c r="Y24" i="17" s="1"/>
  <c r="W24" i="17"/>
  <c r="X22" i="17"/>
  <c r="Y22" i="17" s="1"/>
  <c r="W22" i="17"/>
  <c r="X21" i="17"/>
  <c r="W21" i="17"/>
  <c r="X19" i="17"/>
  <c r="Y19" i="17" s="1"/>
  <c r="W19" i="17"/>
  <c r="X18" i="17"/>
  <c r="Y18" i="17" s="1"/>
  <c r="W18" i="17"/>
  <c r="X17" i="17"/>
  <c r="Y17" i="17" s="1"/>
  <c r="W17" i="17"/>
  <c r="X16" i="17"/>
  <c r="Y16" i="17" s="1"/>
  <c r="W16" i="17"/>
  <c r="X15" i="17"/>
  <c r="Y15" i="17" s="1"/>
  <c r="W15" i="17"/>
  <c r="X14" i="17"/>
  <c r="Y14" i="17" s="1"/>
  <c r="W14" i="17"/>
  <c r="X13" i="17"/>
  <c r="Y13" i="17" s="1"/>
  <c r="W13" i="17"/>
  <c r="X11" i="17"/>
  <c r="Y11" i="17" s="1"/>
  <c r="W11" i="17"/>
  <c r="X10" i="17"/>
  <c r="Y10" i="17" s="1"/>
  <c r="W10" i="17"/>
  <c r="X9" i="17"/>
  <c r="Y9" i="17" s="1"/>
  <c r="W9" i="17"/>
  <c r="X7" i="17"/>
  <c r="Y7" i="17" s="1"/>
  <c r="W7" i="17"/>
  <c r="W6" i="17"/>
  <c r="AK22" i="17"/>
  <c r="AL22" i="17" s="1"/>
  <c r="AM22" i="17" s="1"/>
  <c r="AJ22" i="17"/>
  <c r="AK21" i="17"/>
  <c r="AL21" i="17" s="1"/>
  <c r="AM21" i="17" s="1"/>
  <c r="AJ21" i="17"/>
  <c r="AK19" i="17"/>
  <c r="AL19" i="17" s="1"/>
  <c r="AM19" i="17" s="1"/>
  <c r="AJ19" i="17"/>
  <c r="AK18" i="17"/>
  <c r="AL18" i="17" s="1"/>
  <c r="AM18" i="17" s="1"/>
  <c r="AJ18" i="17"/>
  <c r="AK17" i="17"/>
  <c r="AL17" i="17" s="1"/>
  <c r="AM17" i="17" s="1"/>
  <c r="AJ17" i="17"/>
  <c r="AK16" i="17"/>
  <c r="AL16" i="17" s="1"/>
  <c r="AM16" i="17" s="1"/>
  <c r="AJ16" i="17"/>
  <c r="AK15" i="17"/>
  <c r="AL15" i="17" s="1"/>
  <c r="AM15" i="17" s="1"/>
  <c r="AJ15" i="17"/>
  <c r="AK14" i="17"/>
  <c r="AL14" i="17" s="1"/>
  <c r="AM14" i="17" s="1"/>
  <c r="AJ14" i="17"/>
  <c r="AK13" i="17"/>
  <c r="AL13" i="17" s="1"/>
  <c r="AM13" i="17" s="1"/>
  <c r="AJ13" i="17"/>
  <c r="AK11" i="17"/>
  <c r="AL11" i="17" s="1"/>
  <c r="AJ11" i="17"/>
  <c r="AK10" i="17"/>
  <c r="AL10" i="17" s="1"/>
  <c r="AM10" i="17" s="1"/>
  <c r="AJ10" i="17"/>
  <c r="AK9" i="17"/>
  <c r="AL9" i="17" s="1"/>
  <c r="AM9" i="17" s="1"/>
  <c r="AJ9" i="17"/>
  <c r="AK7" i="17"/>
  <c r="AL7" i="17" s="1"/>
  <c r="AM7" i="17" s="1"/>
  <c r="AJ7" i="17"/>
  <c r="AL6" i="17"/>
  <c r="AJ6" i="17"/>
  <c r="J7" i="17"/>
  <c r="K7" i="17"/>
  <c r="L7" i="17" s="1"/>
  <c r="J9" i="17"/>
  <c r="K9" i="17"/>
  <c r="L9" i="17" s="1"/>
  <c r="M9" i="17" s="1"/>
  <c r="J11" i="17"/>
  <c r="K11" i="17"/>
  <c r="L11" i="17" s="1"/>
  <c r="M11" i="17" s="1"/>
  <c r="J10" i="17"/>
  <c r="K10" i="17"/>
  <c r="L10" i="17" s="1"/>
  <c r="M10" i="17" s="1"/>
  <c r="J24" i="17"/>
  <c r="K24" i="17"/>
  <c r="L24" i="17" s="1"/>
  <c r="M24" i="17" s="1"/>
  <c r="J13" i="17"/>
  <c r="K13" i="17"/>
  <c r="L13" i="17" s="1"/>
  <c r="M13" i="17" s="1"/>
  <c r="J23" i="17"/>
  <c r="K23" i="17"/>
  <c r="L23" i="17" s="1"/>
  <c r="M23" i="17" s="1"/>
  <c r="J25" i="17"/>
  <c r="K25" i="17"/>
  <c r="L25" i="17" s="1"/>
  <c r="M25" i="17" s="1"/>
  <c r="J26" i="17"/>
  <c r="K26" i="17"/>
  <c r="L26" i="17" s="1"/>
  <c r="M26" i="17" s="1"/>
  <c r="J27" i="17"/>
  <c r="K27" i="17"/>
  <c r="L27" i="17" s="1"/>
  <c r="M27" i="17" s="1"/>
  <c r="J28" i="17"/>
  <c r="K28" i="17"/>
  <c r="L28" i="17" s="1"/>
  <c r="M28" i="17" s="1"/>
  <c r="J30" i="17"/>
  <c r="K30" i="17"/>
  <c r="L30" i="17" s="1"/>
  <c r="M30" i="17" s="1"/>
  <c r="J31" i="17"/>
  <c r="K31" i="17"/>
  <c r="L31" i="17" s="1"/>
  <c r="M31" i="17" s="1"/>
  <c r="J22" i="17"/>
  <c r="K22" i="17"/>
  <c r="L22" i="17" s="1"/>
  <c r="M22" i="17" s="1"/>
  <c r="J32" i="17"/>
  <c r="K32" i="17"/>
  <c r="L32" i="17" s="1"/>
  <c r="J21" i="17"/>
  <c r="K21" i="17"/>
  <c r="L21" i="17" s="1"/>
  <c r="M21" i="17" s="1"/>
  <c r="J17" i="17"/>
  <c r="K17" i="17"/>
  <c r="L17" i="17" s="1"/>
  <c r="M17" i="17" s="1"/>
  <c r="J14" i="17"/>
  <c r="K14" i="17"/>
  <c r="L14" i="17" s="1"/>
  <c r="J18" i="17"/>
  <c r="K18" i="17"/>
  <c r="L18" i="17" s="1"/>
  <c r="M18" i="17" s="1"/>
  <c r="J19" i="17"/>
  <c r="K19" i="17"/>
  <c r="L19" i="17" s="1"/>
  <c r="M19" i="17" s="1"/>
  <c r="J15" i="17"/>
  <c r="K15" i="17"/>
  <c r="L15" i="17" s="1"/>
  <c r="M15" i="17" s="1"/>
  <c r="BD6" i="17"/>
  <c r="BD7" i="17"/>
  <c r="BD8" i="17"/>
  <c r="BD9" i="17"/>
  <c r="BD10" i="17"/>
  <c r="BD11" i="17"/>
  <c r="BD12" i="17"/>
  <c r="BD13" i="17"/>
  <c r="BD14" i="17"/>
  <c r="BD15" i="17"/>
  <c r="BD16" i="17"/>
  <c r="BD17" i="17"/>
  <c r="BD18" i="17"/>
  <c r="BD19" i="17"/>
  <c r="BD20" i="17"/>
  <c r="BD21" i="17"/>
  <c r="BD22" i="17"/>
  <c r="BD23" i="17"/>
  <c r="BD24" i="17"/>
  <c r="BE7" i="17"/>
  <c r="BE8" i="17"/>
  <c r="BE9" i="17"/>
  <c r="BE10" i="17"/>
  <c r="BE11" i="17"/>
  <c r="BE12" i="17"/>
  <c r="BE13" i="17"/>
  <c r="BE14" i="17"/>
  <c r="BE15" i="17"/>
  <c r="BE16" i="17"/>
  <c r="BE17" i="17"/>
  <c r="BE18" i="17"/>
  <c r="BE19" i="17"/>
  <c r="BE20" i="17"/>
  <c r="BE21" i="17"/>
  <c r="BE22" i="17"/>
  <c r="BE23" i="17"/>
  <c r="BE24" i="17"/>
  <c r="BE6" i="17"/>
  <c r="AS53" i="20" l="1"/>
  <c r="AT53" i="20" s="1"/>
  <c r="Q66" i="20" s="1"/>
  <c r="BS29" i="20"/>
  <c r="BT29" i="20" s="1"/>
  <c r="Q102" i="20" s="1"/>
  <c r="BV258" i="20"/>
  <c r="BS158" i="20"/>
  <c r="BT158" i="20" s="1"/>
  <c r="P189" i="20" s="1"/>
  <c r="AV197" i="20"/>
  <c r="BS17" i="20"/>
  <c r="BT17" i="20" s="1"/>
  <c r="P107" i="20" s="1"/>
  <c r="BS243" i="20"/>
  <c r="BT243" i="20" s="1"/>
  <c r="S149" i="20" s="1"/>
  <c r="BS84" i="20"/>
  <c r="BT84" i="20" s="1"/>
  <c r="P152" i="20" s="1"/>
  <c r="BS217" i="20"/>
  <c r="BT217" i="20" s="1"/>
  <c r="R200" i="20" s="1"/>
  <c r="BS117" i="20"/>
  <c r="BT117" i="20" s="1"/>
  <c r="U109" i="20" s="1"/>
  <c r="BS52" i="20"/>
  <c r="BT52" i="20" s="1"/>
  <c r="R108" i="20" s="1"/>
  <c r="AS190" i="20"/>
  <c r="AT190" i="20" s="1"/>
  <c r="V58" i="20" s="1"/>
  <c r="BV168" i="20"/>
  <c r="BV167" i="20" s="1"/>
  <c r="BV166" i="20" s="1"/>
  <c r="BV165" i="20" s="1"/>
  <c r="BV164" i="20" s="1"/>
  <c r="BV163" i="20" s="1"/>
  <c r="BV162" i="20" s="1"/>
  <c r="BV161" i="20" s="1"/>
  <c r="BV160" i="20" s="1"/>
  <c r="BV159" i="20" s="1"/>
  <c r="BV158" i="20" s="1"/>
  <c r="AV53" i="20"/>
  <c r="AV52" i="20" s="1"/>
  <c r="AV51" i="20" s="1"/>
  <c r="AV50" i="20" s="1"/>
  <c r="AV49" i="20" s="1"/>
  <c r="AV48" i="20" s="1"/>
  <c r="AV47" i="20" s="1"/>
  <c r="AV45" i="20" s="1"/>
  <c r="AV44" i="20" s="1"/>
  <c r="AS189" i="20"/>
  <c r="AT189" i="20" s="1"/>
  <c r="V57" i="20" s="1"/>
  <c r="AS198" i="20"/>
  <c r="AT198" i="20" s="1"/>
  <c r="V66" i="20" s="1"/>
  <c r="AS50" i="20"/>
  <c r="AT50" i="20" s="1"/>
  <c r="Q63" i="20" s="1"/>
  <c r="AS83" i="20"/>
  <c r="AT83" i="20" s="1"/>
  <c r="S63" i="20" s="1"/>
  <c r="BS130" i="20"/>
  <c r="BT130" i="20" s="1"/>
  <c r="Q150" i="20" s="1"/>
  <c r="BS228" i="20"/>
  <c r="BT228" i="20" s="1"/>
  <c r="S195" i="20" s="1"/>
  <c r="BS226" i="20"/>
  <c r="BT226" i="20" s="1"/>
  <c r="S193" i="20" s="1"/>
  <c r="BS63" i="20"/>
  <c r="BT63" i="20" s="1"/>
  <c r="S103" i="20" s="1"/>
  <c r="BS20" i="20"/>
  <c r="BU20" i="20" s="1"/>
  <c r="BV19" i="20"/>
  <c r="BV18" i="20" s="1"/>
  <c r="BV17" i="20" s="1"/>
  <c r="BV15" i="20" s="1"/>
  <c r="BV14" i="20" s="1"/>
  <c r="BV13" i="20" s="1"/>
  <c r="BV12" i="20" s="1"/>
  <c r="BV11" i="20" s="1"/>
  <c r="BV10" i="20" s="1"/>
  <c r="AS13" i="20"/>
  <c r="AT13" i="20" s="1"/>
  <c r="O60" i="20" s="1"/>
  <c r="AS229" i="20"/>
  <c r="AT229" i="20" s="1"/>
  <c r="AS130" i="20"/>
  <c r="AT130" i="20" s="1"/>
  <c r="AS115" i="20"/>
  <c r="AT115" i="20" s="1"/>
  <c r="U63" i="20" s="1"/>
  <c r="BS108" i="20"/>
  <c r="BT108" i="20" s="1"/>
  <c r="U100" i="20" s="1"/>
  <c r="BV216" i="20"/>
  <c r="BV215" i="20" s="1"/>
  <c r="BV213" i="20" s="1"/>
  <c r="BV212" i="20" s="1"/>
  <c r="BV211" i="20" s="1"/>
  <c r="BV210" i="20" s="1"/>
  <c r="BV209" i="20" s="1"/>
  <c r="BV208" i="20" s="1"/>
  <c r="BV207" i="20" s="1"/>
  <c r="BV206" i="20" s="1"/>
  <c r="AS81" i="20"/>
  <c r="AT81" i="20" s="1"/>
  <c r="S61" i="20" s="1"/>
  <c r="AS85" i="20"/>
  <c r="AT85" i="20" s="1"/>
  <c r="S65" i="20" s="1"/>
  <c r="BS244" i="20"/>
  <c r="BT244" i="20" s="1"/>
  <c r="AS205" i="20"/>
  <c r="AT205" i="20" s="1"/>
  <c r="AS149" i="20"/>
  <c r="AT149" i="20" s="1"/>
  <c r="AS86" i="20"/>
  <c r="AT86" i="20" s="1"/>
  <c r="S66" i="20" s="1"/>
  <c r="J30" i="20"/>
  <c r="K30" i="20" s="1"/>
  <c r="AS182" i="20"/>
  <c r="AT182" i="20" s="1"/>
  <c r="W66" i="20" s="1"/>
  <c r="BS168" i="20"/>
  <c r="BT168" i="20" s="1"/>
  <c r="P199" i="20" s="1"/>
  <c r="AS245" i="20"/>
  <c r="AT245" i="20" s="1"/>
  <c r="BS239" i="20"/>
  <c r="BT239" i="20" s="1"/>
  <c r="S145" i="20" s="1"/>
  <c r="AS96" i="20"/>
  <c r="AT96" i="20" s="1"/>
  <c r="T60" i="20" s="1"/>
  <c r="AS183" i="20"/>
  <c r="AT183" i="20" s="1"/>
  <c r="W67" i="20" s="1"/>
  <c r="T32" i="19"/>
  <c r="M68" i="19" s="1"/>
  <c r="AS17" i="20"/>
  <c r="AT17" i="20" s="1"/>
  <c r="O64" i="20" s="1"/>
  <c r="AS118" i="20"/>
  <c r="AT118" i="20" s="1"/>
  <c r="U66" i="20" s="1"/>
  <c r="AS161" i="20"/>
  <c r="AT161" i="20" s="1"/>
  <c r="AS227" i="20"/>
  <c r="AT227" i="20" s="1"/>
  <c r="AS175" i="20"/>
  <c r="AT175" i="20" s="1"/>
  <c r="W59" i="20" s="1"/>
  <c r="J32" i="20"/>
  <c r="K32" i="20" s="1"/>
  <c r="BS55" i="20"/>
  <c r="BU55" i="20" s="1"/>
  <c r="BS35" i="20"/>
  <c r="BT35" i="20" s="1"/>
  <c r="Q108" i="20" s="1"/>
  <c r="BS258" i="20"/>
  <c r="BT258" i="20" s="1"/>
  <c r="T146" i="20" s="1"/>
  <c r="AS225" i="20"/>
  <c r="AT225" i="20" s="1"/>
  <c r="AS192" i="20"/>
  <c r="AT192" i="20" s="1"/>
  <c r="V60" i="20" s="1"/>
  <c r="AS226" i="20"/>
  <c r="AT226" i="20" s="1"/>
  <c r="BS192" i="20"/>
  <c r="BT192" i="20" s="1"/>
  <c r="AV245" i="20"/>
  <c r="AV243" i="20" s="1"/>
  <c r="AV242" i="20" s="1"/>
  <c r="AV239" i="20" s="1"/>
  <c r="AV238" i="20" s="1"/>
  <c r="AV237" i="20" s="1"/>
  <c r="AS215" i="20"/>
  <c r="AU215" i="20" s="1"/>
  <c r="AV183" i="20"/>
  <c r="AV182" i="20" s="1"/>
  <c r="AV181" i="20" s="1"/>
  <c r="AV178" i="20" s="1"/>
  <c r="AV175" i="20" s="1"/>
  <c r="AV174" i="20" s="1"/>
  <c r="AV173" i="20" s="1"/>
  <c r="BV184" i="20"/>
  <c r="BV183" i="20" s="1"/>
  <c r="BV182" i="20" s="1"/>
  <c r="BV181" i="20" s="1"/>
  <c r="BV180" i="20" s="1"/>
  <c r="BV179" i="20" s="1"/>
  <c r="BV178" i="20" s="1"/>
  <c r="BV177" i="20" s="1"/>
  <c r="BV176" i="20" s="1"/>
  <c r="AS113" i="20"/>
  <c r="AT113" i="20" s="1"/>
  <c r="U61" i="20" s="1"/>
  <c r="J36" i="20"/>
  <c r="K36" i="20" s="1"/>
  <c r="AS94" i="20"/>
  <c r="AT94" i="20" s="1"/>
  <c r="T58" i="20" s="1"/>
  <c r="J27" i="20"/>
  <c r="K27" i="20" s="1"/>
  <c r="L44" i="19"/>
  <c r="O44" i="19" s="1"/>
  <c r="AS136" i="20"/>
  <c r="AU136" i="20" s="1"/>
  <c r="BS184" i="20"/>
  <c r="BT184" i="20" s="1"/>
  <c r="Q199" i="20" s="1"/>
  <c r="BS238" i="20"/>
  <c r="BT238" i="20" s="1"/>
  <c r="S144" i="20" s="1"/>
  <c r="AV135" i="20"/>
  <c r="AV134" i="20" s="1"/>
  <c r="AV133" i="20" s="1"/>
  <c r="AV132" i="20" s="1"/>
  <c r="AV131" i="20" s="1"/>
  <c r="AV130" i="20" s="1"/>
  <c r="AV129" i="20" s="1"/>
  <c r="AV128" i="20" s="1"/>
  <c r="BS85" i="20"/>
  <c r="BT85" i="20" s="1"/>
  <c r="P153" i="20" s="1"/>
  <c r="AS101" i="20"/>
  <c r="AT101" i="20" s="1"/>
  <c r="T65" i="20" s="1"/>
  <c r="AS44" i="20"/>
  <c r="AT44" i="20" s="1"/>
  <c r="Q57" i="20" s="1"/>
  <c r="BS64" i="20"/>
  <c r="BT64" i="20" s="1"/>
  <c r="S104" i="20" s="1"/>
  <c r="BS159" i="20"/>
  <c r="BT159" i="20" s="1"/>
  <c r="P190" i="20" s="1"/>
  <c r="BS195" i="20"/>
  <c r="BT195" i="20" s="1"/>
  <c r="BS92" i="20"/>
  <c r="BT92" i="20" s="1"/>
  <c r="T100" i="20" s="1"/>
  <c r="BV37" i="20"/>
  <c r="BV36" i="20" s="1"/>
  <c r="BV35" i="20" s="1"/>
  <c r="BV34" i="20" s="1"/>
  <c r="BV33" i="20" s="1"/>
  <c r="BV32" i="20" s="1"/>
  <c r="BV31" i="20" s="1"/>
  <c r="BV30" i="20" s="1"/>
  <c r="BV29" i="20" s="1"/>
  <c r="BV28" i="20" s="1"/>
  <c r="BV27" i="20" s="1"/>
  <c r="AS208" i="20"/>
  <c r="AT208" i="20" s="1"/>
  <c r="BS38" i="20"/>
  <c r="BU38" i="20" s="1"/>
  <c r="BS114" i="20"/>
  <c r="BT114" i="20" s="1"/>
  <c r="U106" i="20" s="1"/>
  <c r="AS135" i="20"/>
  <c r="AT135" i="20" s="1"/>
  <c r="BS256" i="20"/>
  <c r="BT256" i="20" s="1"/>
  <c r="T144" i="20" s="1"/>
  <c r="BS68" i="20"/>
  <c r="BT68" i="20" s="1"/>
  <c r="S108" i="20" s="1"/>
  <c r="BS259" i="20"/>
  <c r="BU259" i="20" s="1"/>
  <c r="I147" i="20" s="1"/>
  <c r="AS31" i="20"/>
  <c r="AT31" i="20" s="1"/>
  <c r="P62" i="20" s="1"/>
  <c r="AS212" i="20"/>
  <c r="AT212" i="20" s="1"/>
  <c r="AS34" i="20"/>
  <c r="AT34" i="20" s="1"/>
  <c r="P65" i="20" s="1"/>
  <c r="AS168" i="20"/>
  <c r="AU168" i="20" s="1"/>
  <c r="BS53" i="20"/>
  <c r="BT53" i="20" s="1"/>
  <c r="R109" i="20" s="1"/>
  <c r="AS98" i="20"/>
  <c r="AT98" i="20" s="1"/>
  <c r="T62" i="20" s="1"/>
  <c r="BS206" i="20"/>
  <c r="BT206" i="20" s="1"/>
  <c r="R189" i="20" s="1"/>
  <c r="AS117" i="20"/>
  <c r="AT117" i="20" s="1"/>
  <c r="U65" i="20" s="1"/>
  <c r="BS132" i="20"/>
  <c r="BT132" i="20" s="1"/>
  <c r="Q152" i="20" s="1"/>
  <c r="AS164" i="20"/>
  <c r="AT164" i="20" s="1"/>
  <c r="AS181" i="20"/>
  <c r="AT181" i="20" s="1"/>
  <c r="W65" i="20" s="1"/>
  <c r="AS228" i="20"/>
  <c r="AT228" i="20" s="1"/>
  <c r="BV118" i="20"/>
  <c r="BV117" i="20" s="1"/>
  <c r="BV116" i="20" s="1"/>
  <c r="BV114" i="20" s="1"/>
  <c r="BV113" i="20" s="1"/>
  <c r="BV112" i="20" s="1"/>
  <c r="BV111" i="20" s="1"/>
  <c r="BV110" i="20" s="1"/>
  <c r="BV109" i="20" s="1"/>
  <c r="BV108" i="20" s="1"/>
  <c r="AS27" i="20"/>
  <c r="AT27" i="20" s="1"/>
  <c r="P58" i="20" s="1"/>
  <c r="BS257" i="20"/>
  <c r="BT257" i="20" s="1"/>
  <c r="T145" i="20" s="1"/>
  <c r="BS224" i="20"/>
  <c r="BT224" i="20" s="1"/>
  <c r="S191" i="20" s="1"/>
  <c r="AS191" i="20"/>
  <c r="AT191" i="20" s="1"/>
  <c r="V59" i="20" s="1"/>
  <c r="AS148" i="20"/>
  <c r="AT148" i="20" s="1"/>
  <c r="AS157" i="20"/>
  <c r="AT157" i="20" s="1"/>
  <c r="AS47" i="20"/>
  <c r="AT47" i="20" s="1"/>
  <c r="Q60" i="20" s="1"/>
  <c r="BS150" i="20"/>
  <c r="BT150" i="20" s="1"/>
  <c r="R152" i="20" s="1"/>
  <c r="AS109" i="20"/>
  <c r="AT109" i="20" s="1"/>
  <c r="U57" i="20" s="1"/>
  <c r="AS195" i="20"/>
  <c r="AT195" i="20" s="1"/>
  <c r="V63" i="20" s="1"/>
  <c r="BV244" i="20"/>
  <c r="BV243" i="20" s="1"/>
  <c r="BV242" i="20" s="1"/>
  <c r="BV241" i="20" s="1"/>
  <c r="BV239" i="20" s="1"/>
  <c r="BV238" i="20" s="1"/>
  <c r="BS60" i="20"/>
  <c r="BT60" i="20" s="1"/>
  <c r="S100" i="20" s="1"/>
  <c r="BV257" i="20"/>
  <c r="BV256" i="20" s="1"/>
  <c r="BS183" i="20"/>
  <c r="BT183" i="20" s="1"/>
  <c r="Q198" i="20" s="1"/>
  <c r="AS60" i="20"/>
  <c r="AT60" i="20" s="1"/>
  <c r="R57" i="20" s="1"/>
  <c r="BS34" i="20"/>
  <c r="BT34" i="20" s="1"/>
  <c r="Q107" i="20" s="1"/>
  <c r="AS147" i="20"/>
  <c r="AT147" i="20" s="1"/>
  <c r="BS86" i="20"/>
  <c r="BT86" i="20" s="1"/>
  <c r="P154" i="20" s="1"/>
  <c r="BS14" i="20"/>
  <c r="BT14" i="20" s="1"/>
  <c r="P104" i="20" s="1"/>
  <c r="AS49" i="20"/>
  <c r="AT49" i="20" s="1"/>
  <c r="Q62" i="20" s="1"/>
  <c r="BS165" i="20"/>
  <c r="BT165" i="20" s="1"/>
  <c r="P196" i="20" s="1"/>
  <c r="AS84" i="20"/>
  <c r="AT84" i="20" s="1"/>
  <c r="S64" i="20" s="1"/>
  <c r="BS148" i="20"/>
  <c r="BT148" i="20" s="1"/>
  <c r="R150" i="20" s="1"/>
  <c r="BS119" i="20"/>
  <c r="BU119" i="20" s="1"/>
  <c r="BS18" i="20"/>
  <c r="BT18" i="20" s="1"/>
  <c r="P108" i="20" s="1"/>
  <c r="AS163" i="20"/>
  <c r="AT163" i="20" s="1"/>
  <c r="BS213" i="20"/>
  <c r="BT213" i="20" s="1"/>
  <c r="R196" i="20" s="1"/>
  <c r="AS211" i="20"/>
  <c r="AT211" i="20" s="1"/>
  <c r="BS242" i="20"/>
  <c r="BT242" i="20" s="1"/>
  <c r="S148" i="20" s="1"/>
  <c r="AS174" i="20"/>
  <c r="AT174" i="20" s="1"/>
  <c r="W58" i="20" s="1"/>
  <c r="BS225" i="20"/>
  <c r="BT225" i="20" s="1"/>
  <c r="S192" i="20" s="1"/>
  <c r="AS80" i="20"/>
  <c r="AT80" i="20" s="1"/>
  <c r="S60" i="20" s="1"/>
  <c r="BV54" i="20"/>
  <c r="BV53" i="20" s="1"/>
  <c r="BV52" i="20" s="1"/>
  <c r="BV51" i="20" s="1"/>
  <c r="BV50" i="20" s="1"/>
  <c r="BV49" i="20" s="1"/>
  <c r="BV48" i="20" s="1"/>
  <c r="BV47" i="20" s="1"/>
  <c r="BV46" i="20" s="1"/>
  <c r="BV45" i="20" s="1"/>
  <c r="BV44" i="20" s="1"/>
  <c r="BS207" i="20"/>
  <c r="BT207" i="20" s="1"/>
  <c r="R190" i="20" s="1"/>
  <c r="BS118" i="20"/>
  <c r="BT118" i="20" s="1"/>
  <c r="U110" i="20" s="1"/>
  <c r="AS114" i="20"/>
  <c r="AT114" i="20" s="1"/>
  <c r="U62" i="20" s="1"/>
  <c r="BS146" i="20"/>
  <c r="BT146" i="20" s="1"/>
  <c r="R148" i="20" s="1"/>
  <c r="AS97" i="20"/>
  <c r="AT97" i="20" s="1"/>
  <c r="T61" i="20" s="1"/>
  <c r="BS54" i="20"/>
  <c r="BT54" i="20" s="1"/>
  <c r="R110" i="20" s="1"/>
  <c r="BS185" i="20"/>
  <c r="BT185" i="20" s="1"/>
  <c r="Q200" i="20" s="1"/>
  <c r="BS182" i="20"/>
  <c r="BT182" i="20" s="1"/>
  <c r="Q197" i="20" s="1"/>
  <c r="AS29" i="20"/>
  <c r="AT29" i="20" s="1"/>
  <c r="P60" i="20" s="1"/>
  <c r="AS68" i="20"/>
  <c r="AT68" i="20" s="1"/>
  <c r="R65" i="20" s="1"/>
  <c r="BS12" i="20"/>
  <c r="BT12" i="20" s="1"/>
  <c r="P102" i="20" s="1"/>
  <c r="J33" i="20"/>
  <c r="K33" i="20" s="1"/>
  <c r="BS100" i="20"/>
  <c r="BT100" i="20" s="1"/>
  <c r="T108" i="20" s="1"/>
  <c r="BS48" i="20"/>
  <c r="BT48" i="20" s="1"/>
  <c r="R104" i="20" s="1"/>
  <c r="BS110" i="20"/>
  <c r="BT110" i="20" s="1"/>
  <c r="U102" i="20" s="1"/>
  <c r="BS230" i="20"/>
  <c r="BT230" i="20" s="1"/>
  <c r="S197" i="20" s="1"/>
  <c r="AS151" i="20"/>
  <c r="AT151" i="20" s="1"/>
  <c r="BS190" i="20"/>
  <c r="BT190" i="20" s="1"/>
  <c r="AS30" i="20"/>
  <c r="AT30" i="20" s="1"/>
  <c r="P61" i="20" s="1"/>
  <c r="AS54" i="20"/>
  <c r="AT54" i="20" s="1"/>
  <c r="Q67" i="20" s="1"/>
  <c r="Q72" i="20" s="1"/>
  <c r="BS11" i="20"/>
  <c r="BT11" i="20" s="1"/>
  <c r="P101" i="20" s="1"/>
  <c r="BS167" i="20"/>
  <c r="BT167" i="20" s="1"/>
  <c r="P198" i="20" s="1"/>
  <c r="AS247" i="20"/>
  <c r="AT247" i="20" s="1"/>
  <c r="BS15" i="20"/>
  <c r="BT15" i="20" s="1"/>
  <c r="P105" i="20" s="1"/>
  <c r="BS44" i="20"/>
  <c r="BT44" i="20" s="1"/>
  <c r="R100" i="20" s="1"/>
  <c r="AS26" i="20"/>
  <c r="AT26" i="20" s="1"/>
  <c r="P57" i="20" s="1"/>
  <c r="AS70" i="20"/>
  <c r="AT70" i="20" s="1"/>
  <c r="R67" i="20" s="1"/>
  <c r="R72" i="20" s="1"/>
  <c r="J29" i="20"/>
  <c r="K29" i="20" s="1"/>
  <c r="BS125" i="20"/>
  <c r="BT125" i="20" s="1"/>
  <c r="Q145" i="20" s="1"/>
  <c r="BS223" i="20"/>
  <c r="BT223" i="20" s="1"/>
  <c r="S190" i="20" s="1"/>
  <c r="AS45" i="20"/>
  <c r="AT45" i="20" s="1"/>
  <c r="Q58" i="20" s="1"/>
  <c r="J34" i="20"/>
  <c r="K34" i="20" s="1"/>
  <c r="BS227" i="20"/>
  <c r="BT227" i="20" s="1"/>
  <c r="S194" i="20" s="1"/>
  <c r="BS163" i="20"/>
  <c r="BT163" i="20" s="1"/>
  <c r="P194" i="20" s="1"/>
  <c r="BS129" i="20"/>
  <c r="BT129" i="20" s="1"/>
  <c r="Q149" i="20" s="1"/>
  <c r="Q160" i="20" s="1"/>
  <c r="BS98" i="20"/>
  <c r="BT98" i="20" s="1"/>
  <c r="T106" i="20" s="1"/>
  <c r="AS32" i="20"/>
  <c r="AT32" i="20" s="1"/>
  <c r="P63" i="20" s="1"/>
  <c r="BS97" i="20"/>
  <c r="BT97" i="20" s="1"/>
  <c r="T105" i="20" s="1"/>
  <c r="BV100" i="20"/>
  <c r="BV98" i="20" s="1"/>
  <c r="BV97" i="20" s="1"/>
  <c r="BV96" i="20" s="1"/>
  <c r="BV95" i="20" s="1"/>
  <c r="BV94" i="20" s="1"/>
  <c r="BV93" i="20" s="1"/>
  <c r="BV92" i="20" s="1"/>
  <c r="AS33" i="20"/>
  <c r="AT33" i="20" s="1"/>
  <c r="P64" i="20" s="1"/>
  <c r="AS52" i="20"/>
  <c r="AT52" i="20" s="1"/>
  <c r="Q65" i="20" s="1"/>
  <c r="BS62" i="20"/>
  <c r="BT62" i="20" s="1"/>
  <c r="S102" i="20" s="1"/>
  <c r="J37" i="20"/>
  <c r="K37" i="20" s="1"/>
  <c r="AS100" i="20"/>
  <c r="AT100" i="20" s="1"/>
  <c r="T64" i="20" s="1"/>
  <c r="AS116" i="20"/>
  <c r="AT116" i="20" s="1"/>
  <c r="U64" i="20" s="1"/>
  <c r="BS134" i="20"/>
  <c r="BT134" i="20" s="1"/>
  <c r="Q154" i="20" s="1"/>
  <c r="AV151" i="20"/>
  <c r="AV150" i="20" s="1"/>
  <c r="AV149" i="20" s="1"/>
  <c r="AV148" i="20" s="1"/>
  <c r="AV147" i="20" s="1"/>
  <c r="AV146" i="20" s="1"/>
  <c r="AV145" i="20" s="1"/>
  <c r="AV144" i="20" s="1"/>
  <c r="AV143" i="20" s="1"/>
  <c r="AS193" i="20"/>
  <c r="AT193" i="20" s="1"/>
  <c r="V61" i="20" s="1"/>
  <c r="AS66" i="20"/>
  <c r="AT66" i="20" s="1"/>
  <c r="R63" i="20" s="1"/>
  <c r="AS95" i="20"/>
  <c r="AT95" i="20" s="1"/>
  <c r="T59" i="20" s="1"/>
  <c r="BS36" i="20"/>
  <c r="BT36" i="20" s="1"/>
  <c r="Q109" i="20" s="1"/>
  <c r="AS112" i="20"/>
  <c r="AT112" i="20" s="1"/>
  <c r="U60" i="20" s="1"/>
  <c r="BS49" i="20"/>
  <c r="BT49" i="20" s="1"/>
  <c r="R105" i="20" s="1"/>
  <c r="BS46" i="20"/>
  <c r="BT46" i="20" s="1"/>
  <c r="R102" i="20" s="1"/>
  <c r="AS230" i="20"/>
  <c r="AT230" i="20" s="1"/>
  <c r="BS144" i="20"/>
  <c r="BT144" i="20" s="1"/>
  <c r="R146" i="20" s="1"/>
  <c r="AS79" i="20"/>
  <c r="AT79" i="20" s="1"/>
  <c r="S59" i="20" s="1"/>
  <c r="BS95" i="20"/>
  <c r="BT95" i="20" s="1"/>
  <c r="T103" i="20" s="1"/>
  <c r="AS12" i="20"/>
  <c r="AT12" i="20" s="1"/>
  <c r="O59" i="20" s="1"/>
  <c r="BS93" i="20"/>
  <c r="BT93" i="20" s="1"/>
  <c r="T101" i="20" s="1"/>
  <c r="AS196" i="20"/>
  <c r="AT196" i="20" s="1"/>
  <c r="V64" i="20" s="1"/>
  <c r="M32" i="17"/>
  <c r="BS211" i="20"/>
  <c r="BT211" i="20" s="1"/>
  <c r="R194" i="20" s="1"/>
  <c r="BS180" i="20"/>
  <c r="BT180" i="20" s="1"/>
  <c r="Q195" i="20" s="1"/>
  <c r="T8" i="19"/>
  <c r="M44" i="19" s="1"/>
  <c r="BS116" i="20"/>
  <c r="BT116" i="20" s="1"/>
  <c r="U108" i="20" s="1"/>
  <c r="BS215" i="20"/>
  <c r="BT215" i="20" s="1"/>
  <c r="R198" i="20" s="1"/>
  <c r="AS194" i="20"/>
  <c r="AT194" i="20" s="1"/>
  <c r="V62" i="20" s="1"/>
  <c r="AV103" i="20"/>
  <c r="AV102" i="20" s="1"/>
  <c r="AV101" i="20" s="1"/>
  <c r="AV100" i="20" s="1"/>
  <c r="AV99" i="20" s="1"/>
  <c r="AV98" i="20" s="1"/>
  <c r="AV97" i="20" s="1"/>
  <c r="AV96" i="20" s="1"/>
  <c r="AV95" i="20" s="1"/>
  <c r="AV94" i="20" s="1"/>
  <c r="AV93" i="20" s="1"/>
  <c r="J31" i="20"/>
  <c r="K31" i="20" s="1"/>
  <c r="BS151" i="20"/>
  <c r="BT151" i="20" s="1"/>
  <c r="R153" i="20" s="1"/>
  <c r="BS69" i="20"/>
  <c r="BT69" i="20" s="1"/>
  <c r="S109" i="20" s="1"/>
  <c r="BS13" i="20"/>
  <c r="BT13" i="20" s="1"/>
  <c r="P103" i="20" s="1"/>
  <c r="AV117" i="20"/>
  <c r="AV116" i="20" s="1"/>
  <c r="AV115" i="20" s="1"/>
  <c r="AV114" i="20" s="1"/>
  <c r="AV113" i="20" s="1"/>
  <c r="AV112" i="20" s="1"/>
  <c r="AV111" i="20" s="1"/>
  <c r="AV110" i="20" s="1"/>
  <c r="AV109" i="20" s="1"/>
  <c r="AS104" i="20"/>
  <c r="AT104" i="20" s="1"/>
  <c r="T68" i="20" s="1"/>
  <c r="AS173" i="20"/>
  <c r="AT173" i="20" s="1"/>
  <c r="W57" i="20" s="1"/>
  <c r="BS208" i="20"/>
  <c r="BT208" i="20" s="1"/>
  <c r="R191" i="20" s="1"/>
  <c r="AS237" i="20"/>
  <c r="AT237" i="20" s="1"/>
  <c r="BS94" i="20"/>
  <c r="BT94" i="20" s="1"/>
  <c r="T102" i="20" s="1"/>
  <c r="AS223" i="20"/>
  <c r="AT223" i="20" s="1"/>
  <c r="AS77" i="20"/>
  <c r="AT77" i="20" s="1"/>
  <c r="S57" i="20" s="1"/>
  <c r="BS191" i="20"/>
  <c r="BT191" i="20" s="1"/>
  <c r="AS134" i="20"/>
  <c r="AT134" i="20" s="1"/>
  <c r="BS70" i="20"/>
  <c r="BT70" i="20" s="1"/>
  <c r="S110" i="20" s="1"/>
  <c r="AS102" i="20"/>
  <c r="AT102" i="20" s="1"/>
  <c r="T66" i="20" s="1"/>
  <c r="BS181" i="20"/>
  <c r="BT181" i="20" s="1"/>
  <c r="Q196" i="20" s="1"/>
  <c r="AS110" i="20"/>
  <c r="AT110" i="20" s="1"/>
  <c r="U58" i="20" s="1"/>
  <c r="BS176" i="20"/>
  <c r="BT176" i="20" s="1"/>
  <c r="Q191" i="20" s="1"/>
  <c r="AS93" i="20"/>
  <c r="AT93" i="20" s="1"/>
  <c r="T57" i="20" s="1"/>
  <c r="BS45" i="20"/>
  <c r="BT45" i="20" s="1"/>
  <c r="R101" i="20" s="1"/>
  <c r="AS146" i="20"/>
  <c r="AT146" i="20" s="1"/>
  <c r="BS124" i="20"/>
  <c r="BT124" i="20" s="1"/>
  <c r="Q144" i="20" s="1"/>
  <c r="T6" i="19"/>
  <c r="BS179" i="20"/>
  <c r="BT179" i="20" s="1"/>
  <c r="Q194" i="20" s="1"/>
  <c r="BV231" i="20"/>
  <c r="BV230" i="20" s="1"/>
  <c r="BV229" i="20" s="1"/>
  <c r="BV228" i="20" s="1"/>
  <c r="BV227" i="20" s="1"/>
  <c r="BV226" i="20" s="1"/>
  <c r="BV225" i="20" s="1"/>
  <c r="BV224" i="20" s="1"/>
  <c r="BV223" i="20" s="1"/>
  <c r="BV222" i="20" s="1"/>
  <c r="AS145" i="20"/>
  <c r="AT145" i="20" s="1"/>
  <c r="BV197" i="20"/>
  <c r="BV196" i="20" s="1"/>
  <c r="BV195" i="20" s="1"/>
  <c r="BV194" i="20" s="1"/>
  <c r="BV192" i="20" s="1"/>
  <c r="BV191" i="20" s="1"/>
  <c r="BV190" i="20" s="1"/>
  <c r="BS246" i="20"/>
  <c r="BT246" i="20" s="1"/>
  <c r="S152" i="20" s="1"/>
  <c r="BS231" i="20"/>
  <c r="BT231" i="20" s="1"/>
  <c r="S198" i="20" s="1"/>
  <c r="AS214" i="20"/>
  <c r="AT214" i="20" s="1"/>
  <c r="V32" i="19"/>
  <c r="BV86" i="20"/>
  <c r="BV85" i="20" s="1"/>
  <c r="BV84" i="20" s="1"/>
  <c r="P6" i="19"/>
  <c r="R6" i="19" s="1"/>
  <c r="U6" i="19" s="1"/>
  <c r="BT169" i="20"/>
  <c r="P200" i="20" s="1"/>
  <c r="AS62" i="20"/>
  <c r="AT62" i="20" s="1"/>
  <c r="R59" i="20" s="1"/>
  <c r="BS222" i="20"/>
  <c r="BT222" i="20" s="1"/>
  <c r="S189" i="20" s="1"/>
  <c r="AS158" i="20"/>
  <c r="AT158" i="20" s="1"/>
  <c r="BS212" i="20"/>
  <c r="BT212" i="20" s="1"/>
  <c r="R195" i="20" s="1"/>
  <c r="BS67" i="20"/>
  <c r="BT67" i="20" s="1"/>
  <c r="S107" i="20" s="1"/>
  <c r="BV134" i="20"/>
  <c r="BV133" i="20" s="1"/>
  <c r="BV132" i="20" s="1"/>
  <c r="BV130" i="20" s="1"/>
  <c r="BV129" i="20" s="1"/>
  <c r="BV128" i="20" s="1"/>
  <c r="BV127" i="20" s="1"/>
  <c r="BV126" i="20" s="1"/>
  <c r="BV125" i="20" s="1"/>
  <c r="BV124" i="20" s="1"/>
  <c r="AS197" i="20"/>
  <c r="AT197" i="20" s="1"/>
  <c r="V65" i="20" s="1"/>
  <c r="AS15" i="20"/>
  <c r="AT15" i="20" s="1"/>
  <c r="O62" i="20" s="1"/>
  <c r="AS111" i="20"/>
  <c r="AT111" i="20" s="1"/>
  <c r="U59" i="20" s="1"/>
  <c r="BS232" i="20"/>
  <c r="BU232" i="20" s="1"/>
  <c r="AV196" i="20"/>
  <c r="AV195" i="20" s="1"/>
  <c r="AV194" i="20" s="1"/>
  <c r="AV193" i="20" s="1"/>
  <c r="AV192" i="20" s="1"/>
  <c r="AV191" i="20" s="1"/>
  <c r="AV190" i="20" s="1"/>
  <c r="AV189" i="20" s="1"/>
  <c r="AV36" i="20"/>
  <c r="AV35" i="20" s="1"/>
  <c r="AV34" i="20" s="1"/>
  <c r="AV33" i="20" s="1"/>
  <c r="AV32" i="20" s="1"/>
  <c r="AV31" i="20" s="1"/>
  <c r="AV30" i="20" s="1"/>
  <c r="AV29" i="20" s="1"/>
  <c r="AV28" i="20" s="1"/>
  <c r="AV27" i="20" s="1"/>
  <c r="AV26" i="20" s="1"/>
  <c r="BS128" i="20"/>
  <c r="BT128" i="20" s="1"/>
  <c r="Q148" i="20" s="1"/>
  <c r="AS82" i="20"/>
  <c r="AT82" i="20" s="1"/>
  <c r="S62" i="20" s="1"/>
  <c r="BS142" i="20"/>
  <c r="BT142" i="20" s="1"/>
  <c r="R144" i="20" s="1"/>
  <c r="BS166" i="20"/>
  <c r="BT166" i="20" s="1"/>
  <c r="P197" i="20" s="1"/>
  <c r="AS144" i="20"/>
  <c r="AT144" i="20" s="1"/>
  <c r="AS10" i="20"/>
  <c r="AT10" i="20" s="1"/>
  <c r="O57" i="20" s="1"/>
  <c r="BS87" i="20"/>
  <c r="BU87" i="20" s="1"/>
  <c r="E155" i="20" s="1"/>
  <c r="BS196" i="20"/>
  <c r="BT196" i="20" s="1"/>
  <c r="AS160" i="20"/>
  <c r="AT160" i="20" s="1"/>
  <c r="BS229" i="20"/>
  <c r="BT229" i="20" s="1"/>
  <c r="S196" i="20" s="1"/>
  <c r="AS11" i="20"/>
  <c r="AT11" i="20" s="1"/>
  <c r="O58" i="20" s="1"/>
  <c r="BS210" i="20"/>
  <c r="BT210" i="20" s="1"/>
  <c r="R193" i="20" s="1"/>
  <c r="BS28" i="20"/>
  <c r="BT28" i="20" s="1"/>
  <c r="Q101" i="20" s="1"/>
  <c r="BS66" i="20"/>
  <c r="BT66" i="20" s="1"/>
  <c r="S106" i="20" s="1"/>
  <c r="BS32" i="20"/>
  <c r="BT32" i="20" s="1"/>
  <c r="Q105" i="20" s="1"/>
  <c r="BS162" i="20"/>
  <c r="BT162" i="20" s="1"/>
  <c r="P193" i="20" s="1"/>
  <c r="BS10" i="20"/>
  <c r="BT10" i="20" s="1"/>
  <c r="P100" i="20" s="1"/>
  <c r="AV231" i="20"/>
  <c r="AV230" i="20" s="1"/>
  <c r="AV229" i="20" s="1"/>
  <c r="AV228" i="20" s="1"/>
  <c r="AV227" i="20" s="1"/>
  <c r="AV226" i="20" s="1"/>
  <c r="AV225" i="20" s="1"/>
  <c r="AV224" i="20" s="1"/>
  <c r="AV223" i="20" s="1"/>
  <c r="AV222" i="20" s="1"/>
  <c r="AS67" i="20"/>
  <c r="AT67" i="20" s="1"/>
  <c r="R64" i="20" s="1"/>
  <c r="AS131" i="20"/>
  <c r="AS206" i="20"/>
  <c r="AT206" i="20" s="1"/>
  <c r="BS113" i="20"/>
  <c r="BT113" i="20" s="1"/>
  <c r="U105" i="20" s="1"/>
  <c r="BS216" i="20"/>
  <c r="BT216" i="20" s="1"/>
  <c r="R199" i="20" s="1"/>
  <c r="AS243" i="20"/>
  <c r="AT243" i="20" s="1"/>
  <c r="AS132" i="20"/>
  <c r="AT132" i="20" s="1"/>
  <c r="BS27" i="20"/>
  <c r="BT27" i="20" s="1"/>
  <c r="Q100" i="20" s="1"/>
  <c r="AS36" i="20"/>
  <c r="AT36" i="20" s="1"/>
  <c r="P67" i="20" s="1"/>
  <c r="BV69" i="20"/>
  <c r="BV68" i="20" s="1"/>
  <c r="BV67" i="20" s="1"/>
  <c r="BV66" i="20" s="1"/>
  <c r="BV65" i="20" s="1"/>
  <c r="BV64" i="20" s="1"/>
  <c r="BV63" i="20" s="1"/>
  <c r="BV62" i="20" s="1"/>
  <c r="BV61" i="20" s="1"/>
  <c r="BV60" i="20" s="1"/>
  <c r="AV19" i="20"/>
  <c r="AV18" i="20" s="1"/>
  <c r="AV17" i="20" s="1"/>
  <c r="AV16" i="20" s="1"/>
  <c r="AV15" i="20" s="1"/>
  <c r="AV14" i="20" s="1"/>
  <c r="AV13" i="20" s="1"/>
  <c r="AV12" i="20" s="1"/>
  <c r="AV11" i="20" s="1"/>
  <c r="AV10" i="20" s="1"/>
  <c r="BS109" i="20"/>
  <c r="BT109" i="20" s="1"/>
  <c r="U101" i="20" s="1"/>
  <c r="AV70" i="20"/>
  <c r="AV69" i="20" s="1"/>
  <c r="AV68" i="20" s="1"/>
  <c r="AV67" i="20" s="1"/>
  <c r="AV66" i="20" s="1"/>
  <c r="AV65" i="20" s="1"/>
  <c r="AV64" i="20" s="1"/>
  <c r="AV63" i="20" s="1"/>
  <c r="AV62" i="20" s="1"/>
  <c r="AV61" i="20" s="1"/>
  <c r="AV60" i="20" s="1"/>
  <c r="BS152" i="20"/>
  <c r="BT152" i="20" s="1"/>
  <c r="R154" i="20" s="1"/>
  <c r="AS87" i="20"/>
  <c r="AT87" i="20" s="1"/>
  <c r="S67" i="20" s="1"/>
  <c r="BS31" i="20"/>
  <c r="BT31" i="20" s="1"/>
  <c r="Q104" i="20" s="1"/>
  <c r="BS65" i="20"/>
  <c r="BT65" i="20" s="1"/>
  <c r="S105" i="20" s="1"/>
  <c r="BS47" i="20"/>
  <c r="BT47" i="20" s="1"/>
  <c r="R103" i="20" s="1"/>
  <c r="P36" i="19"/>
  <c r="R36" i="19" s="1"/>
  <c r="U36" i="19" s="1"/>
  <c r="AS184" i="20"/>
  <c r="AT184" i="20" s="1"/>
  <c r="W68" i="20" s="1"/>
  <c r="N72" i="19"/>
  <c r="BS133" i="20"/>
  <c r="BT133" i="20" s="1"/>
  <c r="Q153" i="20" s="1"/>
  <c r="BS209" i="20"/>
  <c r="BT209" i="20" s="1"/>
  <c r="R192" i="20" s="1"/>
  <c r="AS166" i="20"/>
  <c r="AT166" i="20" s="1"/>
  <c r="BS177" i="20"/>
  <c r="BT177" i="20" s="1"/>
  <c r="Q192" i="20" s="1"/>
  <c r="AS103" i="20"/>
  <c r="AT103" i="20" s="1"/>
  <c r="T67" i="20" s="1"/>
  <c r="AS61" i="20"/>
  <c r="AT61" i="20" s="1"/>
  <c r="R58" i="20" s="1"/>
  <c r="AS16" i="20"/>
  <c r="AT16" i="20" s="1"/>
  <c r="O63" i="20" s="1"/>
  <c r="P8" i="19"/>
  <c r="R8" i="19" s="1"/>
  <c r="U8" i="19" s="1"/>
  <c r="BS153" i="20"/>
  <c r="BU153" i="20" s="1"/>
  <c r="AS238" i="20"/>
  <c r="AT238" i="20" s="1"/>
  <c r="AV87" i="20"/>
  <c r="AV86" i="20" s="1"/>
  <c r="AV85" i="20" s="1"/>
  <c r="AV84" i="20" s="1"/>
  <c r="AV83" i="20" s="1"/>
  <c r="AV82" i="20" s="1"/>
  <c r="AV81" i="20" s="1"/>
  <c r="AV80" i="20" s="1"/>
  <c r="AV79" i="20" s="1"/>
  <c r="AV78" i="20" s="1"/>
  <c r="AV77" i="20" s="1"/>
  <c r="H44" i="19"/>
  <c r="N44" i="19" s="1"/>
  <c r="BS178" i="20"/>
  <c r="BT178" i="20" s="1"/>
  <c r="Q193" i="20" s="1"/>
  <c r="L72" i="19"/>
  <c r="O72" i="19" s="1"/>
  <c r="BS30" i="20"/>
  <c r="BT30" i="20" s="1"/>
  <c r="Q103" i="20" s="1"/>
  <c r="Q114" i="20" s="1"/>
  <c r="AS128" i="20"/>
  <c r="AT128" i="20" s="1"/>
  <c r="BS19" i="20"/>
  <c r="BT19" i="20" s="1"/>
  <c r="P109" i="20" s="1"/>
  <c r="AS63" i="20"/>
  <c r="AT63" i="20" s="1"/>
  <c r="R60" i="20" s="1"/>
  <c r="AS222" i="20"/>
  <c r="AT222" i="20" s="1"/>
  <c r="AS165" i="20"/>
  <c r="AT165" i="20" s="1"/>
  <c r="BS51" i="20"/>
  <c r="BT51" i="20" s="1"/>
  <c r="R107" i="20" s="1"/>
  <c r="BS164" i="20"/>
  <c r="BT164" i="20" s="1"/>
  <c r="P195" i="20" s="1"/>
  <c r="BS111" i="20"/>
  <c r="BT111" i="20" s="1"/>
  <c r="U103" i="20" s="1"/>
  <c r="BS198" i="20"/>
  <c r="BT198" i="20" s="1"/>
  <c r="BS160" i="20"/>
  <c r="BT160" i="20" s="1"/>
  <c r="P191" i="20" s="1"/>
  <c r="AS78" i="20"/>
  <c r="AT78" i="20" s="1"/>
  <c r="S58" i="20" s="1"/>
  <c r="BS61" i="20"/>
  <c r="BT61" i="20" s="1"/>
  <c r="S101" i="20" s="1"/>
  <c r="AS71" i="20"/>
  <c r="AS28" i="20"/>
  <c r="AT28" i="20" s="1"/>
  <c r="P59" i="20" s="1"/>
  <c r="AS51" i="20"/>
  <c r="AT51" i="20" s="1"/>
  <c r="Q64" i="20" s="1"/>
  <c r="AS64" i="20"/>
  <c r="AT64" i="20" s="1"/>
  <c r="R61" i="20" s="1"/>
  <c r="BU71" i="20"/>
  <c r="H111" i="20" s="1"/>
  <c r="BS112" i="20"/>
  <c r="BT112" i="20" s="1"/>
  <c r="U104" i="20" s="1"/>
  <c r="AV214" i="20"/>
  <c r="AV213" i="20" s="1"/>
  <c r="AV212" i="20" s="1"/>
  <c r="AV211" i="20" s="1"/>
  <c r="AV210" i="20" s="1"/>
  <c r="AV208" i="20" s="1"/>
  <c r="AV207" i="20" s="1"/>
  <c r="AV206" i="20" s="1"/>
  <c r="AV205" i="20" s="1"/>
  <c r="BS126" i="20"/>
  <c r="BT126" i="20" s="1"/>
  <c r="Q146" i="20" s="1"/>
  <c r="BS37" i="20"/>
  <c r="BT37" i="20" s="1"/>
  <c r="Q110" i="20" s="1"/>
  <c r="AS232" i="20"/>
  <c r="AS129" i="20"/>
  <c r="AT129" i="20" s="1"/>
  <c r="BS135" i="20"/>
  <c r="AS88" i="20"/>
  <c r="AS239" i="20"/>
  <c r="AT239" i="20" s="1"/>
  <c r="AS224" i="20"/>
  <c r="AT224" i="20" s="1"/>
  <c r="BS33" i="20"/>
  <c r="BT33" i="20" s="1"/>
  <c r="Q106" i="20" s="1"/>
  <c r="AS19" i="20"/>
  <c r="AT19" i="20" s="1"/>
  <c r="O66" i="20" s="1"/>
  <c r="AS143" i="20"/>
  <c r="AT143" i="20" s="1"/>
  <c r="BS194" i="20"/>
  <c r="BT194" i="20" s="1"/>
  <c r="AS99" i="20"/>
  <c r="AT99" i="20" s="1"/>
  <c r="T63" i="20" s="1"/>
  <c r="AS18" i="20"/>
  <c r="AT18" i="20" s="1"/>
  <c r="O65" i="20" s="1"/>
  <c r="BV152" i="20"/>
  <c r="BV151" i="20" s="1"/>
  <c r="BV150" i="20" s="1"/>
  <c r="BV148" i="20" s="1"/>
  <c r="BV147" i="20" s="1"/>
  <c r="BV146" i="20" s="1"/>
  <c r="BV144" i="20" s="1"/>
  <c r="BV143" i="20" s="1"/>
  <c r="BV142" i="20" s="1"/>
  <c r="AS65" i="20"/>
  <c r="AT65" i="20" s="1"/>
  <c r="R62" i="20" s="1"/>
  <c r="AS37" i="20"/>
  <c r="AT37" i="20" s="1"/>
  <c r="P68" i="20" s="1"/>
  <c r="T36" i="19"/>
  <c r="M72" i="19" s="1"/>
  <c r="BS50" i="20"/>
  <c r="BT50" i="20" s="1"/>
  <c r="R106" i="20" s="1"/>
  <c r="BS143" i="20"/>
  <c r="BT143" i="20" s="1"/>
  <c r="R145" i="20" s="1"/>
  <c r="L38" i="20"/>
  <c r="K38" i="20"/>
  <c r="P32" i="19"/>
  <c r="R32" i="19" s="1"/>
  <c r="U32" i="19" s="1"/>
  <c r="AS213" i="20"/>
  <c r="AT213" i="20" s="1"/>
  <c r="AS207" i="20"/>
  <c r="AT207" i="20" s="1"/>
  <c r="AS35" i="20"/>
  <c r="AT35" i="20" s="1"/>
  <c r="P66" i="20" s="1"/>
  <c r="BS127" i="20"/>
  <c r="BT127" i="20" s="1"/>
  <c r="Q147" i="20" s="1"/>
  <c r="BS161" i="20"/>
  <c r="BT161" i="20" s="1"/>
  <c r="P192" i="20" s="1"/>
  <c r="AS162" i="20"/>
  <c r="AT162" i="20" s="1"/>
  <c r="AS152" i="20"/>
  <c r="BS241" i="20"/>
  <c r="BT241" i="20" s="1"/>
  <c r="S147" i="20" s="1"/>
  <c r="BS101" i="20"/>
  <c r="BS197" i="20"/>
  <c r="BT197" i="20" s="1"/>
  <c r="H68" i="19"/>
  <c r="N68" i="19" s="1"/>
  <c r="BS147" i="20"/>
  <c r="BT147" i="20" s="1"/>
  <c r="R149" i="20" s="1"/>
  <c r="AS210" i="20"/>
  <c r="AT210" i="20" s="1"/>
  <c r="BS96" i="20"/>
  <c r="BT96" i="20" s="1"/>
  <c r="T104" i="20" s="1"/>
  <c r="J35" i="20"/>
  <c r="K35" i="20" s="1"/>
  <c r="AS20" i="20"/>
  <c r="AS242" i="20"/>
  <c r="AT242" i="20" s="1"/>
  <c r="AS150" i="20"/>
  <c r="AT150" i="20" s="1"/>
  <c r="AS231" i="20"/>
  <c r="AV167" i="20"/>
  <c r="AV166" i="20" s="1"/>
  <c r="AV165" i="20" s="1"/>
  <c r="AV164" i="20" s="1"/>
  <c r="AV163" i="20" s="1"/>
  <c r="AV162" i="20" s="1"/>
  <c r="AV161" i="20" s="1"/>
  <c r="AV160" i="20" s="1"/>
  <c r="AV159" i="20" s="1"/>
  <c r="AV158" i="20" s="1"/>
  <c r="AV157" i="20" s="1"/>
  <c r="AS167" i="20"/>
  <c r="AS14" i="20"/>
  <c r="AT14" i="20" s="1"/>
  <c r="O61" i="20" s="1"/>
  <c r="AM11" i="17"/>
  <c r="S41" i="17"/>
  <c r="L42" i="17"/>
  <c r="S39" i="17"/>
  <c r="F42" i="17"/>
  <c r="M14" i="17"/>
  <c r="F40" i="17" s="1"/>
  <c r="F39" i="17"/>
  <c r="F38" i="17"/>
  <c r="F41" i="17"/>
  <c r="L43" i="17"/>
  <c r="L41" i="17"/>
  <c r="S42" i="17"/>
  <c r="F43" i="17"/>
  <c r="AM6" i="17"/>
  <c r="S37" i="17"/>
  <c r="S38" i="17"/>
  <c r="H52" i="13"/>
  <c r="H53" i="13"/>
  <c r="J52" i="13"/>
  <c r="K52" i="13"/>
  <c r="J53" i="13"/>
  <c r="K53" i="13"/>
  <c r="J54" i="13"/>
  <c r="K54" i="13"/>
  <c r="J55" i="13"/>
  <c r="K57" i="13"/>
  <c r="J58" i="13"/>
  <c r="K58" i="13"/>
  <c r="J59" i="13"/>
  <c r="K59" i="13"/>
  <c r="J60" i="13"/>
  <c r="K60" i="13"/>
  <c r="J61" i="13"/>
  <c r="I56" i="13"/>
  <c r="I57" i="13"/>
  <c r="I58" i="13"/>
  <c r="I59" i="13"/>
  <c r="I60" i="13"/>
  <c r="I61" i="13"/>
  <c r="I51" i="13"/>
  <c r="F51" i="13"/>
  <c r="G51" i="13"/>
  <c r="J51" i="13" s="1"/>
  <c r="H51" i="13"/>
  <c r="K51" i="13" s="1"/>
  <c r="G52" i="13"/>
  <c r="G53" i="13"/>
  <c r="G54" i="13"/>
  <c r="H54" i="13"/>
  <c r="G55" i="13"/>
  <c r="H55" i="13"/>
  <c r="K55" i="13" s="1"/>
  <c r="G56" i="13"/>
  <c r="J56" i="13" s="1"/>
  <c r="H56" i="13"/>
  <c r="K56" i="13" s="1"/>
  <c r="G57" i="13"/>
  <c r="J57" i="13" s="1"/>
  <c r="H57" i="13"/>
  <c r="G58" i="13"/>
  <c r="H58" i="13"/>
  <c r="G59" i="13"/>
  <c r="H59" i="13"/>
  <c r="G60" i="13"/>
  <c r="H60" i="13"/>
  <c r="G61" i="13"/>
  <c r="H61" i="13"/>
  <c r="K61" i="13" s="1"/>
  <c r="F52" i="13"/>
  <c r="I52" i="13" s="1"/>
  <c r="F53" i="13"/>
  <c r="I53" i="13" s="1"/>
  <c r="F54" i="13"/>
  <c r="I54" i="13" s="1"/>
  <c r="F55" i="13"/>
  <c r="I55" i="13" s="1"/>
  <c r="F56" i="13"/>
  <c r="F57" i="13"/>
  <c r="F58" i="13"/>
  <c r="F59" i="13"/>
  <c r="F60" i="13"/>
  <c r="F61" i="13"/>
  <c r="BT20" i="20" l="1"/>
  <c r="P110" i="20" s="1"/>
  <c r="P116" i="20" s="1"/>
  <c r="O70" i="20"/>
  <c r="BU217" i="20"/>
  <c r="G200" i="20" s="1"/>
  <c r="AU198" i="20"/>
  <c r="K66" i="20" s="1"/>
  <c r="U116" i="20"/>
  <c r="S71" i="20"/>
  <c r="Q71" i="20"/>
  <c r="S114" i="20"/>
  <c r="S204" i="20"/>
  <c r="U71" i="20"/>
  <c r="P115" i="20"/>
  <c r="R161" i="20"/>
  <c r="P161" i="20"/>
  <c r="S72" i="20"/>
  <c r="Q116" i="20"/>
  <c r="R205" i="20"/>
  <c r="R203" i="20"/>
  <c r="S203" i="20"/>
  <c r="Q205" i="20"/>
  <c r="Q203" i="20"/>
  <c r="P205" i="20"/>
  <c r="P203" i="20"/>
  <c r="Q161" i="20"/>
  <c r="R160" i="20"/>
  <c r="S116" i="20"/>
  <c r="U114" i="20"/>
  <c r="Q159" i="20"/>
  <c r="T71" i="20"/>
  <c r="R116" i="20"/>
  <c r="T114" i="20"/>
  <c r="R114" i="20"/>
  <c r="P114" i="20"/>
  <c r="BU168" i="20"/>
  <c r="BU167" i="20" s="1"/>
  <c r="U70" i="20"/>
  <c r="R70" i="20"/>
  <c r="T70" i="20"/>
  <c r="S70" i="20"/>
  <c r="P70" i="20"/>
  <c r="V70" i="20"/>
  <c r="P204" i="20"/>
  <c r="P72" i="20"/>
  <c r="T72" i="20"/>
  <c r="R204" i="20"/>
  <c r="O71" i="20"/>
  <c r="Q204" i="20"/>
  <c r="V71" i="20"/>
  <c r="Q115" i="20"/>
  <c r="R115" i="20"/>
  <c r="S115" i="20"/>
  <c r="T115" i="20"/>
  <c r="P71" i="20"/>
  <c r="R71" i="20"/>
  <c r="BT55" i="20"/>
  <c r="R111" i="20" s="1"/>
  <c r="AU118" i="20"/>
  <c r="J66" i="20" s="1"/>
  <c r="AT215" i="20"/>
  <c r="BT38" i="20"/>
  <c r="Q111" i="20" s="1"/>
  <c r="AT136" i="20"/>
  <c r="AT168" i="20"/>
  <c r="AU135" i="20"/>
  <c r="AU134" i="20" s="1"/>
  <c r="AU133" i="20" s="1"/>
  <c r="AU132" i="20" s="1"/>
  <c r="AU131" i="20" s="1"/>
  <c r="AU130" i="20" s="1"/>
  <c r="AU129" i="20" s="1"/>
  <c r="AU128" i="20" s="1"/>
  <c r="BT259" i="20"/>
  <c r="T147" i="20" s="1"/>
  <c r="T159" i="20" s="1"/>
  <c r="BU258" i="20"/>
  <c r="BU257" i="20" s="1"/>
  <c r="L37" i="20"/>
  <c r="L36" i="20" s="1"/>
  <c r="L35" i="20" s="1"/>
  <c r="L34" i="20" s="1"/>
  <c r="L33" i="20" s="1"/>
  <c r="L32" i="20" s="1"/>
  <c r="L31" i="20" s="1"/>
  <c r="L30" i="20" s="1"/>
  <c r="L29" i="20" s="1"/>
  <c r="L28" i="20" s="1"/>
  <c r="L27" i="20" s="1"/>
  <c r="AU54" i="20"/>
  <c r="AU53" i="20" s="1"/>
  <c r="BU70" i="20"/>
  <c r="H110" i="20" s="1"/>
  <c r="BT119" i="20"/>
  <c r="U111" i="20" s="1"/>
  <c r="AU247" i="20"/>
  <c r="AU245" i="20" s="1"/>
  <c r="AU243" i="20" s="1"/>
  <c r="AU242" i="20" s="1"/>
  <c r="AU239" i="20" s="1"/>
  <c r="AU238" i="20" s="1"/>
  <c r="AU237" i="20" s="1"/>
  <c r="BT232" i="20"/>
  <c r="S199" i="20" s="1"/>
  <c r="S205" i="20" s="1"/>
  <c r="BT153" i="20"/>
  <c r="R155" i="20" s="1"/>
  <c r="BU185" i="20"/>
  <c r="F200" i="20" s="1"/>
  <c r="BT87" i="20"/>
  <c r="P155" i="20" s="1"/>
  <c r="BU86" i="20"/>
  <c r="BU85" i="20" s="1"/>
  <c r="J44" i="19"/>
  <c r="AU214" i="20"/>
  <c r="AU213" i="20" s="1"/>
  <c r="AU212" i="20" s="1"/>
  <c r="AU211" i="20" s="1"/>
  <c r="AU210" i="20" s="1"/>
  <c r="AU208" i="20" s="1"/>
  <c r="AU207" i="20" s="1"/>
  <c r="AU206" i="20" s="1"/>
  <c r="AU205" i="20" s="1"/>
  <c r="BU246" i="20"/>
  <c r="H152" i="20" s="1"/>
  <c r="AU197" i="20"/>
  <c r="K65" i="20" s="1"/>
  <c r="J72" i="19"/>
  <c r="AU104" i="20"/>
  <c r="AU103" i="20" s="1"/>
  <c r="BU198" i="20"/>
  <c r="BU197" i="20" s="1"/>
  <c r="BU196" i="20" s="1"/>
  <c r="BU195" i="20" s="1"/>
  <c r="BU194" i="20" s="1"/>
  <c r="BU192" i="20" s="1"/>
  <c r="BU191" i="20" s="1"/>
  <c r="BU190" i="20" s="1"/>
  <c r="AU184" i="20"/>
  <c r="AU183" i="20" s="1"/>
  <c r="J68" i="19"/>
  <c r="AU37" i="20"/>
  <c r="E68" i="20" s="1"/>
  <c r="AU71" i="20"/>
  <c r="AT71" i="20"/>
  <c r="R68" i="20" s="1"/>
  <c r="AT232" i="20"/>
  <c r="AU232" i="20"/>
  <c r="AU231" i="20" s="1"/>
  <c r="AU230" i="20" s="1"/>
  <c r="AU229" i="20" s="1"/>
  <c r="AU228" i="20" s="1"/>
  <c r="AU227" i="20" s="1"/>
  <c r="AU226" i="20" s="1"/>
  <c r="AU225" i="20" s="1"/>
  <c r="AU224" i="20" s="1"/>
  <c r="AU223" i="20" s="1"/>
  <c r="AU222" i="20" s="1"/>
  <c r="AU88" i="20"/>
  <c r="AT88" i="20"/>
  <c r="S68" i="20" s="1"/>
  <c r="BT135" i="20"/>
  <c r="Q155" i="20" s="1"/>
  <c r="BU135" i="20"/>
  <c r="AU152" i="20"/>
  <c r="AU151" i="20" s="1"/>
  <c r="AU150" i="20" s="1"/>
  <c r="AU149" i="20" s="1"/>
  <c r="AU148" i="20" s="1"/>
  <c r="AU147" i="20" s="1"/>
  <c r="AU146" i="20" s="1"/>
  <c r="AU145" i="20" s="1"/>
  <c r="AU144" i="20" s="1"/>
  <c r="AU143" i="20" s="1"/>
  <c r="AT152" i="20"/>
  <c r="F111" i="20"/>
  <c r="BU37" i="20"/>
  <c r="AT20" i="20"/>
  <c r="O67" i="20" s="1"/>
  <c r="O72" i="20" s="1"/>
  <c r="AU20" i="20"/>
  <c r="BT101" i="20"/>
  <c r="T109" i="20" s="1"/>
  <c r="BU101" i="20"/>
  <c r="AT167" i="20"/>
  <c r="AU167" i="20"/>
  <c r="AU166" i="20" s="1"/>
  <c r="AU165" i="20" s="1"/>
  <c r="AU164" i="20" s="1"/>
  <c r="AU163" i="20" s="1"/>
  <c r="AU162" i="20" s="1"/>
  <c r="AU161" i="20" s="1"/>
  <c r="AU160" i="20" s="1"/>
  <c r="AU159" i="20" s="1"/>
  <c r="AU158" i="20" s="1"/>
  <c r="AU157" i="20" s="1"/>
  <c r="AT231" i="20"/>
  <c r="H199" i="20"/>
  <c r="BU231" i="20"/>
  <c r="J111" i="20"/>
  <c r="BU118" i="20"/>
  <c r="BU54" i="20"/>
  <c r="G111" i="20"/>
  <c r="E110" i="20"/>
  <c r="BU19" i="20"/>
  <c r="G155" i="20"/>
  <c r="BU152" i="20"/>
  <c r="K72" i="19"/>
  <c r="P72" i="19" s="1"/>
  <c r="K44" i="19"/>
  <c r="P44" i="19" s="1"/>
  <c r="K68" i="19"/>
  <c r="P68" i="19" s="1"/>
  <c r="I65" i="13"/>
  <c r="K65" i="13"/>
  <c r="K63" i="13"/>
  <c r="K64" i="13"/>
  <c r="J65" i="13"/>
  <c r="J63" i="13"/>
  <c r="J64" i="13"/>
  <c r="I63" i="13"/>
  <c r="I64" i="13"/>
  <c r="G59" i="8"/>
  <c r="F59" i="8"/>
  <c r="BU216" i="20" l="1"/>
  <c r="BU215" i="20" s="1"/>
  <c r="G198" i="20" s="1"/>
  <c r="P218" i="20"/>
  <c r="P166" i="20"/>
  <c r="O121" i="20"/>
  <c r="O77" i="20"/>
  <c r="O210" i="20"/>
  <c r="R210" i="20"/>
  <c r="Q210" i="20"/>
  <c r="P210" i="20"/>
  <c r="O213" i="20"/>
  <c r="O212" i="20"/>
  <c r="O211" i="20"/>
  <c r="E199" i="20"/>
  <c r="AU117" i="20"/>
  <c r="AU116" i="20" s="1"/>
  <c r="I146" i="20"/>
  <c r="BU256" i="20"/>
  <c r="I144" i="20" s="1"/>
  <c r="I145" i="20"/>
  <c r="F67" i="20"/>
  <c r="BU69" i="20"/>
  <c r="BU68" i="20" s="1"/>
  <c r="E154" i="20"/>
  <c r="BU184" i="20"/>
  <c r="BU183" i="20" s="1"/>
  <c r="I68" i="20"/>
  <c r="BU244" i="20"/>
  <c r="BU243" i="20" s="1"/>
  <c r="G199" i="20"/>
  <c r="AU196" i="20"/>
  <c r="AU195" i="20" s="1"/>
  <c r="AU194" i="20" s="1"/>
  <c r="AU193" i="20" s="1"/>
  <c r="L68" i="20"/>
  <c r="BU213" i="20"/>
  <c r="G196" i="20" s="1"/>
  <c r="AU36" i="20"/>
  <c r="AU35" i="20" s="1"/>
  <c r="AU70" i="20"/>
  <c r="G68" i="20"/>
  <c r="F155" i="20"/>
  <c r="BU134" i="20"/>
  <c r="AU87" i="20"/>
  <c r="H68" i="20"/>
  <c r="AU19" i="20"/>
  <c r="D67" i="20"/>
  <c r="BU36" i="20"/>
  <c r="F110" i="20"/>
  <c r="I109" i="20"/>
  <c r="BU100" i="20"/>
  <c r="E198" i="20"/>
  <c r="BU166" i="20"/>
  <c r="AU182" i="20"/>
  <c r="L67" i="20"/>
  <c r="BU117" i="20"/>
  <c r="J110" i="20"/>
  <c r="BU53" i="20"/>
  <c r="G110" i="20"/>
  <c r="AU52" i="20"/>
  <c r="F66" i="20"/>
  <c r="BU151" i="20"/>
  <c r="G154" i="20"/>
  <c r="BU18" i="20"/>
  <c r="E109" i="20"/>
  <c r="BU230" i="20"/>
  <c r="H198" i="20"/>
  <c r="I67" i="20"/>
  <c r="AU102" i="20"/>
  <c r="BU84" i="20"/>
  <c r="E152" i="20" s="1"/>
  <c r="E153" i="20"/>
  <c r="I67" i="13"/>
  <c r="I68" i="13"/>
  <c r="E147" i="14"/>
  <c r="F147" i="14"/>
  <c r="D147" i="14"/>
  <c r="B147" i="14"/>
  <c r="E120" i="14"/>
  <c r="F120" i="14"/>
  <c r="D120" i="14"/>
  <c r="B120" i="14"/>
  <c r="E90" i="14"/>
  <c r="F90" i="14"/>
  <c r="D90" i="14"/>
  <c r="B90" i="14"/>
  <c r="E61" i="14"/>
  <c r="F61" i="14"/>
  <c r="D61" i="14"/>
  <c r="B61" i="14"/>
  <c r="E32" i="14"/>
  <c r="F32" i="14"/>
  <c r="D32" i="14"/>
  <c r="J65" i="20" l="1"/>
  <c r="F199" i="20"/>
  <c r="H109" i="20"/>
  <c r="K63" i="20"/>
  <c r="H150" i="20"/>
  <c r="K62" i="20"/>
  <c r="BU212" i="20"/>
  <c r="BU211" i="20" s="1"/>
  <c r="K64" i="20"/>
  <c r="E67" i="20"/>
  <c r="G67" i="20"/>
  <c r="AU69" i="20"/>
  <c r="AU86" i="20"/>
  <c r="H67" i="20"/>
  <c r="F154" i="20"/>
  <c r="BU133" i="20"/>
  <c r="BU35" i="20"/>
  <c r="F109" i="20"/>
  <c r="BU98" i="20"/>
  <c r="I108" i="20"/>
  <c r="D66" i="20"/>
  <c r="AU18" i="20"/>
  <c r="F198" i="20"/>
  <c r="BU182" i="20"/>
  <c r="AU34" i="20"/>
  <c r="E66" i="20"/>
  <c r="BU165" i="20"/>
  <c r="E197" i="20"/>
  <c r="L66" i="20"/>
  <c r="AU181" i="20"/>
  <c r="I66" i="20"/>
  <c r="AU101" i="20"/>
  <c r="BU67" i="20"/>
  <c r="H108" i="20"/>
  <c r="BU150" i="20"/>
  <c r="G153" i="20"/>
  <c r="G109" i="20"/>
  <c r="BU52" i="20"/>
  <c r="AU115" i="20"/>
  <c r="J64" i="20"/>
  <c r="H149" i="20"/>
  <c r="BU242" i="20"/>
  <c r="H197" i="20"/>
  <c r="BU229" i="20"/>
  <c r="BU17" i="20"/>
  <c r="E108" i="20"/>
  <c r="F65" i="20"/>
  <c r="AU51" i="20"/>
  <c r="BU116" i="20"/>
  <c r="J109" i="20"/>
  <c r="AU192" i="20"/>
  <c r="K61" i="20"/>
  <c r="C34" i="15"/>
  <c r="H32" i="15"/>
  <c r="G195" i="20" l="1"/>
  <c r="AU68" i="20"/>
  <c r="G66" i="20"/>
  <c r="F153" i="20"/>
  <c r="BU132" i="20"/>
  <c r="H66" i="20"/>
  <c r="AU85" i="20"/>
  <c r="I106" i="20"/>
  <c r="BU97" i="20"/>
  <c r="AU17" i="20"/>
  <c r="D65" i="20"/>
  <c r="F108" i="20"/>
  <c r="BU34" i="20"/>
  <c r="BU181" i="20"/>
  <c r="F197" i="20"/>
  <c r="E196" i="20"/>
  <c r="BU164" i="20"/>
  <c r="E65" i="20"/>
  <c r="AU33" i="20"/>
  <c r="L65" i="20"/>
  <c r="AU178" i="20"/>
  <c r="F64" i="20"/>
  <c r="AU50" i="20"/>
  <c r="BU228" i="20"/>
  <c r="H196" i="20"/>
  <c r="AU114" i="20"/>
  <c r="J63" i="20"/>
  <c r="G152" i="20"/>
  <c r="BU148" i="20"/>
  <c r="BU66" i="20"/>
  <c r="H107" i="20"/>
  <c r="H148" i="20"/>
  <c r="BU241" i="20"/>
  <c r="G108" i="20"/>
  <c r="BU51" i="20"/>
  <c r="AU100" i="20"/>
  <c r="I65" i="20"/>
  <c r="BU114" i="20"/>
  <c r="J108" i="20"/>
  <c r="BU15" i="20"/>
  <c r="E107" i="20"/>
  <c r="G194" i="20"/>
  <c r="BU210" i="20"/>
  <c r="K60" i="20"/>
  <c r="AU191" i="20"/>
  <c r="K32" i="15"/>
  <c r="N32" i="15" s="1"/>
  <c r="G32" i="15"/>
  <c r="G65" i="20" l="1"/>
  <c r="AU67" i="20"/>
  <c r="AU84" i="20"/>
  <c r="H65" i="20"/>
  <c r="F152" i="20"/>
  <c r="BU130" i="20"/>
  <c r="AU16" i="20"/>
  <c r="D64" i="20"/>
  <c r="BU33" i="20"/>
  <c r="F107" i="20"/>
  <c r="BU96" i="20"/>
  <c r="I105" i="20"/>
  <c r="BU180" i="20"/>
  <c r="F196" i="20"/>
  <c r="AU32" i="20"/>
  <c r="E64" i="20"/>
  <c r="BU163" i="20"/>
  <c r="E195" i="20"/>
  <c r="AU175" i="20"/>
  <c r="L62" i="20"/>
  <c r="BU239" i="20"/>
  <c r="H147" i="20"/>
  <c r="BU147" i="20"/>
  <c r="G150" i="20"/>
  <c r="BU14" i="20"/>
  <c r="E105" i="20"/>
  <c r="AU99" i="20"/>
  <c r="I64" i="20"/>
  <c r="H195" i="20"/>
  <c r="BU227" i="20"/>
  <c r="G107" i="20"/>
  <c r="BU50" i="20"/>
  <c r="AU49" i="20"/>
  <c r="F63" i="20"/>
  <c r="J106" i="20"/>
  <c r="BU113" i="20"/>
  <c r="H106" i="20"/>
  <c r="BU65" i="20"/>
  <c r="J62" i="20"/>
  <c r="AU113" i="20"/>
  <c r="K59" i="20"/>
  <c r="AU190" i="20"/>
  <c r="G193" i="20"/>
  <c r="BU209" i="20"/>
  <c r="I32" i="15"/>
  <c r="M32" i="15"/>
  <c r="G64" i="20" l="1"/>
  <c r="AU66" i="20"/>
  <c r="F150" i="20"/>
  <c r="BU129" i="20"/>
  <c r="AU83" i="20"/>
  <c r="H64" i="20"/>
  <c r="BU32" i="20"/>
  <c r="F106" i="20"/>
  <c r="I104" i="20"/>
  <c r="BU95" i="20"/>
  <c r="AU15" i="20"/>
  <c r="D63" i="20"/>
  <c r="BU179" i="20"/>
  <c r="F195" i="20"/>
  <c r="BU162" i="20"/>
  <c r="E194" i="20"/>
  <c r="E63" i="20"/>
  <c r="AU31" i="20"/>
  <c r="L59" i="20"/>
  <c r="AU174" i="20"/>
  <c r="H105" i="20"/>
  <c r="BU64" i="20"/>
  <c r="AU48" i="20"/>
  <c r="F62" i="20"/>
  <c r="AU98" i="20"/>
  <c r="I63" i="20"/>
  <c r="G149" i="20"/>
  <c r="BU146" i="20"/>
  <c r="AU112" i="20"/>
  <c r="J61" i="20"/>
  <c r="BU112" i="20"/>
  <c r="J105" i="20"/>
  <c r="G106" i="20"/>
  <c r="BU49" i="20"/>
  <c r="BU226" i="20"/>
  <c r="H194" i="20"/>
  <c r="BU13" i="20"/>
  <c r="E104" i="20"/>
  <c r="H145" i="20"/>
  <c r="BU238" i="20"/>
  <c r="H144" i="20" s="1"/>
  <c r="G192" i="20"/>
  <c r="BU208" i="20"/>
  <c r="K58" i="20"/>
  <c r="AU189" i="20"/>
  <c r="K57" i="20" s="1"/>
  <c r="L32" i="15"/>
  <c r="I34" i="15"/>
  <c r="J34" i="15" s="1"/>
  <c r="J32" i="15"/>
  <c r="G63" i="20" l="1"/>
  <c r="AU65" i="20"/>
  <c r="H63" i="20"/>
  <c r="AU82" i="20"/>
  <c r="F149" i="20"/>
  <c r="BU128" i="20"/>
  <c r="BU94" i="20"/>
  <c r="I103" i="20"/>
  <c r="D62" i="20"/>
  <c r="AU14" i="20"/>
  <c r="BU31" i="20"/>
  <c r="F105" i="20"/>
  <c r="F194" i="20"/>
  <c r="BU178" i="20"/>
  <c r="E62" i="20"/>
  <c r="AU30" i="20"/>
  <c r="E193" i="20"/>
  <c r="BU161" i="20"/>
  <c r="AU173" i="20"/>
  <c r="L57" i="20" s="1"/>
  <c r="L58" i="20"/>
  <c r="G105" i="20"/>
  <c r="BU48" i="20"/>
  <c r="E103" i="20"/>
  <c r="BU12" i="20"/>
  <c r="AU111" i="20"/>
  <c r="J60" i="20"/>
  <c r="AU97" i="20"/>
  <c r="I62" i="20"/>
  <c r="G148" i="20"/>
  <c r="BU144" i="20"/>
  <c r="H104" i="20"/>
  <c r="BU63" i="20"/>
  <c r="H193" i="20"/>
  <c r="BU225" i="20"/>
  <c r="J104" i="20"/>
  <c r="BU111" i="20"/>
  <c r="F61" i="20"/>
  <c r="AU47" i="20"/>
  <c r="G191" i="20"/>
  <c r="BU207" i="20"/>
  <c r="P59" i="8"/>
  <c r="P60" i="8"/>
  <c r="O60" i="8"/>
  <c r="O59" i="8"/>
  <c r="O58" i="8"/>
  <c r="P41" i="2"/>
  <c r="P42" i="2"/>
  <c r="O42" i="2"/>
  <c r="O41" i="2"/>
  <c r="P41" i="1"/>
  <c r="P42" i="1"/>
  <c r="O42" i="1"/>
  <c r="O41" i="1"/>
  <c r="P58" i="8"/>
  <c r="G62" i="20" l="1"/>
  <c r="AU64" i="20"/>
  <c r="F148" i="20"/>
  <c r="BU127" i="20"/>
  <c r="H62" i="20"/>
  <c r="AU81" i="20"/>
  <c r="AU13" i="20"/>
  <c r="D61" i="20"/>
  <c r="F104" i="20"/>
  <c r="BU30" i="20"/>
  <c r="I102" i="20"/>
  <c r="BU93" i="20"/>
  <c r="BU177" i="20"/>
  <c r="F193" i="20"/>
  <c r="E192" i="20"/>
  <c r="BU160" i="20"/>
  <c r="E61" i="20"/>
  <c r="AU29" i="20"/>
  <c r="F60" i="20"/>
  <c r="AU45" i="20"/>
  <c r="BU224" i="20"/>
  <c r="H192" i="20"/>
  <c r="BU143" i="20"/>
  <c r="G146" i="20"/>
  <c r="J59" i="20"/>
  <c r="AU110" i="20"/>
  <c r="J103" i="20"/>
  <c r="BU110" i="20"/>
  <c r="H103" i="20"/>
  <c r="BU62" i="20"/>
  <c r="E102" i="20"/>
  <c r="BU11" i="20"/>
  <c r="G104" i="20"/>
  <c r="BU47" i="20"/>
  <c r="I61" i="20"/>
  <c r="AU96" i="20"/>
  <c r="BU206" i="20"/>
  <c r="G189" i="20" s="1"/>
  <c r="G190" i="20"/>
  <c r="P40" i="2"/>
  <c r="P40" i="1"/>
  <c r="G61" i="20" l="1"/>
  <c r="AU63" i="20"/>
  <c r="H61" i="20"/>
  <c r="AU80" i="20"/>
  <c r="BU126" i="20"/>
  <c r="F147" i="20"/>
  <c r="I101" i="20"/>
  <c r="BU92" i="20"/>
  <c r="I100" i="20" s="1"/>
  <c r="F103" i="20"/>
  <c r="BU29" i="20"/>
  <c r="AU12" i="20"/>
  <c r="D60" i="20"/>
  <c r="BU176" i="20"/>
  <c r="F191" i="20" s="1"/>
  <c r="F192" i="20"/>
  <c r="E191" i="20"/>
  <c r="BU159" i="20"/>
  <c r="AU28" i="20"/>
  <c r="E60" i="20"/>
  <c r="G103" i="20"/>
  <c r="BU46" i="20"/>
  <c r="H102" i="20"/>
  <c r="BU61" i="20"/>
  <c r="AU109" i="20"/>
  <c r="J57" i="20" s="1"/>
  <c r="J58" i="20"/>
  <c r="H191" i="20"/>
  <c r="BU223" i="20"/>
  <c r="I60" i="20"/>
  <c r="AU95" i="20"/>
  <c r="BU10" i="20"/>
  <c r="E100" i="20" s="1"/>
  <c r="E101" i="20"/>
  <c r="BU109" i="20"/>
  <c r="J102" i="20"/>
  <c r="F58" i="20"/>
  <c r="AU44" i="20"/>
  <c r="F57" i="20" s="1"/>
  <c r="BU142" i="20"/>
  <c r="G144" i="20" s="1"/>
  <c r="G145" i="20"/>
  <c r="G45" i="1"/>
  <c r="G44" i="1"/>
  <c r="G43" i="1"/>
  <c r="G60" i="20" l="1"/>
  <c r="AU62" i="20"/>
  <c r="F146" i="20"/>
  <c r="BU125" i="20"/>
  <c r="AU79" i="20"/>
  <c r="H60" i="20"/>
  <c r="BU28" i="20"/>
  <c r="F102" i="20"/>
  <c r="D59" i="20"/>
  <c r="AU11" i="20"/>
  <c r="AU27" i="20"/>
  <c r="E59" i="20"/>
  <c r="E190" i="20"/>
  <c r="BU158" i="20"/>
  <c r="E189" i="20" s="1"/>
  <c r="BU222" i="20"/>
  <c r="H189" i="20" s="1"/>
  <c r="H190" i="20"/>
  <c r="BU60" i="20"/>
  <c r="H100" i="20" s="1"/>
  <c r="H101" i="20"/>
  <c r="I59" i="20"/>
  <c r="AU94" i="20"/>
  <c r="G102" i="20"/>
  <c r="BU45" i="20"/>
  <c r="BU108" i="20"/>
  <c r="J100" i="20" s="1"/>
  <c r="J101" i="20"/>
  <c r="P163" i="14"/>
  <c r="P164" i="14"/>
  <c r="P165" i="14"/>
  <c r="P166" i="14"/>
  <c r="P167" i="14"/>
  <c r="P168" i="14"/>
  <c r="P169" i="14"/>
  <c r="P170" i="14"/>
  <c r="P171" i="14"/>
  <c r="P172" i="14"/>
  <c r="P161" i="14"/>
  <c r="E149" i="14"/>
  <c r="C13" i="15"/>
  <c r="E8" i="15"/>
  <c r="D155" i="14"/>
  <c r="E155" i="14"/>
  <c r="D154" i="14"/>
  <c r="E154" i="14"/>
  <c r="D153" i="14"/>
  <c r="E153" i="14"/>
  <c r="F153" i="14"/>
  <c r="D152" i="14"/>
  <c r="E152" i="14"/>
  <c r="F152" i="14"/>
  <c r="D151" i="14"/>
  <c r="E151" i="14"/>
  <c r="F151" i="14"/>
  <c r="D150" i="14"/>
  <c r="E150" i="14"/>
  <c r="D148" i="14"/>
  <c r="E148" i="14"/>
  <c r="E28" i="15" s="1"/>
  <c r="F148" i="14"/>
  <c r="L159" i="14"/>
  <c r="K159" i="14"/>
  <c r="K15" i="14"/>
  <c r="K44" i="14"/>
  <c r="K72" i="14"/>
  <c r="K102" i="14"/>
  <c r="K130" i="14"/>
  <c r="D127" i="14"/>
  <c r="E127" i="14"/>
  <c r="D126" i="14"/>
  <c r="E126" i="14"/>
  <c r="D125" i="14"/>
  <c r="E125" i="14"/>
  <c r="F125" i="14"/>
  <c r="D124" i="14"/>
  <c r="E124" i="14"/>
  <c r="F124" i="14"/>
  <c r="D123" i="14"/>
  <c r="E123" i="14"/>
  <c r="E122" i="14"/>
  <c r="D121" i="14"/>
  <c r="E121" i="14"/>
  <c r="E24" i="15" s="1"/>
  <c r="F121" i="14"/>
  <c r="L130" i="14"/>
  <c r="E98" i="14"/>
  <c r="D98" i="14"/>
  <c r="D97" i="14"/>
  <c r="E97" i="14"/>
  <c r="D96" i="14"/>
  <c r="E96" i="14"/>
  <c r="F96" i="14"/>
  <c r="D95" i="14"/>
  <c r="E95" i="14"/>
  <c r="F95" i="14"/>
  <c r="D94" i="14"/>
  <c r="E94" i="14"/>
  <c r="F94" i="14"/>
  <c r="D93" i="14"/>
  <c r="E93" i="14"/>
  <c r="E92" i="14"/>
  <c r="D91" i="14"/>
  <c r="E91" i="14"/>
  <c r="E20" i="15" s="1"/>
  <c r="F91" i="14"/>
  <c r="L102" i="14"/>
  <c r="D68" i="14"/>
  <c r="E68" i="14"/>
  <c r="D67" i="14"/>
  <c r="E67" i="14"/>
  <c r="F67" i="14"/>
  <c r="D66" i="14"/>
  <c r="E66" i="14"/>
  <c r="F66" i="14"/>
  <c r="D64" i="14"/>
  <c r="E64" i="14"/>
  <c r="D65" i="14"/>
  <c r="E65" i="14"/>
  <c r="F65" i="14"/>
  <c r="E63" i="14"/>
  <c r="D62" i="14"/>
  <c r="E62" i="14"/>
  <c r="E16" i="15" s="1"/>
  <c r="F62" i="14"/>
  <c r="L72" i="14"/>
  <c r="L44" i="14"/>
  <c r="I37" i="14"/>
  <c r="G37" i="14"/>
  <c r="I36" i="14"/>
  <c r="G36" i="14"/>
  <c r="D39" i="14"/>
  <c r="E39" i="14"/>
  <c r="D40" i="14"/>
  <c r="E40" i="14"/>
  <c r="D35" i="14"/>
  <c r="E35" i="14"/>
  <c r="E34" i="14"/>
  <c r="F33" i="14"/>
  <c r="E33" i="14"/>
  <c r="E12" i="15" s="1"/>
  <c r="D33" i="14"/>
  <c r="D7" i="13"/>
  <c r="C8" i="13"/>
  <c r="D8" i="13"/>
  <c r="C9" i="13"/>
  <c r="D9" i="13"/>
  <c r="E9" i="13"/>
  <c r="C6" i="13"/>
  <c r="C10" i="13"/>
  <c r="C11" i="13"/>
  <c r="C12" i="13"/>
  <c r="C13" i="13"/>
  <c r="D6" i="13"/>
  <c r="D13" i="13"/>
  <c r="D12" i="13"/>
  <c r="E11" i="13"/>
  <c r="D11" i="13"/>
  <c r="E10" i="13"/>
  <c r="D10" i="13"/>
  <c r="E6" i="13"/>
  <c r="L15" i="14"/>
  <c r="H31" i="10"/>
  <c r="F27" i="10"/>
  <c r="F12" i="12"/>
  <c r="H12" i="11"/>
  <c r="AF12" i="11" s="1"/>
  <c r="G7" i="11"/>
  <c r="H7" i="9"/>
  <c r="G6" i="9"/>
  <c r="F60" i="11"/>
  <c r="C29" i="13"/>
  <c r="D29" i="13"/>
  <c r="H4" i="8"/>
  <c r="H62" i="8"/>
  <c r="H20" i="8"/>
  <c r="H63" i="8"/>
  <c r="H21" i="8"/>
  <c r="H19" i="8"/>
  <c r="H64" i="8"/>
  <c r="H22" i="8"/>
  <c r="H65" i="8"/>
  <c r="H18" i="8"/>
  <c r="H23" i="8"/>
  <c r="H24" i="8"/>
  <c r="H35" i="8"/>
  <c r="H66" i="8"/>
  <c r="H67" i="8"/>
  <c r="H25" i="8"/>
  <c r="H16" i="8"/>
  <c r="H69" i="8"/>
  <c r="H70" i="8"/>
  <c r="H71" i="8"/>
  <c r="H33" i="8"/>
  <c r="H31" i="8"/>
  <c r="H30" i="8"/>
  <c r="H26" i="8"/>
  <c r="H27" i="8"/>
  <c r="H32" i="8"/>
  <c r="H72" i="8"/>
  <c r="H68" i="8"/>
  <c r="H28" i="8"/>
  <c r="H37" i="8"/>
  <c r="H7" i="8"/>
  <c r="H73" i="8"/>
  <c r="H6" i="8"/>
  <c r="H74" i="8"/>
  <c r="H11" i="8"/>
  <c r="H75" i="8"/>
  <c r="H12" i="8"/>
  <c r="H10" i="8"/>
  <c r="H76" i="8"/>
  <c r="H77" i="8"/>
  <c r="H9" i="8"/>
  <c r="H78" i="8"/>
  <c r="H8" i="8"/>
  <c r="H79" i="8"/>
  <c r="H80" i="8"/>
  <c r="H15" i="8"/>
  <c r="H14" i="8"/>
  <c r="H13" i="8"/>
  <c r="H81" i="8"/>
  <c r="H82" i="8"/>
  <c r="H17" i="8"/>
  <c r="H3" i="8"/>
  <c r="E13" i="13" s="1"/>
  <c r="H29" i="10"/>
  <c r="H28" i="10"/>
  <c r="H27" i="10"/>
  <c r="H21" i="10"/>
  <c r="H4" i="10"/>
  <c r="H37" i="10"/>
  <c r="H20" i="10"/>
  <c r="H30" i="10"/>
  <c r="H25" i="10"/>
  <c r="H35" i="10"/>
  <c r="H24" i="10"/>
  <c r="H23" i="10"/>
  <c r="H19" i="10"/>
  <c r="H22" i="10"/>
  <c r="H18" i="10"/>
  <c r="H17" i="10"/>
  <c r="H16" i="10"/>
  <c r="H15" i="10"/>
  <c r="H14" i="10"/>
  <c r="H13" i="10"/>
  <c r="H12" i="10"/>
  <c r="H11" i="10"/>
  <c r="H10" i="10"/>
  <c r="H9" i="10"/>
  <c r="H8" i="10"/>
  <c r="H7" i="10"/>
  <c r="H6" i="10"/>
  <c r="H26" i="10"/>
  <c r="G29" i="10"/>
  <c r="G31" i="10"/>
  <c r="G27" i="10"/>
  <c r="G21" i="10"/>
  <c r="G4" i="10"/>
  <c r="G37" i="10"/>
  <c r="G20" i="10"/>
  <c r="G32" i="10"/>
  <c r="G25" i="10"/>
  <c r="G24" i="10"/>
  <c r="G23" i="10"/>
  <c r="G19" i="10"/>
  <c r="G22" i="10"/>
  <c r="G18" i="10"/>
  <c r="G16" i="10"/>
  <c r="G14" i="10"/>
  <c r="G13" i="10"/>
  <c r="G12" i="10"/>
  <c r="G11" i="10"/>
  <c r="G10" i="10"/>
  <c r="G8" i="10"/>
  <c r="G6" i="10"/>
  <c r="G26" i="10"/>
  <c r="F29" i="10"/>
  <c r="F31" i="10"/>
  <c r="F28" i="10"/>
  <c r="F21" i="10"/>
  <c r="F4" i="10"/>
  <c r="F20" i="10"/>
  <c r="F32" i="10"/>
  <c r="F30" i="10"/>
  <c r="F35" i="10"/>
  <c r="F24" i="10"/>
  <c r="F23" i="10"/>
  <c r="F19" i="10"/>
  <c r="F22" i="10"/>
  <c r="F18" i="10"/>
  <c r="F17" i="10"/>
  <c r="F15" i="10"/>
  <c r="F14" i="10"/>
  <c r="F13" i="10"/>
  <c r="F12" i="10"/>
  <c r="F11" i="10"/>
  <c r="F10" i="10"/>
  <c r="F9" i="10"/>
  <c r="F7" i="10"/>
  <c r="F6" i="10"/>
  <c r="H36" i="12"/>
  <c r="H4" i="12"/>
  <c r="H12" i="12"/>
  <c r="H11" i="12"/>
  <c r="H10" i="12"/>
  <c r="H9" i="12"/>
  <c r="H7" i="12"/>
  <c r="H15" i="12"/>
  <c r="H14" i="12"/>
  <c r="H13" i="12"/>
  <c r="H16" i="12"/>
  <c r="H17" i="12"/>
  <c r="H18" i="12"/>
  <c r="H19" i="12"/>
  <c r="H21" i="12"/>
  <c r="H24" i="12"/>
  <c r="H23" i="12"/>
  <c r="H32" i="12"/>
  <c r="H33" i="12"/>
  <c r="H29" i="12"/>
  <c r="H26" i="12"/>
  <c r="H27" i="12"/>
  <c r="H28" i="12"/>
  <c r="H35" i="12"/>
  <c r="H25" i="12"/>
  <c r="G36" i="12"/>
  <c r="G4" i="12"/>
  <c r="G12" i="12"/>
  <c r="G11" i="12"/>
  <c r="G10" i="12"/>
  <c r="G9" i="12"/>
  <c r="G7" i="12"/>
  <c r="G15" i="12"/>
  <c r="G14" i="12"/>
  <c r="G13" i="12"/>
  <c r="G16" i="12"/>
  <c r="G17" i="12"/>
  <c r="G18" i="12"/>
  <c r="G19" i="12"/>
  <c r="G21" i="12"/>
  <c r="G24" i="12"/>
  <c r="G23" i="12"/>
  <c r="G32" i="12"/>
  <c r="G33" i="12"/>
  <c r="G29" i="12"/>
  <c r="G26" i="12"/>
  <c r="G27" i="12"/>
  <c r="G28" i="12"/>
  <c r="G35" i="12"/>
  <c r="G25" i="12"/>
  <c r="F4" i="12"/>
  <c r="F10" i="12"/>
  <c r="F13" i="12"/>
  <c r="F16" i="12"/>
  <c r="F18" i="12"/>
  <c r="F32" i="12"/>
  <c r="F26" i="12"/>
  <c r="F36" i="12"/>
  <c r="H11" i="11"/>
  <c r="AF11" i="11" s="1"/>
  <c r="H23" i="11"/>
  <c r="AF23" i="11" s="1"/>
  <c r="H58" i="11"/>
  <c r="H63" i="11"/>
  <c r="H66" i="11"/>
  <c r="H69" i="11"/>
  <c r="H71" i="11"/>
  <c r="H31" i="11"/>
  <c r="AF31" i="11" s="1"/>
  <c r="H30" i="11"/>
  <c r="H81" i="11"/>
  <c r="H86" i="11"/>
  <c r="H19" i="11"/>
  <c r="AF19" i="11" s="1"/>
  <c r="H24" i="11"/>
  <c r="AF24" i="11" s="1"/>
  <c r="G62" i="11"/>
  <c r="G84" i="11"/>
  <c r="F14" i="11"/>
  <c r="AD14" i="11" s="1"/>
  <c r="F15" i="11"/>
  <c r="AD15" i="11" s="1"/>
  <c r="F67" i="11"/>
  <c r="F27" i="11"/>
  <c r="AD27" i="11" s="1"/>
  <c r="F78" i="11"/>
  <c r="F79" i="11"/>
  <c r="F37" i="11"/>
  <c r="F46" i="11"/>
  <c r="H32" i="9"/>
  <c r="H26" i="9"/>
  <c r="G11" i="9"/>
  <c r="F4" i="9"/>
  <c r="F17" i="9"/>
  <c r="F16" i="9"/>
  <c r="F15" i="9"/>
  <c r="F14" i="9"/>
  <c r="F13" i="9"/>
  <c r="F12" i="9"/>
  <c r="F11" i="9"/>
  <c r="F10" i="9"/>
  <c r="F9" i="9"/>
  <c r="F8" i="9"/>
  <c r="F7" i="9"/>
  <c r="F40" i="9" s="1"/>
  <c r="F6" i="9"/>
  <c r="F20" i="9"/>
  <c r="F37" i="9"/>
  <c r="F22" i="9"/>
  <c r="F18" i="9"/>
  <c r="F23" i="9"/>
  <c r="F24" i="9"/>
  <c r="F21" i="9"/>
  <c r="F19" i="9"/>
  <c r="F32" i="9"/>
  <c r="F31" i="9"/>
  <c r="F30" i="9"/>
  <c r="F29" i="9"/>
  <c r="F26" i="9"/>
  <c r="F27" i="9"/>
  <c r="F28" i="9"/>
  <c r="F25" i="9"/>
  <c r="C28" i="13"/>
  <c r="D28" i="13"/>
  <c r="C27" i="13"/>
  <c r="D27" i="13"/>
  <c r="E27" i="13"/>
  <c r="C26" i="13"/>
  <c r="D26" i="13"/>
  <c r="E26" i="13"/>
  <c r="C25" i="13"/>
  <c r="D25" i="13"/>
  <c r="E25" i="13"/>
  <c r="C24" i="13"/>
  <c r="D24" i="13"/>
  <c r="D23" i="13"/>
  <c r="C22" i="13"/>
  <c r="D22" i="13"/>
  <c r="E22" i="13"/>
  <c r="H49" i="7"/>
  <c r="H46" i="7"/>
  <c r="H8" i="7"/>
  <c r="H9" i="7"/>
  <c r="H47" i="7"/>
  <c r="H32" i="7"/>
  <c r="H62" i="7"/>
  <c r="H63" i="7"/>
  <c r="H64" i="7"/>
  <c r="H65" i="7"/>
  <c r="H7" i="7"/>
  <c r="H10" i="7"/>
  <c r="H45" i="7"/>
  <c r="H11" i="7"/>
  <c r="H12" i="7"/>
  <c r="H53" i="7"/>
  <c r="H6" i="7"/>
  <c r="H54" i="7"/>
  <c r="H17" i="7"/>
  <c r="H18" i="7"/>
  <c r="H55" i="7"/>
  <c r="H52" i="7"/>
  <c r="H19" i="7"/>
  <c r="F97" i="14" s="1"/>
  <c r="H58" i="7"/>
  <c r="H16" i="7"/>
  <c r="H57" i="7"/>
  <c r="H28" i="7"/>
  <c r="H60" i="7"/>
  <c r="H27" i="7"/>
  <c r="H26" i="7"/>
  <c r="H61" i="7"/>
  <c r="H29" i="7"/>
  <c r="H59" i="7"/>
  <c r="H30" i="7"/>
  <c r="H31" i="7"/>
  <c r="H51" i="7"/>
  <c r="H20" i="7"/>
  <c r="H50" i="7"/>
  <c r="H48" i="7"/>
  <c r="H15" i="7"/>
  <c r="H14" i="7"/>
  <c r="H13" i="7"/>
  <c r="H44" i="7"/>
  <c r="H56" i="7"/>
  <c r="H69" i="7"/>
  <c r="H74" i="7"/>
  <c r="H75" i="7"/>
  <c r="H66" i="7"/>
  <c r="H67" i="7"/>
  <c r="H72" i="7"/>
  <c r="H71" i="7"/>
  <c r="H68" i="7"/>
  <c r="H70" i="7"/>
  <c r="H73" i="7"/>
  <c r="H3" i="7"/>
  <c r="E12" i="13" s="1"/>
  <c r="F8" i="15"/>
  <c r="F122" i="14"/>
  <c r="E23" i="13"/>
  <c r="E7" i="13"/>
  <c r="H45" i="3"/>
  <c r="H46" i="3"/>
  <c r="H28" i="3"/>
  <c r="H36" i="3"/>
  <c r="H20" i="3"/>
  <c r="H47" i="3"/>
  <c r="H48" i="3"/>
  <c r="H15" i="3"/>
  <c r="H49" i="3"/>
  <c r="H14" i="3"/>
  <c r="H50" i="3"/>
  <c r="H16" i="3"/>
  <c r="H17" i="3"/>
  <c r="H51" i="3"/>
  <c r="H18" i="3"/>
  <c r="H52" i="3"/>
  <c r="H23" i="3"/>
  <c r="H53" i="3"/>
  <c r="H24" i="3"/>
  <c r="H22" i="3"/>
  <c r="H54" i="3"/>
  <c r="H19" i="3"/>
  <c r="H55" i="3"/>
  <c r="H56" i="3"/>
  <c r="H57" i="3"/>
  <c r="H58" i="3"/>
  <c r="H27" i="3"/>
  <c r="H59" i="3"/>
  <c r="H26" i="3"/>
  <c r="H60" i="3"/>
  <c r="H29" i="3"/>
  <c r="H61" i="3"/>
  <c r="H34" i="3"/>
  <c r="H62" i="3"/>
  <c r="H33" i="3"/>
  <c r="H63" i="3"/>
  <c r="H32" i="3"/>
  <c r="H64" i="3"/>
  <c r="H31" i="3"/>
  <c r="H30" i="3"/>
  <c r="H65" i="3"/>
  <c r="H37" i="3"/>
  <c r="H13" i="3"/>
  <c r="H66" i="3"/>
  <c r="H12" i="3"/>
  <c r="H11" i="3"/>
  <c r="H67" i="3"/>
  <c r="H10" i="3"/>
  <c r="H68" i="3"/>
  <c r="H9" i="3"/>
  <c r="H69" i="3"/>
  <c r="H8" i="3"/>
  <c r="H70" i="3"/>
  <c r="H7" i="3"/>
  <c r="H71" i="3"/>
  <c r="H6" i="3"/>
  <c r="H72" i="3"/>
  <c r="H73" i="3"/>
  <c r="H74" i="3"/>
  <c r="H75" i="3"/>
  <c r="H3" i="3"/>
  <c r="F28" i="2"/>
  <c r="F27" i="2"/>
  <c r="F26" i="2"/>
  <c r="F30" i="2"/>
  <c r="F31" i="2"/>
  <c r="F29" i="2"/>
  <c r="F34" i="2"/>
  <c r="F25" i="2"/>
  <c r="F35" i="2"/>
  <c r="F24" i="2"/>
  <c r="D63" i="14" s="1"/>
  <c r="F23" i="2"/>
  <c r="F22" i="2"/>
  <c r="F19" i="2"/>
  <c r="F16" i="2"/>
  <c r="F17" i="2"/>
  <c r="F18" i="2"/>
  <c r="F14" i="2"/>
  <c r="F15" i="2"/>
  <c r="F9" i="2"/>
  <c r="F10" i="2"/>
  <c r="D149" i="14" s="1"/>
  <c r="F12" i="2"/>
  <c r="F11" i="2"/>
  <c r="F6" i="2"/>
  <c r="F5" i="2"/>
  <c r="F7" i="2"/>
  <c r="F20" i="2"/>
  <c r="F32" i="2"/>
  <c r="F3" i="2"/>
  <c r="C7" i="13" s="1"/>
  <c r="AB34" i="20" a="1"/>
  <c r="G59" i="20" l="1"/>
  <c r="AU61" i="20"/>
  <c r="H59" i="20"/>
  <c r="AU78" i="20"/>
  <c r="F145" i="20"/>
  <c r="BU124" i="20"/>
  <c r="F144" i="20" s="1"/>
  <c r="D58" i="20"/>
  <c r="AU10" i="20"/>
  <c r="D57" i="20" s="1"/>
  <c r="F101" i="20"/>
  <c r="BU27" i="20"/>
  <c r="F100" i="20" s="1"/>
  <c r="E58" i="20"/>
  <c r="AU26" i="20"/>
  <c r="E57" i="20" s="1"/>
  <c r="BU44" i="20"/>
  <c r="G100" i="20" s="1"/>
  <c r="G101" i="20"/>
  <c r="AU93" i="20"/>
  <c r="I57" i="20" s="1"/>
  <c r="I58" i="20"/>
  <c r="AB34" i="20"/>
  <c r="O33" i="19"/>
  <c r="I69" i="19" s="1"/>
  <c r="AE7" i="11"/>
  <c r="AF30" i="11"/>
  <c r="O31" i="19"/>
  <c r="I67" i="19" s="1"/>
  <c r="O25" i="19"/>
  <c r="I61" i="19" s="1"/>
  <c r="O12" i="19"/>
  <c r="I48" i="19" s="1"/>
  <c r="O26" i="19"/>
  <c r="I62" i="19" s="1"/>
  <c r="O13" i="19"/>
  <c r="I49" i="19" s="1"/>
  <c r="O14" i="19"/>
  <c r="I50" i="19" s="1"/>
  <c r="O21" i="19"/>
  <c r="I57" i="19" s="1"/>
  <c r="O27" i="19"/>
  <c r="I63" i="19" s="1"/>
  <c r="O20" i="19"/>
  <c r="I56" i="19" s="1"/>
  <c r="O7" i="19"/>
  <c r="I43" i="19" s="1"/>
  <c r="O37" i="19"/>
  <c r="O19" i="19"/>
  <c r="I55" i="19" s="1"/>
  <c r="O30" i="19"/>
  <c r="I66" i="19" s="1"/>
  <c r="O18" i="19"/>
  <c r="I54" i="19" s="1"/>
  <c r="O29" i="19"/>
  <c r="I65" i="19" s="1"/>
  <c r="O15" i="19"/>
  <c r="I51" i="19" s="1"/>
  <c r="O34" i="19"/>
  <c r="I70" i="19" s="1"/>
  <c r="O28" i="19"/>
  <c r="I64" i="19" s="1"/>
  <c r="O16" i="19"/>
  <c r="I52" i="19" s="1"/>
  <c r="O11" i="19"/>
  <c r="I47" i="19" s="1"/>
  <c r="O35" i="19"/>
  <c r="I71" i="19" s="1"/>
  <c r="O17" i="19"/>
  <c r="I53" i="19" s="1"/>
  <c r="O9" i="19"/>
  <c r="I45" i="19" s="1"/>
  <c r="E102" i="14"/>
  <c r="E21" i="15" s="1"/>
  <c r="O22" i="19"/>
  <c r="I58" i="19" s="1"/>
  <c r="O24" i="19"/>
  <c r="I60" i="19" s="1"/>
  <c r="E44" i="14"/>
  <c r="E13" i="15" s="1"/>
  <c r="E33" i="13"/>
  <c r="F130" i="14"/>
  <c r="F25" i="15" s="1"/>
  <c r="E159" i="14"/>
  <c r="E29" i="15" s="1"/>
  <c r="E41" i="13"/>
  <c r="F159" i="14"/>
  <c r="F29" i="15" s="1"/>
  <c r="F102" i="14"/>
  <c r="F21" i="15" s="1"/>
  <c r="D33" i="13"/>
  <c r="E130" i="14"/>
  <c r="E25" i="15" s="1"/>
  <c r="F44" i="14"/>
  <c r="F13" i="15" s="1"/>
  <c r="E72" i="14"/>
  <c r="E17" i="15" s="1"/>
  <c r="D41" i="13"/>
  <c r="F72" i="14"/>
  <c r="F17" i="15" s="1"/>
  <c r="F40" i="10"/>
  <c r="H40" i="10"/>
  <c r="E100" i="14"/>
  <c r="F42" i="14"/>
  <c r="E39" i="13"/>
  <c r="E70" i="14"/>
  <c r="F100" i="14"/>
  <c r="D100" i="14"/>
  <c r="D70" i="14"/>
  <c r="C39" i="13"/>
  <c r="E157" i="14"/>
  <c r="F157" i="14"/>
  <c r="F70" i="14"/>
  <c r="D42" i="14"/>
  <c r="E129" i="14"/>
  <c r="E42" i="14"/>
  <c r="F129" i="14"/>
  <c r="D99" i="14"/>
  <c r="D156" i="14"/>
  <c r="D69" i="14"/>
  <c r="C38" i="13"/>
  <c r="F41" i="9"/>
  <c r="D41" i="14"/>
  <c r="D128" i="14"/>
  <c r="F155" i="14"/>
  <c r="F40" i="14"/>
  <c r="F98" i="14"/>
  <c r="E29" i="13"/>
  <c r="F127" i="14"/>
  <c r="F68" i="14"/>
  <c r="I67" i="14" s="1"/>
  <c r="F126" i="14"/>
  <c r="I125" i="14" s="1"/>
  <c r="F39" i="14"/>
  <c r="I38" i="14" s="1"/>
  <c r="I10" i="14"/>
  <c r="E28" i="13"/>
  <c r="I26" i="13" s="1"/>
  <c r="F154" i="14"/>
  <c r="I153" i="14" s="1"/>
  <c r="F150" i="14"/>
  <c r="I150" i="14" s="1"/>
  <c r="E8" i="13"/>
  <c r="F64" i="14"/>
  <c r="I64" i="14" s="1"/>
  <c r="F93" i="14"/>
  <c r="F123" i="14"/>
  <c r="I123" i="14" s="1"/>
  <c r="F35" i="14"/>
  <c r="I35" i="14" s="1"/>
  <c r="D92" i="14"/>
  <c r="G92" i="14" s="1"/>
  <c r="F34" i="14"/>
  <c r="I33" i="14" s="1"/>
  <c r="F92" i="14"/>
  <c r="I91" i="14" s="1"/>
  <c r="D34" i="14"/>
  <c r="G33" i="14" s="1"/>
  <c r="F63" i="14"/>
  <c r="I62" i="14" s="1"/>
  <c r="F149" i="14"/>
  <c r="D8" i="15"/>
  <c r="D122" i="14"/>
  <c r="G121" i="14" s="1"/>
  <c r="C23" i="13"/>
  <c r="F28" i="15"/>
  <c r="I147" i="14"/>
  <c r="H59" i="8"/>
  <c r="D28" i="15"/>
  <c r="G147" i="14"/>
  <c r="F24" i="15"/>
  <c r="H24" i="15" s="1"/>
  <c r="I120" i="14"/>
  <c r="D24" i="15"/>
  <c r="G120" i="14"/>
  <c r="D20" i="15"/>
  <c r="G90" i="14"/>
  <c r="F20" i="15"/>
  <c r="I90" i="14"/>
  <c r="D16" i="15"/>
  <c r="G61" i="14"/>
  <c r="F16" i="15"/>
  <c r="I61" i="14"/>
  <c r="F12" i="15"/>
  <c r="I32" i="14"/>
  <c r="D12" i="15"/>
  <c r="G32" i="14"/>
  <c r="I152" i="14"/>
  <c r="F8" i="13"/>
  <c r="H26" i="13"/>
  <c r="I151" i="14"/>
  <c r="G152" i="14"/>
  <c r="G154" i="14"/>
  <c r="F7" i="13"/>
  <c r="G148" i="14"/>
  <c r="G149" i="14"/>
  <c r="F9" i="15"/>
  <c r="H8" i="15" s="1"/>
  <c r="E9" i="15"/>
  <c r="G153" i="14"/>
  <c r="G151" i="14"/>
  <c r="G150" i="14"/>
  <c r="I95" i="14"/>
  <c r="G123" i="14"/>
  <c r="G125" i="14"/>
  <c r="G67" i="14"/>
  <c r="J36" i="14"/>
  <c r="K36" i="14" s="1"/>
  <c r="I94" i="14"/>
  <c r="I124" i="14"/>
  <c r="I121" i="14"/>
  <c r="G124" i="14"/>
  <c r="G94" i="14"/>
  <c r="G95" i="14"/>
  <c r="I66" i="14"/>
  <c r="G93" i="14"/>
  <c r="G97" i="14"/>
  <c r="G126" i="14"/>
  <c r="I96" i="14"/>
  <c r="G96" i="14"/>
  <c r="I97" i="14"/>
  <c r="G9" i="14"/>
  <c r="G35" i="14"/>
  <c r="J37" i="14"/>
  <c r="K37" i="14" s="1"/>
  <c r="G64" i="14"/>
  <c r="G66" i="14"/>
  <c r="G8" i="14"/>
  <c r="G63" i="14"/>
  <c r="G10" i="14"/>
  <c r="G38" i="14"/>
  <c r="G65" i="14"/>
  <c r="I65" i="14"/>
  <c r="I8" i="14"/>
  <c r="G39" i="14"/>
  <c r="I34" i="14"/>
  <c r="G62" i="14"/>
  <c r="I7" i="14"/>
  <c r="G26" i="13"/>
  <c r="G7" i="14"/>
  <c r="I6" i="14"/>
  <c r="E24" i="13"/>
  <c r="G6" i="14"/>
  <c r="F8" i="10"/>
  <c r="F16" i="10"/>
  <c r="F25" i="10"/>
  <c r="G9" i="10"/>
  <c r="G17" i="10"/>
  <c r="G30" i="10"/>
  <c r="G28" i="10"/>
  <c r="H32" i="10"/>
  <c r="G7" i="10"/>
  <c r="G15" i="10"/>
  <c r="G35" i="10"/>
  <c r="G19" i="11"/>
  <c r="AE19" i="11" s="1"/>
  <c r="G64" i="11"/>
  <c r="G86" i="11"/>
  <c r="G63" i="11"/>
  <c r="H87" i="11"/>
  <c r="H80" i="11"/>
  <c r="H29" i="11"/>
  <c r="AF29" i="11" s="1"/>
  <c r="H60" i="11"/>
  <c r="H10" i="11"/>
  <c r="AF10" i="11" s="1"/>
  <c r="G19" i="9"/>
  <c r="G85" i="11"/>
  <c r="G25" i="11"/>
  <c r="AE25" i="11" s="1"/>
  <c r="H21" i="11"/>
  <c r="AF21" i="11" s="1"/>
  <c r="H77" i="11"/>
  <c r="H70" i="11"/>
  <c r="H59" i="11"/>
  <c r="H9" i="11"/>
  <c r="AF9" i="11" s="1"/>
  <c r="F17" i="12"/>
  <c r="G76" i="11"/>
  <c r="G10" i="11"/>
  <c r="AE10" i="11" s="1"/>
  <c r="H6" i="11"/>
  <c r="G75" i="11"/>
  <c r="H36" i="11"/>
  <c r="H65" i="11"/>
  <c r="H6" i="9"/>
  <c r="G74" i="11"/>
  <c r="G8" i="11"/>
  <c r="AE8" i="11" s="1"/>
  <c r="H32" i="11"/>
  <c r="AF32" i="11" s="1"/>
  <c r="H75" i="11"/>
  <c r="H26" i="11"/>
  <c r="AF26" i="11" s="1"/>
  <c r="H13" i="11"/>
  <c r="AF13" i="11" s="1"/>
  <c r="F29" i="12"/>
  <c r="F11" i="12"/>
  <c r="G9" i="11"/>
  <c r="AE9" i="11" s="1"/>
  <c r="H76" i="11"/>
  <c r="H18" i="11"/>
  <c r="AF18" i="11" s="1"/>
  <c r="F9" i="12"/>
  <c r="G45" i="11"/>
  <c r="H82" i="11"/>
  <c r="H72" i="11"/>
  <c r="H64" i="11"/>
  <c r="F33" i="12"/>
  <c r="G12" i="9"/>
  <c r="H11" i="9"/>
  <c r="H37" i="9"/>
  <c r="H31" i="9"/>
  <c r="H17" i="9"/>
  <c r="H9" i="9"/>
  <c r="H18" i="9"/>
  <c r="H29" i="9"/>
  <c r="H4" i="9"/>
  <c r="H10" i="9"/>
  <c r="H22" i="9"/>
  <c r="H30" i="9"/>
  <c r="G22" i="9"/>
  <c r="G13" i="9"/>
  <c r="H19" i="9"/>
  <c r="H8" i="9"/>
  <c r="F24" i="11"/>
  <c r="AD24" i="11" s="1"/>
  <c r="F77" i="11"/>
  <c r="F66" i="11"/>
  <c r="F13" i="11"/>
  <c r="AD13" i="11" s="1"/>
  <c r="G25" i="9"/>
  <c r="G14" i="9"/>
  <c r="H12" i="9"/>
  <c r="F87" i="11"/>
  <c r="F65" i="11"/>
  <c r="F12" i="11"/>
  <c r="AD12" i="11" s="1"/>
  <c r="G11" i="11"/>
  <c r="AE11" i="11" s="1"/>
  <c r="G58" i="11"/>
  <c r="G26" i="11"/>
  <c r="AE26" i="11" s="1"/>
  <c r="G29" i="11"/>
  <c r="AE29" i="11" s="1"/>
  <c r="G31" i="11"/>
  <c r="AE31" i="11" s="1"/>
  <c r="G82" i="11"/>
  <c r="G21" i="11"/>
  <c r="AE21" i="11" s="1"/>
  <c r="G13" i="11"/>
  <c r="AE13" i="11" s="1"/>
  <c r="G60" i="11"/>
  <c r="G66" i="11"/>
  <c r="G72" i="11"/>
  <c r="G77" i="11"/>
  <c r="G36" i="11"/>
  <c r="G24" i="11"/>
  <c r="AE24" i="11" s="1"/>
  <c r="G6" i="11"/>
  <c r="G14" i="11"/>
  <c r="AE14" i="11" s="1"/>
  <c r="G61" i="11"/>
  <c r="G67" i="11"/>
  <c r="G73" i="11"/>
  <c r="G78" i="11"/>
  <c r="G83" i="11"/>
  <c r="G37" i="11"/>
  <c r="G12" i="11"/>
  <c r="AE12" i="11" s="1"/>
  <c r="G59" i="11"/>
  <c r="G65" i="11"/>
  <c r="G71" i="11"/>
  <c r="G30" i="11"/>
  <c r="G32" i="11"/>
  <c r="AE32" i="11" s="1"/>
  <c r="G87" i="11"/>
  <c r="G28" i="9"/>
  <c r="G4" i="9"/>
  <c r="H24" i="9"/>
  <c r="F84" i="11"/>
  <c r="F45" i="11"/>
  <c r="F62" i="11"/>
  <c r="F7" i="11"/>
  <c r="G81" i="11"/>
  <c r="G23" i="11"/>
  <c r="AE23" i="11" s="1"/>
  <c r="G30" i="9"/>
  <c r="G36" i="9"/>
  <c r="H25" i="9"/>
  <c r="H23" i="9"/>
  <c r="H14" i="9"/>
  <c r="F83" i="11"/>
  <c r="F73" i="11"/>
  <c r="F61" i="11"/>
  <c r="F6" i="11"/>
  <c r="G80" i="11"/>
  <c r="G69" i="11"/>
  <c r="G18" i="11"/>
  <c r="AE18" i="11" s="1"/>
  <c r="G31" i="9"/>
  <c r="H28" i="9"/>
  <c r="H20" i="9"/>
  <c r="H15" i="9"/>
  <c r="F36" i="11"/>
  <c r="F72" i="11"/>
  <c r="G4" i="11"/>
  <c r="G28" i="11"/>
  <c r="AE28" i="11" s="1"/>
  <c r="G68" i="11"/>
  <c r="G17" i="11"/>
  <c r="AE17" i="11" s="1"/>
  <c r="G17" i="9"/>
  <c r="G9" i="9"/>
  <c r="G18" i="9"/>
  <c r="G29" i="9"/>
  <c r="G15" i="9"/>
  <c r="G7" i="9"/>
  <c r="G24" i="9"/>
  <c r="G27" i="9"/>
  <c r="G16" i="9"/>
  <c r="G8" i="9"/>
  <c r="G23" i="9"/>
  <c r="G26" i="9"/>
  <c r="G21" i="9"/>
  <c r="F8" i="11"/>
  <c r="AD8" i="11" s="1"/>
  <c r="F17" i="11"/>
  <c r="AD17" i="11" s="1"/>
  <c r="F25" i="11"/>
  <c r="AD25" i="11" s="1"/>
  <c r="F68" i="11"/>
  <c r="F74" i="11"/>
  <c r="F28" i="11"/>
  <c r="AD28" i="11" s="1"/>
  <c r="F85" i="11"/>
  <c r="F4" i="11"/>
  <c r="F10" i="11"/>
  <c r="AD10" i="11" s="1"/>
  <c r="F23" i="11"/>
  <c r="AD23" i="11" s="1"/>
  <c r="F64" i="11"/>
  <c r="F70" i="11"/>
  <c r="F76" i="11"/>
  <c r="F81" i="11"/>
  <c r="F19" i="11"/>
  <c r="AD19" i="11" s="1"/>
  <c r="F11" i="11"/>
  <c r="AD11" i="11" s="1"/>
  <c r="F58" i="11"/>
  <c r="F26" i="11"/>
  <c r="AD26" i="11" s="1"/>
  <c r="F29" i="11"/>
  <c r="F31" i="11"/>
  <c r="AD31" i="11" s="1"/>
  <c r="F82" i="11"/>
  <c r="F21" i="11"/>
  <c r="AD21" i="11" s="1"/>
  <c r="F9" i="11"/>
  <c r="AD9" i="11" s="1"/>
  <c r="F18" i="11"/>
  <c r="AD18" i="11" s="1"/>
  <c r="F63" i="11"/>
  <c r="F69" i="11"/>
  <c r="F75" i="11"/>
  <c r="F80" i="11"/>
  <c r="F86" i="11"/>
  <c r="G37" i="9"/>
  <c r="G41" i="9" s="1"/>
  <c r="H21" i="9"/>
  <c r="F30" i="11"/>
  <c r="G20" i="9"/>
  <c r="H13" i="9"/>
  <c r="G70" i="11"/>
  <c r="G32" i="9"/>
  <c r="G10" i="9"/>
  <c r="H27" i="9"/>
  <c r="H36" i="9"/>
  <c r="F41" i="14" s="1"/>
  <c r="H16" i="9"/>
  <c r="F32" i="11"/>
  <c r="AD32" i="11" s="1"/>
  <c r="F71" i="11"/>
  <c r="F59" i="11"/>
  <c r="G46" i="11"/>
  <c r="G79" i="11"/>
  <c r="G27" i="11"/>
  <c r="G15" i="11"/>
  <c r="AE15" i="11" s="1"/>
  <c r="H46" i="11"/>
  <c r="H84" i="11"/>
  <c r="H79" i="11"/>
  <c r="H45" i="11"/>
  <c r="H27" i="11"/>
  <c r="H62" i="11"/>
  <c r="H15" i="11"/>
  <c r="AF15" i="11" s="1"/>
  <c r="H7" i="11"/>
  <c r="F28" i="12"/>
  <c r="F21" i="12"/>
  <c r="F7" i="12"/>
  <c r="F25" i="12"/>
  <c r="F23" i="12"/>
  <c r="F14" i="12"/>
  <c r="H4" i="11"/>
  <c r="H85" i="11"/>
  <c r="H28" i="11"/>
  <c r="AF28" i="11" s="1"/>
  <c r="H74" i="11"/>
  <c r="H68" i="11"/>
  <c r="H25" i="11"/>
  <c r="AF25" i="11" s="1"/>
  <c r="H17" i="11"/>
  <c r="AF17" i="11" s="1"/>
  <c r="H8" i="11"/>
  <c r="AF8" i="11" s="1"/>
  <c r="F35" i="12"/>
  <c r="F24" i="12"/>
  <c r="F15" i="12"/>
  <c r="H37" i="11"/>
  <c r="H83" i="11"/>
  <c r="H78" i="11"/>
  <c r="H73" i="11"/>
  <c r="H67" i="11"/>
  <c r="H61" i="11"/>
  <c r="H14" i="11"/>
  <c r="AF14" i="11" s="1"/>
  <c r="F27" i="12"/>
  <c r="F19" i="12"/>
  <c r="F13" i="13"/>
  <c r="F12" i="13"/>
  <c r="AC34" i="20" a="1"/>
  <c r="G58" i="20" l="1"/>
  <c r="AU60" i="20"/>
  <c r="G57" i="20" s="1"/>
  <c r="AU77" i="20"/>
  <c r="H57" i="20" s="1"/>
  <c r="H58" i="20"/>
  <c r="U57" i="19"/>
  <c r="U55" i="19"/>
  <c r="U54" i="19"/>
  <c r="I73" i="19"/>
  <c r="U58" i="19" s="1"/>
  <c r="U46" i="19"/>
  <c r="U49" i="19"/>
  <c r="U47" i="19"/>
  <c r="AC34" i="20"/>
  <c r="O34" i="20" s="1"/>
  <c r="AD29" i="11"/>
  <c r="G122" i="14"/>
  <c r="N12" i="19"/>
  <c r="T12" i="19" s="1"/>
  <c r="S18" i="19"/>
  <c r="N14" i="19"/>
  <c r="T14" i="19" s="1"/>
  <c r="S20" i="19"/>
  <c r="N28" i="19"/>
  <c r="T28" i="19" s="1"/>
  <c r="O10" i="19"/>
  <c r="AE30" i="11"/>
  <c r="AD7" i="11"/>
  <c r="AD30" i="11"/>
  <c r="AF7" i="11"/>
  <c r="O23" i="19"/>
  <c r="I59" i="19" s="1"/>
  <c r="U56" i="19" s="1"/>
  <c r="N31" i="19"/>
  <c r="T31" i="19" s="1"/>
  <c r="I129" i="14"/>
  <c r="N34" i="19"/>
  <c r="T34" i="19" s="1"/>
  <c r="S34" i="19"/>
  <c r="N20" i="19"/>
  <c r="T20" i="19" s="1"/>
  <c r="S7" i="19"/>
  <c r="N7" i="19"/>
  <c r="T7" i="19" s="1"/>
  <c r="M43" i="19" s="1"/>
  <c r="N15" i="19"/>
  <c r="T15" i="19" s="1"/>
  <c r="S15" i="19"/>
  <c r="S22" i="19"/>
  <c r="S24" i="19"/>
  <c r="N24" i="19"/>
  <c r="T24" i="19" s="1"/>
  <c r="N22" i="19"/>
  <c r="T22" i="19" s="1"/>
  <c r="G40" i="11"/>
  <c r="AD6" i="11"/>
  <c r="D5" i="15"/>
  <c r="AD4" i="11"/>
  <c r="F41" i="11"/>
  <c r="G41" i="11"/>
  <c r="AE4" i="11"/>
  <c r="F40" i="11"/>
  <c r="G13" i="14"/>
  <c r="AE27" i="11"/>
  <c r="AF6" i="11"/>
  <c r="F5" i="15"/>
  <c r="H4" i="15" s="1"/>
  <c r="I14" i="14"/>
  <c r="AF27" i="11"/>
  <c r="F71" i="14"/>
  <c r="I71" i="14" s="1"/>
  <c r="AF4" i="11"/>
  <c r="H41" i="11"/>
  <c r="E5" i="15"/>
  <c r="AE6" i="11"/>
  <c r="H40" i="11"/>
  <c r="H12" i="15"/>
  <c r="D102" i="14"/>
  <c r="D21" i="15" s="1"/>
  <c r="G20" i="15" s="1"/>
  <c r="M20" i="15" s="1"/>
  <c r="C33" i="13"/>
  <c r="D44" i="14"/>
  <c r="P44" i="14" s="1"/>
  <c r="D159" i="14"/>
  <c r="D29" i="15" s="1"/>
  <c r="G28" i="15" s="1"/>
  <c r="H28" i="15"/>
  <c r="H20" i="15"/>
  <c r="D72" i="14"/>
  <c r="N75" i="14" s="1"/>
  <c r="C41" i="13"/>
  <c r="H38" i="13" s="1"/>
  <c r="H16" i="15"/>
  <c r="D130" i="14"/>
  <c r="D32" i="13"/>
  <c r="D157" i="14"/>
  <c r="D39" i="13"/>
  <c r="G40" i="10"/>
  <c r="F101" i="14"/>
  <c r="I101" i="14" s="1"/>
  <c r="F43" i="14"/>
  <c r="E101" i="14"/>
  <c r="D158" i="14"/>
  <c r="F158" i="14"/>
  <c r="I158" i="14" s="1"/>
  <c r="D43" i="14"/>
  <c r="C32" i="13"/>
  <c r="D101" i="14"/>
  <c r="E43" i="14"/>
  <c r="D71" i="14"/>
  <c r="E71" i="14"/>
  <c r="E32" i="13"/>
  <c r="E158" i="14"/>
  <c r="F51" i="1"/>
  <c r="I41" i="14"/>
  <c r="D129" i="14"/>
  <c r="E99" i="14"/>
  <c r="G98" i="14" s="1"/>
  <c r="H41" i="9"/>
  <c r="E69" i="14"/>
  <c r="G69" i="14" s="1"/>
  <c r="E30" i="13"/>
  <c r="G40" i="9"/>
  <c r="I11" i="14"/>
  <c r="H40" i="9"/>
  <c r="G12" i="14"/>
  <c r="E38" i="13"/>
  <c r="J39" i="13" s="1"/>
  <c r="F128" i="14"/>
  <c r="I127" i="14" s="1"/>
  <c r="F99" i="14"/>
  <c r="I98" i="14" s="1"/>
  <c r="J98" i="14" s="1"/>
  <c r="K98" i="14" s="1"/>
  <c r="E41" i="14"/>
  <c r="G41" i="14" s="1"/>
  <c r="E156" i="14"/>
  <c r="G155" i="14" s="1"/>
  <c r="D38" i="13"/>
  <c r="I38" i="13" s="1"/>
  <c r="F69" i="14"/>
  <c r="I69" i="14" s="1"/>
  <c r="F156" i="14"/>
  <c r="I156" i="14" s="1"/>
  <c r="E128" i="14"/>
  <c r="G127" i="14" s="1"/>
  <c r="D30" i="13"/>
  <c r="I149" i="14"/>
  <c r="J149" i="14" s="1"/>
  <c r="K149" i="14" s="1"/>
  <c r="G34" i="14"/>
  <c r="J34" i="14" s="1"/>
  <c r="K34" i="14" s="1"/>
  <c r="I92" i="14"/>
  <c r="J92" i="14" s="1"/>
  <c r="K92" i="14" s="1"/>
  <c r="G91" i="14"/>
  <c r="J91" i="14" s="1"/>
  <c r="K91" i="14" s="1"/>
  <c r="I9" i="14"/>
  <c r="J9" i="14" s="1"/>
  <c r="K9" i="14" s="1"/>
  <c r="J38" i="14"/>
  <c r="K38" i="14" s="1"/>
  <c r="I126" i="14"/>
  <c r="J126" i="14" s="1"/>
  <c r="K126" i="14" s="1"/>
  <c r="I39" i="14"/>
  <c r="J39" i="14" s="1"/>
  <c r="K39" i="14" s="1"/>
  <c r="I154" i="14"/>
  <c r="J154" i="14" s="1"/>
  <c r="K154" i="14" s="1"/>
  <c r="I40" i="14"/>
  <c r="F43" i="1"/>
  <c r="F44" i="1"/>
  <c r="F45" i="1"/>
  <c r="J35" i="14"/>
  <c r="K35" i="14" s="1"/>
  <c r="I63" i="14"/>
  <c r="J63" i="14" s="1"/>
  <c r="K63" i="14" s="1"/>
  <c r="I93" i="14"/>
  <c r="J93" i="14" s="1"/>
  <c r="K93" i="14" s="1"/>
  <c r="I122" i="14"/>
  <c r="J122" i="14" s="1"/>
  <c r="K122" i="14" s="1"/>
  <c r="I148" i="14"/>
  <c r="J148" i="14" s="1"/>
  <c r="K148" i="14" s="1"/>
  <c r="J147" i="14"/>
  <c r="K147" i="14" s="1"/>
  <c r="J120" i="14"/>
  <c r="K120" i="14" s="1"/>
  <c r="J150" i="14"/>
  <c r="K150" i="14" s="1"/>
  <c r="J61" i="14"/>
  <c r="K61" i="14" s="1"/>
  <c r="J90" i="14"/>
  <c r="K90" i="14" s="1"/>
  <c r="J123" i="14"/>
  <c r="K123" i="14" s="1"/>
  <c r="J32" i="14"/>
  <c r="K32" i="14" s="1"/>
  <c r="J95" i="14"/>
  <c r="K95" i="14" s="1"/>
  <c r="J151" i="14"/>
  <c r="K151" i="14" s="1"/>
  <c r="J152" i="14"/>
  <c r="K152" i="14" s="1"/>
  <c r="J62" i="14"/>
  <c r="K62" i="14" s="1"/>
  <c r="J66" i="14"/>
  <c r="K66" i="14" s="1"/>
  <c r="D9" i="15"/>
  <c r="J125" i="14"/>
  <c r="K125" i="14" s="1"/>
  <c r="J67" i="14"/>
  <c r="K67" i="14" s="1"/>
  <c r="G99" i="14"/>
  <c r="J153" i="14"/>
  <c r="K153" i="14" s="1"/>
  <c r="J10" i="14"/>
  <c r="K10" i="14" s="1"/>
  <c r="J124" i="14"/>
  <c r="K124" i="14" s="1"/>
  <c r="J97" i="14"/>
  <c r="K97" i="14" s="1"/>
  <c r="J121" i="14"/>
  <c r="K121" i="14" s="1"/>
  <c r="J94" i="14"/>
  <c r="K94" i="14" s="1"/>
  <c r="J64" i="14"/>
  <c r="K64" i="14" s="1"/>
  <c r="J96" i="14"/>
  <c r="K96" i="14" s="1"/>
  <c r="J65" i="14"/>
  <c r="K65" i="14" s="1"/>
  <c r="J8" i="14"/>
  <c r="K8" i="14" s="1"/>
  <c r="J7" i="14"/>
  <c r="K7" i="14" s="1"/>
  <c r="J33" i="14"/>
  <c r="K33" i="14" s="1"/>
  <c r="G7" i="13"/>
  <c r="G6" i="13"/>
  <c r="J6" i="14"/>
  <c r="K6" i="14" s="1"/>
  <c r="J5" i="14"/>
  <c r="K5" i="14" s="1"/>
  <c r="C30" i="13"/>
  <c r="P7" i="19" l="1"/>
  <c r="H67" i="19"/>
  <c r="N67" i="19" s="1"/>
  <c r="L54" i="19"/>
  <c r="O54" i="19" s="1"/>
  <c r="V18" i="19"/>
  <c r="L58" i="19"/>
  <c r="O58" i="19" s="1"/>
  <c r="V22" i="19"/>
  <c r="L43" i="19"/>
  <c r="O43" i="19" s="1"/>
  <c r="V7" i="19"/>
  <c r="L60" i="19"/>
  <c r="O60" i="19" s="1"/>
  <c r="V24" i="19"/>
  <c r="L51" i="19"/>
  <c r="O51" i="19" s="1"/>
  <c r="V15" i="19"/>
  <c r="L56" i="19"/>
  <c r="O56" i="19" s="1"/>
  <c r="V20" i="19"/>
  <c r="L70" i="19"/>
  <c r="O70" i="19" s="1"/>
  <c r="V34" i="19"/>
  <c r="U50" i="19"/>
  <c r="I46" i="19"/>
  <c r="U59" i="19" s="1"/>
  <c r="U48" i="19"/>
  <c r="H43" i="19"/>
  <c r="P34" i="19"/>
  <c r="H70" i="19"/>
  <c r="N70" i="19" s="1"/>
  <c r="P28" i="19"/>
  <c r="H64" i="19"/>
  <c r="P22" i="19"/>
  <c r="H58" i="19"/>
  <c r="N58" i="19" s="1"/>
  <c r="P20" i="19"/>
  <c r="H56" i="19"/>
  <c r="P24" i="19"/>
  <c r="H60" i="19"/>
  <c r="N60" i="19" s="1"/>
  <c r="P12" i="19"/>
  <c r="H48" i="19"/>
  <c r="P15" i="19"/>
  <c r="H51" i="19"/>
  <c r="N51" i="19" s="1"/>
  <c r="P14" i="19"/>
  <c r="H50" i="19"/>
  <c r="N50" i="19" s="1"/>
  <c r="I42" i="14"/>
  <c r="I43" i="14"/>
  <c r="S14" i="19"/>
  <c r="N18" i="19"/>
  <c r="T18" i="19" s="1"/>
  <c r="S12" i="19"/>
  <c r="S28" i="19"/>
  <c r="N33" i="19"/>
  <c r="T33" i="19" s="1"/>
  <c r="S33" i="19"/>
  <c r="S10" i="19"/>
  <c r="N10" i="19"/>
  <c r="T10" i="19" s="1"/>
  <c r="K4" i="15"/>
  <c r="G4" i="15"/>
  <c r="I4" i="15" s="1"/>
  <c r="L4" i="15" s="1"/>
  <c r="G68" i="14"/>
  <c r="G53" i="1"/>
  <c r="S31" i="19"/>
  <c r="P31" i="19"/>
  <c r="S30" i="19"/>
  <c r="N30" i="19"/>
  <c r="T30" i="19" s="1"/>
  <c r="S17" i="19"/>
  <c r="N17" i="19"/>
  <c r="T17" i="19" s="1"/>
  <c r="S29" i="19"/>
  <c r="N29" i="19"/>
  <c r="T29" i="19" s="1"/>
  <c r="N23" i="19"/>
  <c r="T23" i="19" s="1"/>
  <c r="S23" i="19"/>
  <c r="N9" i="19"/>
  <c r="T9" i="19" s="1"/>
  <c r="S9" i="19"/>
  <c r="N37" i="19"/>
  <c r="T37" i="19" s="1"/>
  <c r="S37" i="19"/>
  <c r="N19" i="19"/>
  <c r="T19" i="19" s="1"/>
  <c r="S19" i="19"/>
  <c r="S27" i="19"/>
  <c r="N27" i="19"/>
  <c r="T27" i="19" s="1"/>
  <c r="N25" i="19"/>
  <c r="T25" i="19" s="1"/>
  <c r="S25" i="19"/>
  <c r="S16" i="19"/>
  <c r="N16" i="19"/>
  <c r="T16" i="19" s="1"/>
  <c r="S35" i="19"/>
  <c r="N35" i="19"/>
  <c r="T35" i="19" s="1"/>
  <c r="N11" i="19"/>
  <c r="T11" i="19" s="1"/>
  <c r="S11" i="19"/>
  <c r="N26" i="19"/>
  <c r="T26" i="19" s="1"/>
  <c r="S26" i="19"/>
  <c r="N21" i="19"/>
  <c r="T21" i="19" s="1"/>
  <c r="S21" i="19"/>
  <c r="S13" i="19"/>
  <c r="N13" i="19"/>
  <c r="T13" i="19" s="1"/>
  <c r="D13" i="15"/>
  <c r="K12" i="15" s="1"/>
  <c r="N12" i="15" s="1"/>
  <c r="G129" i="14"/>
  <c r="J129" i="14" s="1"/>
  <c r="K129" i="14" s="1"/>
  <c r="I70" i="14"/>
  <c r="K13" i="14"/>
  <c r="N102" i="14"/>
  <c r="I28" i="15"/>
  <c r="J28" i="15" s="1"/>
  <c r="G12" i="15"/>
  <c r="M12" i="15" s="1"/>
  <c r="T171" i="14"/>
  <c r="D17" i="15"/>
  <c r="G16" i="15" s="1"/>
  <c r="H39" i="13"/>
  <c r="K28" i="15"/>
  <c r="N28" i="15" s="1"/>
  <c r="O135" i="14"/>
  <c r="D25" i="15"/>
  <c r="K20" i="15"/>
  <c r="N20" i="15" s="1"/>
  <c r="G158" i="14"/>
  <c r="J158" i="14" s="1"/>
  <c r="L158" i="14" s="1"/>
  <c r="I100" i="14"/>
  <c r="I157" i="14"/>
  <c r="G101" i="14"/>
  <c r="J101" i="14" s="1"/>
  <c r="L101" i="14" s="1"/>
  <c r="G42" i="14"/>
  <c r="J42" i="14" s="1"/>
  <c r="K42" i="14" s="1"/>
  <c r="G71" i="14"/>
  <c r="J71" i="14" s="1"/>
  <c r="L71" i="14" s="1"/>
  <c r="G70" i="14"/>
  <c r="G43" i="14"/>
  <c r="G100" i="14"/>
  <c r="M4" i="15"/>
  <c r="F53" i="1"/>
  <c r="F54" i="1"/>
  <c r="G157" i="14"/>
  <c r="F52" i="1"/>
  <c r="J41" i="14"/>
  <c r="K41" i="14" s="1"/>
  <c r="J69" i="14"/>
  <c r="K69" i="14" s="1"/>
  <c r="I12" i="14"/>
  <c r="J12" i="14" s="1"/>
  <c r="K12" i="14" s="1"/>
  <c r="J38" i="13"/>
  <c r="G11" i="14"/>
  <c r="J11" i="14" s="1"/>
  <c r="K11" i="14" s="1"/>
  <c r="G156" i="14"/>
  <c r="J156" i="14" s="1"/>
  <c r="K156" i="14" s="1"/>
  <c r="G40" i="14"/>
  <c r="J40" i="14" s="1"/>
  <c r="K40" i="14" s="1"/>
  <c r="I99" i="14"/>
  <c r="J99" i="14" s="1"/>
  <c r="K99" i="14" s="1"/>
  <c r="I128" i="14"/>
  <c r="H54" i="1"/>
  <c r="G128" i="14"/>
  <c r="J127" i="14"/>
  <c r="K127" i="14" s="1"/>
  <c r="G54" i="1"/>
  <c r="I155" i="14"/>
  <c r="J155" i="14" s="1"/>
  <c r="K155" i="14" s="1"/>
  <c r="I68" i="14"/>
  <c r="J68" i="14" s="1"/>
  <c r="K68" i="14" s="1"/>
  <c r="I39" i="13"/>
  <c r="M28" i="15"/>
  <c r="G52" i="1"/>
  <c r="G51" i="1"/>
  <c r="H52" i="1"/>
  <c r="I20" i="15"/>
  <c r="J20" i="15" s="1"/>
  <c r="H53" i="1"/>
  <c r="H51" i="1"/>
  <c r="O18" i="14"/>
  <c r="G14" i="14"/>
  <c r="J14" i="14" s="1"/>
  <c r="K14" i="14" s="1"/>
  <c r="G8" i="15"/>
  <c r="K8" i="15"/>
  <c r="N8" i="15" s="1"/>
  <c r="G8" i="13"/>
  <c r="J67" i="19" l="1"/>
  <c r="J50" i="19"/>
  <c r="J48" i="19"/>
  <c r="M48" i="19"/>
  <c r="J56" i="19"/>
  <c r="J64" i="19"/>
  <c r="M64" i="19"/>
  <c r="J51" i="19"/>
  <c r="J60" i="19"/>
  <c r="J58" i="19"/>
  <c r="J70" i="19"/>
  <c r="J43" i="19"/>
  <c r="K43" i="19" s="1"/>
  <c r="P43" i="19" s="1"/>
  <c r="L66" i="19"/>
  <c r="O66" i="19" s="1"/>
  <c r="V30" i="19"/>
  <c r="L52" i="19"/>
  <c r="O52" i="19" s="1"/>
  <c r="V16" i="19"/>
  <c r="L63" i="19"/>
  <c r="O63" i="19" s="1"/>
  <c r="V27" i="19"/>
  <c r="L53" i="19"/>
  <c r="O53" i="19" s="1"/>
  <c r="V17" i="19"/>
  <c r="L69" i="19"/>
  <c r="O69" i="19" s="1"/>
  <c r="V33" i="19"/>
  <c r="L47" i="19"/>
  <c r="O47" i="19" s="1"/>
  <c r="V11" i="19"/>
  <c r="L59" i="19"/>
  <c r="O59" i="19" s="1"/>
  <c r="V23" i="19"/>
  <c r="L48" i="19"/>
  <c r="O48" i="19" s="1"/>
  <c r="V12" i="19"/>
  <c r="L61" i="19"/>
  <c r="O61" i="19" s="1"/>
  <c r="V25" i="19"/>
  <c r="L55" i="19"/>
  <c r="O55" i="19" s="1"/>
  <c r="V19" i="19"/>
  <c r="L45" i="19"/>
  <c r="O45" i="19" s="1"/>
  <c r="V9" i="19"/>
  <c r="L67" i="19"/>
  <c r="O67" i="19" s="1"/>
  <c r="V31" i="19"/>
  <c r="L50" i="19"/>
  <c r="O50" i="19" s="1"/>
  <c r="V14" i="19"/>
  <c r="L57" i="19"/>
  <c r="O57" i="19" s="1"/>
  <c r="V21" i="19"/>
  <c r="L73" i="19"/>
  <c r="O73" i="19" s="1"/>
  <c r="V37" i="19"/>
  <c r="L46" i="19"/>
  <c r="O46" i="19" s="1"/>
  <c r="V10" i="19"/>
  <c r="L62" i="19"/>
  <c r="O62" i="19" s="1"/>
  <c r="V26" i="19"/>
  <c r="L49" i="19"/>
  <c r="O49" i="19" s="1"/>
  <c r="V13" i="19"/>
  <c r="L71" i="19"/>
  <c r="O71" i="19" s="1"/>
  <c r="V35" i="19"/>
  <c r="L65" i="19"/>
  <c r="O65" i="19" s="1"/>
  <c r="V29" i="19"/>
  <c r="L64" i="19"/>
  <c r="O64" i="19" s="1"/>
  <c r="V28" i="19"/>
  <c r="M58" i="19"/>
  <c r="U51" i="19"/>
  <c r="R24" i="19"/>
  <c r="U24" i="19" s="1"/>
  <c r="R7" i="19"/>
  <c r="U7" i="19" s="1"/>
  <c r="R12" i="19"/>
  <c r="U12" i="19" s="1"/>
  <c r="R34" i="19"/>
  <c r="U34" i="19" s="1"/>
  <c r="R22" i="19"/>
  <c r="U22" i="19" s="1"/>
  <c r="M60" i="19"/>
  <c r="N56" i="19"/>
  <c r="N64" i="19"/>
  <c r="M51" i="19"/>
  <c r="M70" i="19"/>
  <c r="N48" i="19"/>
  <c r="N43" i="19"/>
  <c r="R20" i="19"/>
  <c r="U20" i="19" s="1"/>
  <c r="R14" i="19"/>
  <c r="U14" i="19" s="1"/>
  <c r="M50" i="19"/>
  <c r="R28" i="19"/>
  <c r="U28" i="19" s="1"/>
  <c r="R15" i="19"/>
  <c r="U15" i="19" s="1"/>
  <c r="M56" i="19"/>
  <c r="P35" i="19"/>
  <c r="H71" i="19"/>
  <c r="N71" i="19" s="1"/>
  <c r="P37" i="19"/>
  <c r="H73" i="19"/>
  <c r="T58" i="19" s="1"/>
  <c r="P33" i="19"/>
  <c r="H69" i="19"/>
  <c r="N69" i="19" s="1"/>
  <c r="P30" i="19"/>
  <c r="H66" i="19"/>
  <c r="N66" i="19" s="1"/>
  <c r="P27" i="19"/>
  <c r="H63" i="19"/>
  <c r="N63" i="19" s="1"/>
  <c r="P29" i="19"/>
  <c r="H65" i="19"/>
  <c r="N65" i="19" s="1"/>
  <c r="P26" i="19"/>
  <c r="H62" i="19"/>
  <c r="N62" i="19" s="1"/>
  <c r="P25" i="19"/>
  <c r="H61" i="19"/>
  <c r="N61" i="19" s="1"/>
  <c r="P23" i="19"/>
  <c r="H59" i="19"/>
  <c r="P21" i="19"/>
  <c r="H57" i="19"/>
  <c r="N57" i="19" s="1"/>
  <c r="P19" i="19"/>
  <c r="H55" i="19"/>
  <c r="N55" i="19" s="1"/>
  <c r="P17" i="19"/>
  <c r="H53" i="19"/>
  <c r="N53" i="19" s="1"/>
  <c r="P18" i="19"/>
  <c r="H54" i="19"/>
  <c r="P16" i="19"/>
  <c r="H52" i="19"/>
  <c r="N52" i="19" s="1"/>
  <c r="P10" i="19"/>
  <c r="H46" i="19"/>
  <c r="P11" i="19"/>
  <c r="H47" i="19"/>
  <c r="P9" i="19"/>
  <c r="H45" i="19"/>
  <c r="P13" i="19"/>
  <c r="H49" i="19"/>
  <c r="N49" i="19" s="1"/>
  <c r="J43" i="14"/>
  <c r="K43" i="14" s="1"/>
  <c r="L129" i="14"/>
  <c r="R31" i="19"/>
  <c r="U31" i="19" s="1"/>
  <c r="M67" i="19"/>
  <c r="J157" i="14"/>
  <c r="K157" i="14" s="1"/>
  <c r="J70" i="14"/>
  <c r="K70" i="14" s="1"/>
  <c r="J100" i="14"/>
  <c r="K100" i="14" s="1"/>
  <c r="K16" i="15"/>
  <c r="N16" i="15" s="1"/>
  <c r="I12" i="15"/>
  <c r="L12" i="15" s="1"/>
  <c r="L28" i="15"/>
  <c r="G24" i="15"/>
  <c r="K24" i="15"/>
  <c r="N24" i="15" s="1"/>
  <c r="K101" i="14"/>
  <c r="K158" i="14"/>
  <c r="K71" i="14"/>
  <c r="J4" i="15"/>
  <c r="J128" i="14"/>
  <c r="K128" i="14" s="1"/>
  <c r="L20" i="15"/>
  <c r="I16" i="15"/>
  <c r="M16" i="15"/>
  <c r="I8" i="15"/>
  <c r="M8" i="15"/>
  <c r="L14" i="14"/>
  <c r="L13" i="14" s="1"/>
  <c r="L12" i="14" s="1"/>
  <c r="L11" i="14" s="1"/>
  <c r="L10" i="14" s="1"/>
  <c r="L9" i="14" s="1"/>
  <c r="L8" i="14" s="1"/>
  <c r="L7" i="14" s="1"/>
  <c r="L6" i="14" s="1"/>
  <c r="L5" i="14" s="1"/>
  <c r="T51" i="19" l="1"/>
  <c r="T54" i="19"/>
  <c r="T46" i="19"/>
  <c r="T56" i="19"/>
  <c r="X48" i="19"/>
  <c r="J46" i="19"/>
  <c r="J49" i="19"/>
  <c r="J47" i="19"/>
  <c r="M47" i="19"/>
  <c r="J52" i="19"/>
  <c r="J53" i="19"/>
  <c r="J57" i="19"/>
  <c r="J61" i="19"/>
  <c r="J65" i="19"/>
  <c r="V49" i="19" s="1"/>
  <c r="J66" i="19"/>
  <c r="J73" i="19"/>
  <c r="V58" i="19" s="1"/>
  <c r="J45" i="19"/>
  <c r="M54" i="19"/>
  <c r="J55" i="19"/>
  <c r="J59" i="19"/>
  <c r="J62" i="19"/>
  <c r="J63" i="19"/>
  <c r="J69" i="19"/>
  <c r="J71" i="19"/>
  <c r="M71" i="19"/>
  <c r="X50" i="19"/>
  <c r="X47" i="19"/>
  <c r="Z51" i="19"/>
  <c r="X51" i="19"/>
  <c r="Z48" i="19"/>
  <c r="X46" i="19"/>
  <c r="Z47" i="19"/>
  <c r="Z46" i="19"/>
  <c r="Z49" i="19"/>
  <c r="X49" i="19"/>
  <c r="K64" i="19"/>
  <c r="P64" i="19" s="1"/>
  <c r="K60" i="19"/>
  <c r="P60" i="19" s="1"/>
  <c r="K70" i="19"/>
  <c r="P70" i="19" s="1"/>
  <c r="K48" i="19"/>
  <c r="P48" i="19" s="1"/>
  <c r="K50" i="19"/>
  <c r="P50" i="19" s="1"/>
  <c r="K58" i="19"/>
  <c r="P58" i="19" s="1"/>
  <c r="K67" i="19"/>
  <c r="P67" i="19" s="1"/>
  <c r="K51" i="19"/>
  <c r="P51" i="19" s="1"/>
  <c r="K56" i="19"/>
  <c r="P56" i="19" s="1"/>
  <c r="T59" i="19"/>
  <c r="T57" i="19"/>
  <c r="T55" i="19"/>
  <c r="N73" i="19"/>
  <c r="T49" i="19"/>
  <c r="N46" i="19"/>
  <c r="T50" i="19"/>
  <c r="N59" i="19"/>
  <c r="T48" i="19"/>
  <c r="N54" i="19"/>
  <c r="T47" i="19"/>
  <c r="N45" i="19"/>
  <c r="N47" i="19"/>
  <c r="M66" i="19"/>
  <c r="M62" i="19"/>
  <c r="R35" i="19"/>
  <c r="U35" i="19" s="1"/>
  <c r="M55" i="19"/>
  <c r="M63" i="19"/>
  <c r="M65" i="19"/>
  <c r="R37" i="19"/>
  <c r="U37" i="19" s="1"/>
  <c r="M69" i="19"/>
  <c r="R30" i="19"/>
  <c r="U30" i="19" s="1"/>
  <c r="R26" i="19"/>
  <c r="U26" i="19" s="1"/>
  <c r="M59" i="19"/>
  <c r="R27" i="19"/>
  <c r="U27" i="19" s="1"/>
  <c r="M73" i="19"/>
  <c r="R29" i="19"/>
  <c r="U29" i="19" s="1"/>
  <c r="R33" i="19"/>
  <c r="U33" i="19" s="1"/>
  <c r="R25" i="19"/>
  <c r="U25" i="19" s="1"/>
  <c r="M57" i="19"/>
  <c r="M61" i="19"/>
  <c r="R21" i="19"/>
  <c r="U21" i="19" s="1"/>
  <c r="R19" i="19"/>
  <c r="U19" i="19" s="1"/>
  <c r="R13" i="19"/>
  <c r="U13" i="19" s="1"/>
  <c r="R23" i="19"/>
  <c r="U23" i="19" s="1"/>
  <c r="M52" i="19"/>
  <c r="M53" i="19"/>
  <c r="R9" i="19"/>
  <c r="U9" i="19" s="1"/>
  <c r="R17" i="19"/>
  <c r="U17" i="19" s="1"/>
  <c r="M46" i="19"/>
  <c r="R18" i="19"/>
  <c r="U18" i="19" s="1"/>
  <c r="J54" i="19"/>
  <c r="R11" i="19"/>
  <c r="U11" i="19" s="1"/>
  <c r="M49" i="19"/>
  <c r="R10" i="19"/>
  <c r="U10" i="19" s="1"/>
  <c r="R16" i="19"/>
  <c r="U16" i="19" s="1"/>
  <c r="L43" i="14"/>
  <c r="L42" i="14" s="1"/>
  <c r="L41" i="14" s="1"/>
  <c r="L40" i="14" s="1"/>
  <c r="L39" i="14" s="1"/>
  <c r="L38" i="14" s="1"/>
  <c r="L37" i="14" s="1"/>
  <c r="L36" i="14" s="1"/>
  <c r="L35" i="14" s="1"/>
  <c r="L34" i="14" s="1"/>
  <c r="L33" i="14" s="1"/>
  <c r="L32" i="14" s="1"/>
  <c r="L157" i="14"/>
  <c r="L156" i="14" s="1"/>
  <c r="L155" i="14" s="1"/>
  <c r="L154" i="14" s="1"/>
  <c r="L153" i="14" s="1"/>
  <c r="L152" i="14" s="1"/>
  <c r="L151" i="14" s="1"/>
  <c r="L150" i="14" s="1"/>
  <c r="L149" i="14" s="1"/>
  <c r="L148" i="14" s="1"/>
  <c r="L147" i="14" s="1"/>
  <c r="L70" i="14"/>
  <c r="L69" i="14" s="1"/>
  <c r="L68" i="14" s="1"/>
  <c r="L67" i="14" s="1"/>
  <c r="L66" i="14" s="1"/>
  <c r="L65" i="14" s="1"/>
  <c r="L64" i="14" s="1"/>
  <c r="L63" i="14" s="1"/>
  <c r="L62" i="14" s="1"/>
  <c r="L61" i="14" s="1"/>
  <c r="L100" i="14"/>
  <c r="L99" i="14" s="1"/>
  <c r="L98" i="14" s="1"/>
  <c r="L97" i="14" s="1"/>
  <c r="L96" i="14" s="1"/>
  <c r="L95" i="14" s="1"/>
  <c r="L94" i="14" s="1"/>
  <c r="L93" i="14" s="1"/>
  <c r="L92" i="14" s="1"/>
  <c r="L91" i="14" s="1"/>
  <c r="L90" i="14" s="1"/>
  <c r="J12" i="15"/>
  <c r="M24" i="15"/>
  <c r="I24" i="15"/>
  <c r="L128" i="14"/>
  <c r="L127" i="14" s="1"/>
  <c r="L126" i="14" s="1"/>
  <c r="L125" i="14" s="1"/>
  <c r="L124" i="14" s="1"/>
  <c r="L123" i="14" s="1"/>
  <c r="L122" i="14" s="1"/>
  <c r="L121" i="14" s="1"/>
  <c r="L120" i="14" s="1"/>
  <c r="J16" i="15"/>
  <c r="L16" i="15"/>
  <c r="J8" i="15"/>
  <c r="L8" i="15"/>
  <c r="V57" i="19" l="1"/>
  <c r="V59" i="19"/>
  <c r="V51" i="19"/>
  <c r="V54" i="19"/>
  <c r="V55" i="19"/>
  <c r="V46" i="19"/>
  <c r="V48" i="19"/>
  <c r="V56" i="19"/>
  <c r="V50" i="19"/>
  <c r="M45" i="19"/>
  <c r="Y46" i="19" s="1"/>
  <c r="AA51" i="19"/>
  <c r="K52" i="19"/>
  <c r="P52" i="19" s="1"/>
  <c r="K57" i="19"/>
  <c r="P57" i="19" s="1"/>
  <c r="K69" i="19"/>
  <c r="P69" i="19" s="1"/>
  <c r="K46" i="19"/>
  <c r="P46" i="19" s="1"/>
  <c r="K53" i="19"/>
  <c r="P53" i="19" s="1"/>
  <c r="K59" i="19"/>
  <c r="P59" i="19" s="1"/>
  <c r="K65" i="19"/>
  <c r="P65" i="19" s="1"/>
  <c r="K62" i="19"/>
  <c r="P62" i="19" s="1"/>
  <c r="K73" i="19"/>
  <c r="P73" i="19" s="1"/>
  <c r="K71" i="19"/>
  <c r="P71" i="19" s="1"/>
  <c r="K45" i="19"/>
  <c r="P45" i="19" s="1"/>
  <c r="K49" i="19"/>
  <c r="P49" i="19" s="1"/>
  <c r="K47" i="19"/>
  <c r="P47" i="19" s="1"/>
  <c r="K54" i="19"/>
  <c r="P54" i="19" s="1"/>
  <c r="K55" i="19"/>
  <c r="P55" i="19" s="1"/>
  <c r="K61" i="19"/>
  <c r="P61" i="19" s="1"/>
  <c r="K63" i="19"/>
  <c r="P63" i="19" s="1"/>
  <c r="K66" i="19"/>
  <c r="AA47" i="19"/>
  <c r="Y47" i="19"/>
  <c r="AA49" i="19"/>
  <c r="AA48" i="19"/>
  <c r="V47" i="19"/>
  <c r="Y49" i="19"/>
  <c r="Y50" i="19"/>
  <c r="Y51" i="19"/>
  <c r="Y48" i="19"/>
  <c r="J24" i="15"/>
  <c r="L24" i="15"/>
  <c r="AA46" i="19" l="1"/>
  <c r="W50" i="19"/>
  <c r="P66" i="19"/>
  <c r="W55" i="19"/>
  <c r="W49" i="19"/>
  <c r="W56" i="19"/>
  <c r="W58" i="19"/>
  <c r="W57" i="19"/>
  <c r="W48" i="19"/>
  <c r="W46" i="19"/>
  <c r="W51" i="19"/>
  <c r="W59" i="19"/>
  <c r="W47" i="19"/>
  <c r="W54"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tc={2AEC85B1-C835-42CB-8DF0-A1DEC8574BB1}</author>
  </authors>
  <commentList>
    <comment ref="M3" authorId="0" shapeId="0" xr:uid="{2AEC85B1-C835-42CB-8DF0-A1DEC8574BB1}">
      <text>
        <t>[Threaded comment]
Your version of Excel allows you to read this threaded comment; however, any edits to it will get removed if the file is opened in a newer version of Excel. Learn more: https://go.microsoft.com/fwlink/?linkid=870924
Comment:
    Not sure this is still correct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tc={2372F856-1047-4DA2-8813-02201A757CFB}</author>
  </authors>
  <commentList>
    <comment ref="U5" authorId="0" shapeId="0" xr:uid="{2372F856-1047-4DA2-8813-02201A757CFB}">
      <text>
        <t>[Threaded comment]
Your version of Excel allows you to read this threaded comment; however, any edits to it will get removed if the file is opened in a newer version of Excel. Learn more: https://go.microsoft.com/fwlink/?linkid=870924
Comment:
    Not sure this is still correct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McColl, Sam</author>
  </authors>
  <commentList>
    <comment ref="C7" authorId="0" shapeId="0" xr:uid="{00000000-0006-0000-0200-000001000000}">
      <text>
        <r>
          <rPr>
            <b/>
            <sz val="9"/>
            <color indexed="81"/>
            <rFont val="Tahoma"/>
            <family val="2"/>
          </rPr>
          <t>McColl, Sam:</t>
        </r>
        <r>
          <rPr>
            <sz val="9"/>
            <color indexed="81"/>
            <rFont val="Tahoma"/>
            <family val="2"/>
          </rPr>
          <t xml:space="preserve">
added 0.02 m</t>
        </r>
      </text>
    </comment>
    <comment ref="E7" authorId="0" shapeId="0" xr:uid="{00000000-0006-0000-0200-000002000000}">
      <text>
        <r>
          <rPr>
            <b/>
            <sz val="9"/>
            <color indexed="81"/>
            <rFont val="Tahoma"/>
            <family val="2"/>
          </rPr>
          <t>McColl, Sam:</t>
        </r>
        <r>
          <rPr>
            <sz val="9"/>
            <color indexed="81"/>
            <rFont val="Tahoma"/>
            <family val="2"/>
          </rPr>
          <t xml:space="preserve">
added 0.0009</t>
        </r>
      </text>
    </comment>
    <comment ref="E8" authorId="0" shapeId="0" xr:uid="{00000000-0006-0000-0200-000003000000}">
      <text>
        <r>
          <rPr>
            <b/>
            <sz val="9"/>
            <color indexed="81"/>
            <rFont val="Tahoma"/>
            <family val="2"/>
          </rPr>
          <t>McColl, Sam:</t>
        </r>
        <r>
          <rPr>
            <sz val="9"/>
            <color indexed="81"/>
            <rFont val="Tahoma"/>
            <family val="2"/>
          </rPr>
          <t xml:space="preserve">
added 0.0004</t>
        </r>
      </text>
    </comment>
    <comment ref="E12" authorId="0" shapeId="0" xr:uid="{00000000-0006-0000-0200-000004000000}">
      <text>
        <r>
          <rPr>
            <b/>
            <sz val="9"/>
            <color indexed="81"/>
            <rFont val="Tahoma"/>
            <family val="2"/>
          </rPr>
          <t>McColl, Sam:</t>
        </r>
        <r>
          <rPr>
            <sz val="9"/>
            <color indexed="81"/>
            <rFont val="Tahoma"/>
            <family val="2"/>
          </rPr>
          <t xml:space="preserve">
substracted 0.2306</t>
        </r>
      </text>
    </comment>
    <comment ref="E13" authorId="0" shapeId="0" xr:uid="{00000000-0006-0000-0200-000005000000}">
      <text>
        <r>
          <rPr>
            <b/>
            <sz val="9"/>
            <color indexed="81"/>
            <rFont val="Tahoma"/>
            <family val="2"/>
          </rPr>
          <t>McColl, Sam:</t>
        </r>
        <r>
          <rPr>
            <sz val="9"/>
            <color indexed="81"/>
            <rFont val="Tahoma"/>
            <family val="2"/>
          </rPr>
          <t xml:space="preserve">
substracted 0.2306</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<sst xmlns="http://schemas.openxmlformats.org/spreadsheetml/2006/main" count="3333" uniqueCount="672">
  <si>
    <t>FID</t>
  </si>
  <si>
    <t>Name</t>
  </si>
  <si>
    <t>Descriptio</t>
  </si>
  <si>
    <t>Layer</t>
  </si>
  <si>
    <t>FeatureCod</t>
  </si>
  <si>
    <t>Easting</t>
  </si>
  <si>
    <t>Northing</t>
  </si>
  <si>
    <t>Elevation</t>
  </si>
  <si>
    <t>GlobalLati</t>
  </si>
  <si>
    <t>GlobalLong</t>
  </si>
  <si>
    <t>GlobalElli</t>
  </si>
  <si>
    <t>LocalLatit</t>
  </si>
  <si>
    <t>LocalLongi</t>
  </si>
  <si>
    <t>LocalEllip</t>
  </si>
  <si>
    <t>H_Prec_Obs</t>
  </si>
  <si>
    <t>V_Prec_Obs</t>
  </si>
  <si>
    <t>Date_Obs</t>
  </si>
  <si>
    <t>Time_Obs</t>
  </si>
  <si>
    <t>B47B</t>
  </si>
  <si>
    <t xml:space="preserve"> </t>
  </si>
  <si>
    <t>Points</t>
  </si>
  <si>
    <t>LINZ</t>
  </si>
  <si>
    <t>sm1_avg</t>
  </si>
  <si>
    <t>tbm</t>
  </si>
  <si>
    <t>old base_avg</t>
  </si>
  <si>
    <t>sm_avg</t>
  </si>
  <si>
    <t>camera</t>
  </si>
  <si>
    <t>piezo1</t>
  </si>
  <si>
    <t>piezo grnd upslope</t>
  </si>
  <si>
    <t>23_chk</t>
  </si>
  <si>
    <t>sm_chk_avg</t>
  </si>
  <si>
    <t>15_chk</t>
  </si>
  <si>
    <t>LINZ BM</t>
  </si>
  <si>
    <t>sm</t>
  </si>
  <si>
    <t>24 rtk</t>
  </si>
  <si>
    <t>old base</t>
  </si>
  <si>
    <t>2r10_yb_17</t>
  </si>
  <si>
    <t>gcp</t>
  </si>
  <si>
    <t>2r10_yb_35</t>
  </si>
  <si>
    <t>r10_23</t>
  </si>
  <si>
    <t>base</t>
  </si>
  <si>
    <t>r10_15</t>
  </si>
  <si>
    <t>r10_yb19</t>
  </si>
  <si>
    <t>r10_rb24</t>
  </si>
  <si>
    <t>r10_10</t>
  </si>
  <si>
    <t>r10_rb30</t>
  </si>
  <si>
    <t>r10_09</t>
  </si>
  <si>
    <t>r10_yb7</t>
  </si>
  <si>
    <t>r10_11</t>
  </si>
  <si>
    <t>r10_12</t>
  </si>
  <si>
    <t>r10_yb15</t>
  </si>
  <si>
    <t>r10_13</t>
  </si>
  <si>
    <t>r10_rb38</t>
  </si>
  <si>
    <t>r10_18</t>
  </si>
  <si>
    <t>r10_yb33</t>
  </si>
  <si>
    <t>r10_19</t>
  </si>
  <si>
    <t>r10_17</t>
  </si>
  <si>
    <t>r10_yb27</t>
  </si>
  <si>
    <t>r10_14</t>
  </si>
  <si>
    <t>r10_rb32</t>
  </si>
  <si>
    <t>r10_rb8</t>
  </si>
  <si>
    <t>r10_y11</t>
  </si>
  <si>
    <t>r10_y17</t>
  </si>
  <si>
    <t>r10_y35</t>
  </si>
  <si>
    <t>r10_r36</t>
  </si>
  <si>
    <t>r10_y21</t>
  </si>
  <si>
    <t>r10_r16</t>
  </si>
  <si>
    <t>y23</t>
  </si>
  <si>
    <t>y37</t>
  </si>
  <si>
    <t>y39</t>
  </si>
  <si>
    <t>rb9</t>
  </si>
  <si>
    <t>rb6</t>
  </si>
  <si>
    <t>rb4</t>
  </si>
  <si>
    <t>orange3</t>
  </si>
  <si>
    <t>yb1</t>
  </si>
  <si>
    <t>yellow3</t>
  </si>
  <si>
    <t>r14</t>
  </si>
  <si>
    <t>y3</t>
  </si>
  <si>
    <t>r2</t>
  </si>
  <si>
    <t>y6</t>
  </si>
  <si>
    <t>2b</t>
  </si>
  <si>
    <t>21b</t>
  </si>
  <si>
    <t>0 repeat R10</t>
  </si>
  <si>
    <t>0repeat R8</t>
  </si>
  <si>
    <t>0_R8</t>
  </si>
  <si>
    <t>linz</t>
  </si>
  <si>
    <t>20b</t>
  </si>
  <si>
    <t>tbm2b</t>
  </si>
  <si>
    <t>23rtk</t>
  </si>
  <si>
    <t>Feature_Co</t>
  </si>
  <si>
    <t>Latitude</t>
  </si>
  <si>
    <t>Longitude</t>
  </si>
  <si>
    <t>Ellipsoid</t>
  </si>
  <si>
    <t>Antenna_He</t>
  </si>
  <si>
    <t>Start_Time</t>
  </si>
  <si>
    <t>StopTime</t>
  </si>
  <si>
    <t>Horizontal</t>
  </si>
  <si>
    <t>VerticalPr</t>
  </si>
  <si>
    <t>RMS</t>
  </si>
  <si>
    <t>Maximum_RD</t>
  </si>
  <si>
    <t>Maximum_PD</t>
  </si>
  <si>
    <t>Maximum_HD</t>
  </si>
  <si>
    <t>Maximum_VD</t>
  </si>
  <si>
    <t>Number_of</t>
  </si>
  <si>
    <t>Minimum_Sa</t>
  </si>
  <si>
    <t>39ø45'17.18360"S</t>
  </si>
  <si>
    <t>175ø51'13.50787"E</t>
  </si>
  <si>
    <t>39ø45'15.26406"S</t>
  </si>
  <si>
    <t>175ø51'08.36355"E</t>
  </si>
  <si>
    <t>39ø45'18.80725"S</t>
  </si>
  <si>
    <t>175ø51'06.01363"E</t>
  </si>
  <si>
    <t>39ø45'23.08186"S</t>
  </si>
  <si>
    <t>175ø51'09.44659"E</t>
  </si>
  <si>
    <t>39ø45'20.50127"S</t>
  </si>
  <si>
    <t>175ø51'11.48625"E</t>
  </si>
  <si>
    <t>39ø45'09.78823"S</t>
  </si>
  <si>
    <t>175ø51'07.46275"E</t>
  </si>
  <si>
    <t>tbm2 base</t>
  </si>
  <si>
    <t>39ø44'41.71399"S</t>
  </si>
  <si>
    <t>175ø51'03.81341"E</t>
  </si>
  <si>
    <t>39ø44'43.69243"S</t>
  </si>
  <si>
    <t>175ø51'05.56951"E</t>
  </si>
  <si>
    <t>39ø45'02.67604"S</t>
  </si>
  <si>
    <t>175ø51'00.58603"E</t>
  </si>
  <si>
    <t>39ø45'16.74502"S</t>
  </si>
  <si>
    <t>175ø51'00.96698"E</t>
  </si>
  <si>
    <t>39ø45'18.17454"S</t>
  </si>
  <si>
    <t>175ø51'07.43078"E</t>
  </si>
  <si>
    <t>39ø45'15.29253"S</t>
  </si>
  <si>
    <t>175ø51'19.56268"E</t>
  </si>
  <si>
    <t>39ø45'16.72810"S</t>
  </si>
  <si>
    <t>175ø51'23.23792"E</t>
  </si>
  <si>
    <t>39ø45'12.96383"S</t>
  </si>
  <si>
    <t>175ø51'20.18999"E</t>
  </si>
  <si>
    <t>39ø45'11.69857"S</t>
  </si>
  <si>
    <t>175ø51'22.72717"E</t>
  </si>
  <si>
    <t>39ø45'06.96313"S</t>
  </si>
  <si>
    <t>175ø51'08.95717"E</t>
  </si>
  <si>
    <t>39ø45'08.70766"S</t>
  </si>
  <si>
    <t>175ø51'14.84595"E</t>
  </si>
  <si>
    <t>39ø45'04.37311"S</t>
  </si>
  <si>
    <t>175ø51'21.08392"E</t>
  </si>
  <si>
    <t>39ø45'02.36977"S</t>
  </si>
  <si>
    <t>175ø51'16.54071"E</t>
  </si>
  <si>
    <t>39ø45'02.54471"S</t>
  </si>
  <si>
    <t>175ø51'09.18427"E</t>
  </si>
  <si>
    <t>39ø44'55.79415"S</t>
  </si>
  <si>
    <t>175ø51'06.61956"E</t>
  </si>
  <si>
    <t>39ø44'56.89464"S</t>
  </si>
  <si>
    <t>175ø51'12.89599"E</t>
  </si>
  <si>
    <t>39ø44'56.64613"S</t>
  </si>
  <si>
    <t>175ø51'21.13376"E</t>
  </si>
  <si>
    <t>39ø44'52.42429"S</t>
  </si>
  <si>
    <t>175ø51'29.88584"E</t>
  </si>
  <si>
    <t>39ø44'49.14913"S</t>
  </si>
  <si>
    <t>175ø51'25.20621"E</t>
  </si>
  <si>
    <t>39ø44'51.15854"S</t>
  </si>
  <si>
    <t>175ø51'16.40150"E</t>
  </si>
  <si>
    <t>39ø44'49.21383"S</t>
  </si>
  <si>
    <t>175ø51'10.72457"E</t>
  </si>
  <si>
    <t>39ø44'47.64223"S</t>
  </si>
  <si>
    <t>175ø51'03.57567"E</t>
  </si>
  <si>
    <t>39ø44'43.69269"S</t>
  </si>
  <si>
    <t>175ø51'05.56880"E</t>
  </si>
  <si>
    <t>39ø44'39.62499"S</t>
  </si>
  <si>
    <t>175ø51'17.34015"E</t>
  </si>
  <si>
    <t>tbm2a</t>
  </si>
  <si>
    <t>39ø44'41.71375"S</t>
  </si>
  <si>
    <t>175ø51'03.81318"E</t>
  </si>
  <si>
    <t>peg30</t>
  </si>
  <si>
    <t>39ø44'39.62505"S</t>
  </si>
  <si>
    <t>175ø51'17.34003"E</t>
  </si>
  <si>
    <t>peg01</t>
  </si>
  <si>
    <t>39ø44'43.69261"S</t>
  </si>
  <si>
    <t>175ø51'05.56956"E</t>
  </si>
  <si>
    <t>peg31</t>
  </si>
  <si>
    <t>39ø44'47.64128"S</t>
  </si>
  <si>
    <t>175ø51'03.57606"E</t>
  </si>
  <si>
    <t>peg04</t>
  </si>
  <si>
    <t>39ø44'49.21318"S</t>
  </si>
  <si>
    <t>175ø51'10.72377"E</t>
  </si>
  <si>
    <t>peg05</t>
  </si>
  <si>
    <t>39ø44'51.15739"S</t>
  </si>
  <si>
    <t>175ø51'16.40118"E</t>
  </si>
  <si>
    <t>peg06</t>
  </si>
  <si>
    <t>39ø44'49.14969"S</t>
  </si>
  <si>
    <t>175ø51'25.20725"E</t>
  </si>
  <si>
    <t>peg07</t>
  </si>
  <si>
    <t>39ø44'52.42901"S</t>
  </si>
  <si>
    <t>175ø51'29.90489"E</t>
  </si>
  <si>
    <t>peg08</t>
  </si>
  <si>
    <t>39ø44'56.64491"S</t>
  </si>
  <si>
    <t>175ø51'21.13356"E</t>
  </si>
  <si>
    <t>peg09</t>
  </si>
  <si>
    <t>39ø44'56.89270"S</t>
  </si>
  <si>
    <t>175ø51'12.89523"E</t>
  </si>
  <si>
    <t>peg08real</t>
  </si>
  <si>
    <t>39ø44'55.79374"S</t>
  </si>
  <si>
    <t>175ø51'06.62011"E</t>
  </si>
  <si>
    <t>peg12</t>
  </si>
  <si>
    <t>39ø45'02.36653"S</t>
  </si>
  <si>
    <t>175ø51'16.54136"E</t>
  </si>
  <si>
    <t>peg13</t>
  </si>
  <si>
    <t>39ø45'04.37053"S</t>
  </si>
  <si>
    <t>175ø51'21.08461"E</t>
  </si>
  <si>
    <t>peg17</t>
  </si>
  <si>
    <t>39ø45'11.69633"S</t>
  </si>
  <si>
    <t>175ø51'22.72752"E</t>
  </si>
  <si>
    <t>39ø45'09.85230"S</t>
  </si>
  <si>
    <t>175ø51'19.71203"E</t>
  </si>
  <si>
    <t>39ø45'10.36643"S</t>
  </si>
  <si>
    <t>175ø51'24.52577"E</t>
  </si>
  <si>
    <t>39ø45'12.37658"S</t>
  </si>
  <si>
    <t>175ø51'24.89011"E</t>
  </si>
  <si>
    <t>big00</t>
  </si>
  <si>
    <t>39ø45'15.59719"S</t>
  </si>
  <si>
    <t>175ø51'24.80199"E</t>
  </si>
  <si>
    <t>39ø45'15.88490"S</t>
  </si>
  <si>
    <t>175ø51'23.04054"E</t>
  </si>
  <si>
    <t>39ø45'15.27377"S</t>
  </si>
  <si>
    <t>175ø51'19.56358"E</t>
  </si>
  <si>
    <t>39ø45'15.13386"S</t>
  </si>
  <si>
    <t>175ø51'19.20462"E</t>
  </si>
  <si>
    <t>big05</t>
  </si>
  <si>
    <t>39ø45'16.63713"S</t>
  </si>
  <si>
    <t>175ø51'12.26904"E</t>
  </si>
  <si>
    <t>peg22</t>
  </si>
  <si>
    <t>39ø45'17.12155"S</t>
  </si>
  <si>
    <t>175ø51'13.41674"E</t>
  </si>
  <si>
    <t>39ø45'17.24683"S</t>
  </si>
  <si>
    <t>175ø51'14.42404"E</t>
  </si>
  <si>
    <t>39ø45'20.15517"S</t>
  </si>
  <si>
    <t>175ø51'14.74930"E</t>
  </si>
  <si>
    <t>big06</t>
  </si>
  <si>
    <t>39ø45'20.36844"S</t>
  </si>
  <si>
    <t>175ø51'12.65909"E</t>
  </si>
  <si>
    <t>peg20real</t>
  </si>
  <si>
    <t>39ø45'20.44086"S</t>
  </si>
  <si>
    <t>175ø51'11.31653"E</t>
  </si>
  <si>
    <t>big02</t>
  </si>
  <si>
    <t>39ø45'19.89274"S</t>
  </si>
  <si>
    <t>175ø51'09.90547"E</t>
  </si>
  <si>
    <t>39ø45'17.46520"S</t>
  </si>
  <si>
    <t>175ø51'09.84227"E</t>
  </si>
  <si>
    <t>39ø45'16.36551"S</t>
  </si>
  <si>
    <t>175ø51'08.51297"E</t>
  </si>
  <si>
    <t>peg18</t>
  </si>
  <si>
    <t>39ø45'15.21994"S</t>
  </si>
  <si>
    <t>175ø51'08.35621"E</t>
  </si>
  <si>
    <t>big04</t>
  </si>
  <si>
    <t>39ø45'15.89462"S</t>
  </si>
  <si>
    <t>175ø51'06.38035"E</t>
  </si>
  <si>
    <t>39ø45'13.38599"S</t>
  </si>
  <si>
    <t>175ø51'04.84471"E</t>
  </si>
  <si>
    <t>39ø45'12.49995"S</t>
  </si>
  <si>
    <t>175ø51'05.37705"E</t>
  </si>
  <si>
    <t>peg25</t>
  </si>
  <si>
    <t>39ø45'13.56090"S</t>
  </si>
  <si>
    <t>175ø51'04.20200"E</t>
  </si>
  <si>
    <t>39ø45'14.73750"S</t>
  </si>
  <si>
    <t>175ø51'04.07336"E</t>
  </si>
  <si>
    <t>big01</t>
  </si>
  <si>
    <t>39ø45'18.14092"S</t>
  </si>
  <si>
    <t>175ø51'05.36330"E</t>
  </si>
  <si>
    <t>39ø45'19.29488"S</t>
  </si>
  <si>
    <t>175ø51'05.04422"E</t>
  </si>
  <si>
    <t>peg26</t>
  </si>
  <si>
    <t>39ø45'18.80611"S</t>
  </si>
  <si>
    <t>175ø51'06.01175"E</t>
  </si>
  <si>
    <t>peg27</t>
  </si>
  <si>
    <t>39ø45'18.12903"S</t>
  </si>
  <si>
    <t>175ø51'07.40218"E</t>
  </si>
  <si>
    <t>39ø45'18.38243"S</t>
  </si>
  <si>
    <t>175ø51'12.20542"E</t>
  </si>
  <si>
    <t>orange01</t>
  </si>
  <si>
    <t>39ø45'18.51051"S</t>
  </si>
  <si>
    <t>175ø51'14.16812"E</t>
  </si>
  <si>
    <t>39ø45'22.31107"S</t>
  </si>
  <si>
    <t>175ø51'08.76338"E</t>
  </si>
  <si>
    <t>peg21</t>
  </si>
  <si>
    <t>39ø45'23.06906"S</t>
  </si>
  <si>
    <t>175ø51'09.36354"E</t>
  </si>
  <si>
    <t>big07</t>
  </si>
  <si>
    <t>39ø45'22.63427"S</t>
  </si>
  <si>
    <t>175ø51'10.48403"E</t>
  </si>
  <si>
    <t>orange05</t>
  </si>
  <si>
    <t>39ø45'21.40603"S</t>
  </si>
  <si>
    <t>175ø51'11.61292"E</t>
  </si>
  <si>
    <t>orange08</t>
  </si>
  <si>
    <t>39ø45'16.24753"S</t>
  </si>
  <si>
    <t>175ø51'01.97823"E</t>
  </si>
  <si>
    <t>peg24</t>
  </si>
  <si>
    <t>39ø45'16.74584"S</t>
  </si>
  <si>
    <t>175ø51'00.96933"E</t>
  </si>
  <si>
    <t>peg28</t>
  </si>
  <si>
    <t>39ø45'16.74538"S</t>
  </si>
  <si>
    <t>175ø51'00.96851"E</t>
  </si>
  <si>
    <t>big03</t>
  </si>
  <si>
    <t>39ø45'14.98041"S</t>
  </si>
  <si>
    <t>175ø50'59.71013"E</t>
  </si>
  <si>
    <t>39ø45'10.53984"S</t>
  </si>
  <si>
    <t>175ø51'01.78031"E</t>
  </si>
  <si>
    <t>39ø45'07.40820"S</t>
  </si>
  <si>
    <t>175ø51'05.34833"E</t>
  </si>
  <si>
    <t>2015b</t>
  </si>
  <si>
    <t>39ø45'07.41153"S</t>
  </si>
  <si>
    <t>175ø51'07.75223"E</t>
  </si>
  <si>
    <t>peg14</t>
  </si>
  <si>
    <t>39ø45'06.95168"S</t>
  </si>
  <si>
    <t>175ø51'08.95351"E</t>
  </si>
  <si>
    <t>peg16</t>
  </si>
  <si>
    <t>39ø45'09.85200"S</t>
  </si>
  <si>
    <t>175ø51'07.62909"E</t>
  </si>
  <si>
    <t>39ø45'09.73194"S</t>
  </si>
  <si>
    <t>175ø51'07.42358"E</t>
  </si>
  <si>
    <t>peg19</t>
  </si>
  <si>
    <t>39ø45'12.95692"S</t>
  </si>
  <si>
    <t>175ø51'20.19819"E</t>
  </si>
  <si>
    <t>39ø44'41.71404"S</t>
  </si>
  <si>
    <t>175ø51'03.81302"E</t>
  </si>
  <si>
    <t>tbm1 Base</t>
  </si>
  <si>
    <t>39ø44'40.02666"S</t>
  </si>
  <si>
    <t>175ø51'02.42371"E</t>
  </si>
  <si>
    <t>39ø44'40.02621"S</t>
  </si>
  <si>
    <t>175ø51'02.42417"E</t>
  </si>
  <si>
    <t>39ø44'41.71216"S</t>
  </si>
  <si>
    <t>175ø51'03.81245"E</t>
  </si>
  <si>
    <t>39ø44'52.42262"S</t>
  </si>
  <si>
    <t>175ø51'29.88593"E</t>
  </si>
  <si>
    <t>39ø44'49.14740"S</t>
  </si>
  <si>
    <t>175ø51'25.20754"E</t>
  </si>
  <si>
    <t>39ø44'51.15533"S</t>
  </si>
  <si>
    <t>175ø51'16.40131"E</t>
  </si>
  <si>
    <t>39ø44'49.21133"S</t>
  </si>
  <si>
    <t>175ø51'10.72422"E</t>
  </si>
  <si>
    <t>39ø44'43.69206"S</t>
  </si>
  <si>
    <t>175ø51'05.56928"E</t>
  </si>
  <si>
    <t>39ø44'55.79270"S</t>
  </si>
  <si>
    <t>175ø51'06.62013"E</t>
  </si>
  <si>
    <t>39ø44'56.88869"S</t>
  </si>
  <si>
    <t>175ø51'12.89607"E</t>
  </si>
  <si>
    <t>39ø44'56.64186"S</t>
  </si>
  <si>
    <t>39ø45'02.53261"S</t>
  </si>
  <si>
    <t>175ø51'09.18239"E</t>
  </si>
  <si>
    <t>39ø45'02.36014"S</t>
  </si>
  <si>
    <t>175ø51'16.54148"E</t>
  </si>
  <si>
    <t>39ø45'04.36183"S</t>
  </si>
  <si>
    <t>175ø51'21.08445"E</t>
  </si>
  <si>
    <t>39ø45'06.93336"S</t>
  </si>
  <si>
    <t>175ø51'08.94707"E</t>
  </si>
  <si>
    <t>39ø45'09.71171"S</t>
  </si>
  <si>
    <t>175ø51'07.60943"E</t>
  </si>
  <si>
    <t>39ø45'12.94293"S</t>
  </si>
  <si>
    <t>175ø51'20.21175"E</t>
  </si>
  <si>
    <t>39ø45'11.69083"S</t>
  </si>
  <si>
    <t>175ø51'22.72890"E</t>
  </si>
  <si>
    <t>39ø45'16.74601"S</t>
  </si>
  <si>
    <t>175ø51'00.96607"E</t>
  </si>
  <si>
    <t>39ø45'13.55200"S</t>
  </si>
  <si>
    <t>175ø51'04.16622"E</t>
  </si>
  <si>
    <t>39ø45'15.15421"S</t>
  </si>
  <si>
    <t>175ø51'08.34078"E</t>
  </si>
  <si>
    <t>39ø45'17.02425"S</t>
  </si>
  <si>
    <t>175ø51'13.35946"E</t>
  </si>
  <si>
    <t>39ø45'20.35757"S</t>
  </si>
  <si>
    <t>175ø51'11.15499"E</t>
  </si>
  <si>
    <t>39ø45'23.06924"S</t>
  </si>
  <si>
    <t>175ø51'09.36309"E</t>
  </si>
  <si>
    <t>39ø45'16.72648"S</t>
  </si>
  <si>
    <t>175ø51'23.23698"E</t>
  </si>
  <si>
    <t>39ø45'15.24112"S</t>
  </si>
  <si>
    <t>175ø51'19.56506"E</t>
  </si>
  <si>
    <t>B47B consistency check</t>
  </si>
  <si>
    <t>Oct2018</t>
  </si>
  <si>
    <t>Oct2017</t>
  </si>
  <si>
    <t>Mar2018</t>
  </si>
  <si>
    <t>June2017</t>
  </si>
  <si>
    <t>Mar2017</t>
  </si>
  <si>
    <t>Dec2016</t>
  </si>
  <si>
    <t>Oct2016</t>
  </si>
  <si>
    <t>July2016</t>
  </si>
  <si>
    <t>Mar2016</t>
  </si>
  <si>
    <t>Dec2015</t>
  </si>
  <si>
    <t>Sept2015</t>
  </si>
  <si>
    <t>July2015</t>
  </si>
  <si>
    <t>east</t>
  </si>
  <si>
    <t>north</t>
  </si>
  <si>
    <t>ht</t>
  </si>
  <si>
    <t>Original Easting</t>
  </si>
  <si>
    <t>0.02 m added</t>
  </si>
  <si>
    <t>Original Elevation</t>
  </si>
  <si>
    <t>not surveyed</t>
  </si>
  <si>
    <t>Averaged coordinates chosen to be the control for peg 23 (peg 21 in older surveys)</t>
  </si>
  <si>
    <t>Peg 23 (near to adjacent to shed, off main landslide; called 21 in older surveys)</t>
  </si>
  <si>
    <t>Difference between 'control coordinate and measured', to be offset for March 2016, Sept 2015, and July 2015</t>
  </si>
  <si>
    <t>ORIGINAL COORDINATES</t>
  </si>
  <si>
    <t>Peg 7 (eastern boundary of landslide by fence (called sm001 in first survey)</t>
  </si>
  <si>
    <t>Average coordinates chosen to be control for peg 7 for the Dec 2015 survey</t>
  </si>
  <si>
    <t>Difference between 'control coordinate and measured', to be offset for Dec 2015</t>
  </si>
  <si>
    <t>Have attempted to transform/shift all surveys to have consistent base control. Where B47B was used (from July 2016 onwards) I made any adjustments where the coordinates for B47B were not consistent</t>
  </si>
  <si>
    <t>For July2015 to March 2016 I used a combination of peg 23/21 (near shed at toe) and peg 7 (eastern boundary by fence) to get these surveys into a consistent control. Did not use either of the tbms because they were not very consistent.</t>
  </si>
  <si>
    <t>Peg 22 (earth flow)</t>
  </si>
  <si>
    <t>LINZ Benchmark</t>
  </si>
  <si>
    <t>gcp65</t>
  </si>
  <si>
    <t>j15</t>
  </si>
  <si>
    <t>gcp80</t>
  </si>
  <si>
    <t>j16a</t>
  </si>
  <si>
    <t>j14</t>
  </si>
  <si>
    <t>gcp68</t>
  </si>
  <si>
    <t>j17</t>
  </si>
  <si>
    <t>gcp91</t>
  </si>
  <si>
    <t>j13</t>
  </si>
  <si>
    <t>j18</t>
  </si>
  <si>
    <t>j19</t>
  </si>
  <si>
    <t>gcp83</t>
  </si>
  <si>
    <t>gcp60</t>
  </si>
  <si>
    <t>j20</t>
  </si>
  <si>
    <t>j11</t>
  </si>
  <si>
    <t>j24</t>
  </si>
  <si>
    <t>j26</t>
  </si>
  <si>
    <t>j25</t>
  </si>
  <si>
    <t>j21</t>
  </si>
  <si>
    <t>j22</t>
  </si>
  <si>
    <t>j27</t>
  </si>
  <si>
    <t>gcp14</t>
  </si>
  <si>
    <t>Survey name</t>
  </si>
  <si>
    <t>Survey date</t>
  </si>
  <si>
    <t>H disp</t>
  </si>
  <si>
    <t>V disp</t>
  </si>
  <si>
    <t>net disp</t>
  </si>
  <si>
    <t>cum net disp</t>
  </si>
  <si>
    <t>Peg 21 (earth flow)</t>
  </si>
  <si>
    <t>Peg19 (rotational zone - east)</t>
  </si>
  <si>
    <t>Note: Removed survey point for October 2016 as suspected error</t>
  </si>
  <si>
    <t>Peg 14 (transitionl / rotational zone west)</t>
  </si>
  <si>
    <t>Peg 11 (top of transitionl zone)</t>
  </si>
  <si>
    <t>peg not surveyed in Sept 2015</t>
  </si>
  <si>
    <t>dec2016 removed due to error</t>
  </si>
  <si>
    <t>net disp/yr</t>
  </si>
  <si>
    <t>Peg 05 (centre of extensional zone)</t>
  </si>
  <si>
    <t>Date</t>
  </si>
  <si>
    <t>easting</t>
  </si>
  <si>
    <t>northing</t>
  </si>
  <si>
    <t>elevation</t>
  </si>
  <si>
    <t>This graph demonstrates the small amount of vertical movement</t>
  </si>
  <si>
    <t>northings with only 100s digits</t>
  </si>
  <si>
    <t>Ratio of horizontal to vertical displacement</t>
  </si>
  <si>
    <t>Look up table</t>
  </si>
  <si>
    <t>1</t>
  </si>
  <si>
    <t>(destination is in northeast quad)</t>
  </si>
  <si>
    <t>A</t>
  </si>
  <si>
    <t>(destination is in northwest quad)</t>
  </si>
  <si>
    <t>AB</t>
  </si>
  <si>
    <t xml:space="preserve"> (destination is in southwest quad)</t>
  </si>
  <si>
    <t>1B</t>
  </si>
  <si>
    <t>(destination is in southeast quad)</t>
  </si>
  <si>
    <t>trend</t>
  </si>
  <si>
    <t>plunge (negative = uphill)</t>
  </si>
  <si>
    <t>bearing in illustrator</t>
  </si>
  <si>
    <t>scaled distance in map image (in mm in illustrator, red = 20x, black = 5x exaggeration)</t>
  </si>
  <si>
    <t>From</t>
  </si>
  <si>
    <t>To</t>
  </si>
  <si>
    <t>Survey mark code</t>
  </si>
  <si>
    <t>high precisions</t>
  </si>
  <si>
    <t>high precision</t>
  </si>
  <si>
    <t>max</t>
  </si>
  <si>
    <t>mean</t>
  </si>
  <si>
    <t>standard deviation</t>
  </si>
  <si>
    <t>GPS precisions for all surveys</t>
  </si>
  <si>
    <t>H</t>
  </si>
  <si>
    <t>V</t>
  </si>
  <si>
    <t>tbm_2</t>
  </si>
  <si>
    <t>repeat measurements</t>
  </si>
  <si>
    <t>repeat measurement</t>
  </si>
  <si>
    <t>check mark accuracy all surveys</t>
  </si>
  <si>
    <t>min</t>
  </si>
  <si>
    <t>s.d.</t>
  </si>
  <si>
    <t>For precision estimates from repeat occupations of pegs in each survey see the data at bottom of sheet 'Oct2018'</t>
  </si>
  <si>
    <t>To assess movement of Peg 1 between surveys, to get an estimate of between survey error/consistency:</t>
  </si>
  <si>
    <t>date</t>
  </si>
  <si>
    <t>n</t>
  </si>
  <si>
    <t>e</t>
  </si>
  <si>
    <t>Feb 2020</t>
  </si>
  <si>
    <t>Oct 2018</t>
  </si>
  <si>
    <t>Mar 2018</t>
  </si>
  <si>
    <t>Oct 2017</t>
  </si>
  <si>
    <t>June 2017</t>
  </si>
  <si>
    <t>March 2017</t>
  </si>
  <si>
    <t>Dec 2016</t>
  </si>
  <si>
    <t>Oct 2016</t>
  </si>
  <si>
    <t>Jul 2016</t>
  </si>
  <si>
    <t>Marc 2016</t>
  </si>
  <si>
    <t>Dec 2015</t>
  </si>
  <si>
    <t>Sept 2015</t>
  </si>
  <si>
    <t>up</t>
  </si>
  <si>
    <t>mean of East and North</t>
  </si>
  <si>
    <t>These are checkpoints used for assessing SfM model accuracy. They are taken from the updated gps data from other sheets in this file</t>
  </si>
  <si>
    <t>26th June 2020</t>
  </si>
  <si>
    <t>October  2017 survey</t>
  </si>
  <si>
    <t>name</t>
  </si>
  <si>
    <t>code</t>
  </si>
  <si>
    <t>H_prec</t>
  </si>
  <si>
    <t>V_prec</t>
  </si>
  <si>
    <t>October 2016 survey</t>
  </si>
  <si>
    <t>RASTERVALU</t>
  </si>
  <si>
    <t>Difference</t>
  </si>
  <si>
    <t>Note: I think that in May 2017 we did an SfM survey without collecting survey peg data, so I have used the average of the previous and subsequent surveys</t>
  </si>
  <si>
    <t>May 2017 SfM survey</t>
  </si>
  <si>
    <t>NOTE: We did not survey the pegs in May 2017 so I have taken the average of the March 2017 and June 2017 surveys, excluding points that moved more than about 0.5 m</t>
  </si>
  <si>
    <t>s.d</t>
  </si>
  <si>
    <t>Subtracting 5 cm to account for peg height above surface</t>
  </si>
  <si>
    <t>outside AOI</t>
  </si>
  <si>
    <t>count</t>
  </si>
  <si>
    <t>abs</t>
  </si>
  <si>
    <t>Absolute</t>
  </si>
  <si>
    <t>This is a list of all of the survey pegs used in the peg surveying. I generated this for showing the peg distribution in the manuscript. The majority are from 2018 but pegs which were lost or not surveyed are included from older surveys</t>
  </si>
  <si>
    <t>O5</t>
  </si>
  <si>
    <t>Cell ref</t>
  </si>
  <si>
    <t>O30</t>
  </si>
  <si>
    <t>O13</t>
  </si>
  <si>
    <t>O32</t>
  </si>
  <si>
    <t>O28</t>
  </si>
  <si>
    <t>O31</t>
  </si>
  <si>
    <t>O7</t>
  </si>
  <si>
    <t>O29</t>
  </si>
  <si>
    <t>H error (with 1 cm tilt allowance)</t>
  </si>
  <si>
    <t>Dec2019-Feb2020</t>
  </si>
  <si>
    <t>November 2020: Have attempted to organise the surveys so that each row corresponds to the same survey peg in subsequent surveys. This may have messed up some calculation so be aware.</t>
  </si>
  <si>
    <t>GCPs</t>
  </si>
  <si>
    <t>tbm_0_R10</t>
  </si>
  <si>
    <t>tbm_chk</t>
  </si>
  <si>
    <t>03_chk</t>
  </si>
  <si>
    <t>j02b_chk</t>
  </si>
  <si>
    <t>2_chk</t>
  </si>
  <si>
    <t>2_check</t>
  </si>
  <si>
    <t>FINAL NAME</t>
  </si>
  <si>
    <t>27chk</t>
  </si>
  <si>
    <t>Questionable quality</t>
  </si>
  <si>
    <t>It is uncertain which marks this is</t>
  </si>
  <si>
    <t>November 2020: this is a new attempt to calculate the displacement vectors using a simpler method of data input</t>
  </si>
  <si>
    <t>Sheet name</t>
  </si>
  <si>
    <t>East</t>
  </si>
  <si>
    <t>North</t>
  </si>
  <si>
    <t>Elev</t>
  </si>
  <si>
    <t>Peg</t>
  </si>
  <si>
    <t>Cell references (don't delete)</t>
  </si>
  <si>
    <t>Q</t>
  </si>
  <si>
    <t>Cell ref (don't delete)</t>
  </si>
  <si>
    <t>F</t>
  </si>
  <si>
    <t>G</t>
  </si>
  <si>
    <t>Days</t>
  </si>
  <si>
    <t>tbm2</t>
  </si>
  <si>
    <t>O27</t>
  </si>
  <si>
    <t xml:space="preserve">ROW REF </t>
  </si>
  <si>
    <t>November2020: attempted to arrange the data better for graph plotting</t>
  </si>
  <si>
    <t>Column Ref</t>
  </si>
  <si>
    <t>O</t>
  </si>
  <si>
    <t>ROW REF</t>
  </si>
  <si>
    <t>Row ref</t>
  </si>
  <si>
    <t>This table tests which survey pegs were measured on which dates</t>
  </si>
  <si>
    <t>Column ref (easting)</t>
  </si>
  <si>
    <t># of surveys</t>
  </si>
  <si>
    <t>Below are static copies of the graph data</t>
  </si>
  <si>
    <t>SM1</t>
  </si>
  <si>
    <t>SM2</t>
  </si>
  <si>
    <t>DON'T ADJUST THIS BLOCK BELOW. IT IS THE MASTER AND SHOULD ONLY BE USED FOR REINSTATING THE BLOCK ABOVE</t>
  </si>
  <si>
    <t>ENTER THE SURVEY MARK OF INTEREST INTO THE GREEN CELL TO PLOT THE DATA. DON'T CHANGE THE RED CELL FORMULA.</t>
  </si>
  <si>
    <t>SM3</t>
  </si>
  <si>
    <t>USE THE BLOCK BELOW FOR GRAPHING DATA AND GETTING RESULTS. NOTE; CHANGE THE GRAPH BY CHANGING THE SURVEY MARK IN GREEN</t>
  </si>
  <si>
    <t>SM4</t>
  </si>
  <si>
    <t>SM5</t>
  </si>
  <si>
    <t>SM6</t>
  </si>
  <si>
    <t>SM7</t>
  </si>
  <si>
    <t>NOTE: there is decimetre discrepency after the first two surveys, suggesting a change in peg or other issue. Have not plotted these two points.</t>
  </si>
  <si>
    <t>SM8</t>
  </si>
  <si>
    <t>SM9</t>
  </si>
  <si>
    <t>SM10</t>
  </si>
  <si>
    <t>It is unknown why this peg was surveyed - it is not the TBM of other surveys</t>
  </si>
  <si>
    <t>These values are the average differences between the last two and first two surveys of TBM and TBM2 used to shift TBM2 to be consistent with TBM1</t>
  </si>
  <si>
    <t>TBM1 and TBM2</t>
  </si>
  <si>
    <t>I have combined TMB1 and TBM2, using an offset...</t>
  </si>
  <si>
    <t>SM15</t>
  </si>
  <si>
    <t>cum V disp</t>
  </si>
  <si>
    <t>Added 0.0009 m to account for change in B47B coordinate and added 0.144 m to correct a mistake in the base antennae height measurement whereby 'bottom of antenna mount' was selected instead of 'R10 extension', making 0.144 m difference. I was unable to force a change in TBC so did it manually here instead.</t>
  </si>
  <si>
    <t>SM11</t>
  </si>
  <si>
    <t>SM12</t>
  </si>
  <si>
    <t>SM13</t>
  </si>
  <si>
    <t>SM14</t>
  </si>
  <si>
    <t>SM16</t>
  </si>
  <si>
    <t>SM17</t>
  </si>
  <si>
    <t>SM18</t>
  </si>
  <si>
    <t>SM19</t>
  </si>
  <si>
    <t>SM20</t>
  </si>
  <si>
    <t>SM21</t>
  </si>
  <si>
    <t>SM22</t>
  </si>
  <si>
    <t>SM23</t>
  </si>
  <si>
    <t>SM24</t>
  </si>
  <si>
    <t>SM25</t>
  </si>
  <si>
    <t>SM26</t>
  </si>
  <si>
    <t>SM27</t>
  </si>
  <si>
    <t>SM28</t>
  </si>
  <si>
    <t>Probably SM28 - not used due to high precisions</t>
  </si>
  <si>
    <t>SM29</t>
  </si>
  <si>
    <t>SM Camera</t>
  </si>
  <si>
    <t>TM1</t>
  </si>
  <si>
    <t>NA</t>
  </si>
  <si>
    <t>net disp/month</t>
  </si>
  <si>
    <t>Landslide zone</t>
  </si>
  <si>
    <t>H (m)</t>
  </si>
  <si>
    <t>V (m)</t>
  </si>
  <si>
    <t>Net (m)</t>
  </si>
  <si>
    <t>Trend (degrees)</t>
  </si>
  <si>
    <t>Plunge (degrees)</t>
  </si>
  <si>
    <t>t1 (date)</t>
  </si>
  <si>
    <t>t2 (date)</t>
  </si>
  <si>
    <t>Net rate (m/y)</t>
  </si>
  <si>
    <t>Translational</t>
  </si>
  <si>
    <t>TZ1</t>
  </si>
  <si>
    <t>TZ2</t>
  </si>
  <si>
    <t>EFSZ</t>
  </si>
  <si>
    <t>Passive</t>
  </si>
  <si>
    <t>Stable</t>
  </si>
  <si>
    <t>H:V</t>
  </si>
  <si>
    <t>PSZ</t>
  </si>
  <si>
    <t>PZ</t>
  </si>
  <si>
    <t>ST</t>
  </si>
  <si>
    <t>Zone</t>
  </si>
  <si>
    <t>AVERAGE</t>
  </si>
  <si>
    <t>MAX</t>
  </si>
  <si>
    <t>s.d. plunge</t>
  </si>
  <si>
    <t>s.d. trend</t>
  </si>
  <si>
    <t>cam</t>
  </si>
  <si>
    <t>scaled vector for illustrator</t>
  </si>
  <si>
    <t>Illustrator scaling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</si>
  <si>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</si>
  <si>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</si>
  <si>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</si>
  <si>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</si>
  <si>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</si>
  <si>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</si>
  <si>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</si>
  <si>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</si>
  <si>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</si>
  <si>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</si>
  <si>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</si>
  <si>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</si>
  <si>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</si>
  <si>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</si>
  <si>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</si>
  <si>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</si>
  <si>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</si>
  <si>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</si>
  <si>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</si>
  <si>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</si>
  <si>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</si>
  <si>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</si>
  <si>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</si>
  <si>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X Variable 1</t>
  </si>
  <si>
    <t>RESIDUAL OUTPUT</t>
  </si>
  <si>
    <t>Observation</t>
  </si>
  <si>
    <t>Residuals</t>
  </si>
  <si>
    <t>R10</t>
  </si>
  <si>
    <t>Raster</t>
  </si>
  <si>
    <t>Predicted Raster</t>
  </si>
  <si>
    <t>min abs</t>
  </si>
  <si>
    <t>16-17</t>
  </si>
  <si>
    <t>15-16</t>
  </si>
  <si>
    <t>17-18</t>
  </si>
  <si>
    <t>all years</t>
  </si>
  <si>
    <t>2015-2016</t>
  </si>
  <si>
    <t>TO TEMPORARILY REMOVE ROWS WITH NO DATA, COPY AND PASTE TO MOVE ROWS UP RATHER THAN DELETE ROWS.</t>
  </si>
  <si>
    <t>Instructions: To get a graph for a survey peg, enter survey mark exact name into the GREEN cell below. You can edit the top block of results to adjust the graph for missing data shown as null in table below right. Do that by copy and pasting pink rows belw to move them up to overwrite a null row). Afterwards reinstate the top block by copying from the master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</si>
</sst>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67" formatCode="mm/yyyy"/>
  </numFmts>
  <fonts count="2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color rgb="FF242729"/>
      <name val="Arial"/>
      <family val="2"/>
    </font>
    <font>
      <sz val="11"/>
      <color rgb="FF141414"/>
      <name val="Segoe UI"/>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4" applyNumberFormat="0" applyAlignment="0" applyProtection="0"/>
    <xf numFmtId="0" fontId="16" fillId="7" borderId="5" applyNumberFormat="0" applyAlignment="0" applyProtection="0"/>
    <xf numFmtId="0" fontId="17" fillId="7" borderId="4" applyNumberFormat="0" applyAlignment="0" applyProtection="0"/>
    <xf numFmtId="0" fontId="18" fillId="0" borderId="6" applyNumberFormat="0" applyFill="0" applyAlignment="0" applyProtection="0"/>
    <xf numFmtId="0" fontId="19" fillId="8" borderId="7" applyNumberFormat="0" applyAlignment="0" applyProtection="0"/>
    <xf numFmtId="0" fontId="4" fillId="0" borderId="0" applyNumberFormat="0" applyFill="0" applyBorder="0" applyAlignment="0" applyProtection="0"/>
    <xf numFmtId="0" fontId="7" fillId="9" borderId="8" applyNumberFormat="0" applyFont="0" applyAlignment="0" applyProtection="0"/>
    <xf numFmtId="0" fontId="20" fillId="0" borderId="0" applyNumberFormat="0" applyFill="0" applyBorder="0" applyAlignment="0" applyProtection="0"/>
    <xf numFmtId="0" fontId="1" fillId="0" borderId="9" applyNumberFormat="0" applyFill="0" applyAlignment="0" applyProtection="0"/>
    <xf numFmtId="0" fontId="21"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21"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21"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1"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1"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cellStyleXfs>
  <cellXfs count="79">
    <xf numFmtId="0" fontId="0" fillId="0" borderId="0" xfId="0"/>
    <xf numFmtId="14" fontId="0" fillId="0" borderId="0" xfId="0" applyNumberFormat="1"/>
    <xf numFmtId="19" fontId="0" fillId="0" borderId="0" xfId="0" applyNumberFormat="1"/>
    <xf numFmtId="49" fontId="0" fillId="0" borderId="0" xfId="0" applyNumberFormat="1"/>
    <xf numFmtId="0" fontId="0" fillId="0" borderId="0" xfId="0" applyFill="1"/>
    <xf numFmtId="0" fontId="1" fillId="0" borderId="0" xfId="0" applyFont="1"/>
    <xf numFmtId="16" fontId="0" fillId="0" borderId="0" xfId="0" applyNumberFormat="1"/>
    <xf numFmtId="164" fontId="0" fillId="0" borderId="0" xfId="0" applyNumberFormat="1"/>
    <xf numFmtId="0" fontId="0" fillId="0" borderId="0" xfId="0" applyFont="1"/>
    <xf numFmtId="0" fontId="0" fillId="0" borderId="0" xfId="0" applyNumberFormat="1"/>
    <xf numFmtId="165" fontId="0" fillId="0" borderId="0" xfId="0" applyNumberFormat="1"/>
    <xf numFmtId="1" fontId="0" fillId="0" borderId="0" xfId="0" applyNumberFormat="1"/>
    <xf numFmtId="0" fontId="0" fillId="2" borderId="0" xfId="0" applyFill="1"/>
    <xf numFmtId="14" fontId="0" fillId="2" borderId="0" xfId="0" applyNumberFormat="1" applyFill="1"/>
    <xf numFmtId="19" fontId="0" fillId="2" borderId="0" xfId="0" applyNumberFormat="1" applyFill="1"/>
    <xf numFmtId="14" fontId="0" fillId="0" borderId="0" xfId="0" applyNumberFormat="1" applyFont="1"/>
    <xf numFmtId="0" fontId="5" fillId="0" borderId="0" xfId="0" applyFont="1"/>
    <xf numFmtId="0" fontId="6" fillId="0" borderId="0" xfId="0" applyFont="1"/>
    <xf numFmtId="17" fontId="0" fillId="0" borderId="0" xfId="0" applyNumberFormat="1"/>
    <xf numFmtId="166" fontId="0" fillId="0" borderId="0" xfId="0" applyNumberFormat="1"/>
    <xf numFmtId="0" fontId="0" fillId="0" borderId="0" xfId="0"/>
    <xf numFmtId="0" fontId="0" fillId="0" borderId="0" xfId="0"/>
    <xf numFmtId="49" fontId="0" fillId="0" borderId="0" xfId="0" quotePrefix="1" applyNumberFormat="1"/>
    <xf numFmtId="2" fontId="0" fillId="0" borderId="0" xfId="0" applyNumberFormat="1"/>
    <xf numFmtId="0" fontId="1" fillId="2" borderId="0" xfId="0" applyFont="1" applyFill="1"/>
    <xf numFmtId="2" fontId="0" fillId="0" borderId="0" xfId="0" applyNumberFormat="1" applyFont="1"/>
    <xf numFmtId="0" fontId="4" fillId="0" borderId="0" xfId="0" applyFont="1" applyFill="1"/>
    <xf numFmtId="0" fontId="1" fillId="0" borderId="0" xfId="0" applyFont="1" applyAlignment="1">
      <alignment horizontal="right"/>
    </xf>
    <xf numFmtId="0" fontId="0" fillId="34" borderId="0" xfId="0" applyFill="1"/>
    <xf numFmtId="0" fontId="1" fillId="0" borderId="0" xfId="0" applyFont="1" applyAlignment="1">
      <alignment horizontal="left"/>
    </xf>
    <xf numFmtId="0" fontId="0" fillId="0" borderId="0" xfId="0" applyFill="1" applyAlignment="1">
      <alignment horizontal="left"/>
    </xf>
    <xf numFmtId="0" fontId="0" fillId="0" borderId="0" xfId="0" applyAlignment="1">
      <alignment horizontal="center"/>
    </xf>
    <xf numFmtId="1" fontId="0" fillId="0" borderId="0" xfId="0" applyNumberFormat="1" applyFill="1" applyAlignment="1">
      <alignment horizontal="center"/>
    </xf>
    <xf numFmtId="0" fontId="1" fillId="0" borderId="0" xfId="0" applyFont="1" applyFill="1" applyAlignment="1">
      <alignment horizontal="center"/>
    </xf>
    <xf numFmtId="0" fontId="0" fillId="0" borderId="0" xfId="0" applyFill="1" applyAlignment="1">
      <alignment horizontal="center"/>
    </xf>
    <xf numFmtId="49" fontId="0" fillId="35" borderId="0" xfId="0" applyNumberFormat="1" applyFill="1"/>
    <xf numFmtId="0" fontId="0" fillId="35" borderId="0" xfId="0" applyFill="1"/>
    <xf numFmtId="0" fontId="1" fillId="35" borderId="0" xfId="0" applyFont="1" applyFill="1"/>
    <xf numFmtId="0" fontId="1" fillId="35" borderId="0" xfId="0" applyFont="1" applyFill="1" applyAlignment="1">
      <alignment horizontal="left"/>
    </xf>
    <xf numFmtId="0" fontId="1" fillId="36" borderId="0" xfId="0" applyFont="1" applyFill="1"/>
    <xf numFmtId="14" fontId="0" fillId="0" borderId="0" xfId="0" applyNumberFormat="1" applyFill="1" applyAlignment="1">
      <alignment horizontal="center"/>
    </xf>
    <xf numFmtId="14" fontId="0" fillId="0" borderId="0" xfId="0" applyNumberFormat="1" applyAlignment="1">
      <alignment horizontal="center"/>
    </xf>
    <xf numFmtId="0" fontId="0" fillId="37" borderId="0" xfId="0" applyFill="1"/>
    <xf numFmtId="0" fontId="0" fillId="37" borderId="0" xfId="0" applyFill="1" applyAlignment="1">
      <alignment horizontal="left"/>
    </xf>
    <xf numFmtId="0" fontId="1" fillId="37" borderId="0" xfId="0" applyFont="1" applyFill="1"/>
    <xf numFmtId="49" fontId="0" fillId="37" borderId="0" xfId="0" applyNumberFormat="1" applyFill="1"/>
    <xf numFmtId="14" fontId="0" fillId="37" borderId="0" xfId="0" applyNumberFormat="1" applyFill="1"/>
    <xf numFmtId="2" fontId="0" fillId="37" borderId="0" xfId="0" applyNumberFormat="1" applyFill="1"/>
    <xf numFmtId="164" fontId="0" fillId="37" borderId="0" xfId="0" applyNumberFormat="1" applyFill="1"/>
    <xf numFmtId="49" fontId="0" fillId="37" borderId="0" xfId="0" quotePrefix="1" applyNumberFormat="1" applyFill="1"/>
    <xf numFmtId="165" fontId="0" fillId="37" borderId="0" xfId="0" applyNumberFormat="1" applyFill="1"/>
    <xf numFmtId="49" fontId="0" fillId="0" borderId="0" xfId="0" applyNumberFormat="1" applyFill="1"/>
    <xf numFmtId="14" fontId="0" fillId="0" borderId="0" xfId="0" applyNumberFormat="1" applyFill="1"/>
    <xf numFmtId="0" fontId="1" fillId="0" borderId="0" xfId="0" applyFont="1" applyFill="1"/>
    <xf numFmtId="2" fontId="0" fillId="0" borderId="0" xfId="0" applyNumberFormat="1" applyFill="1"/>
    <xf numFmtId="164" fontId="0" fillId="0" borderId="0" xfId="0" applyNumberFormat="1" applyFill="1"/>
    <xf numFmtId="49" fontId="0" fillId="0" borderId="0" xfId="0" quotePrefix="1" applyNumberFormat="1" applyFill="1"/>
    <xf numFmtId="165" fontId="0" fillId="0" borderId="0" xfId="0" applyNumberFormat="1" applyFill="1"/>
    <xf numFmtId="49" fontId="0" fillId="0" borderId="0" xfId="0" applyNumberFormat="1" applyFill="1" applyAlignment="1">
      <alignment horizontal="center"/>
    </xf>
    <xf numFmtId="167" fontId="0" fillId="0" borderId="0" xfId="0" applyNumberFormat="1"/>
    <xf numFmtId="0" fontId="0" fillId="0" borderId="0" xfId="0" applyFill="1" applyBorder="1" applyAlignment="1"/>
    <xf numFmtId="0" fontId="0" fillId="0" borderId="10" xfId="0" applyFill="1" applyBorder="1" applyAlignment="1"/>
    <xf numFmtId="0" fontId="23" fillId="0" borderId="11" xfId="0" applyFont="1" applyFill="1" applyBorder="1" applyAlignment="1">
      <alignment horizontal="center"/>
    </xf>
    <xf numFmtId="0" fontId="23" fillId="0" borderId="11" xfId="0" applyFont="1" applyFill="1" applyBorder="1" applyAlignment="1">
      <alignment horizontal="centerContinuous"/>
    </xf>
    <xf numFmtId="0" fontId="1" fillId="0" borderId="12" xfId="0" applyFont="1" applyFill="1" applyBorder="1" applyAlignment="1">
      <alignment horizontal="center"/>
    </xf>
    <xf numFmtId="1" fontId="0" fillId="34" borderId="0" xfId="0" applyNumberFormat="1" applyFill="1" applyBorder="1" applyAlignment="1">
      <alignment horizontal="center"/>
    </xf>
    <xf numFmtId="0" fontId="1" fillId="34" borderId="0" xfId="0" applyFont="1"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14" xfId="0" applyFont="1" applyFill="1" applyBorder="1" applyAlignment="1">
      <alignment horizontal="center"/>
    </xf>
    <xf numFmtId="1" fontId="0" fillId="34" borderId="10" xfId="0" applyNumberFormat="1" applyFill="1" applyBorder="1" applyAlignment="1">
      <alignment horizontal="center"/>
    </xf>
    <xf numFmtId="0" fontId="1" fillId="34" borderId="10" xfId="0" applyFont="1" applyFill="1" applyBorder="1" applyAlignment="1">
      <alignment horizontal="center"/>
    </xf>
    <xf numFmtId="0" fontId="0" fillId="0" borderId="10" xfId="0" applyBorder="1" applyAlignment="1">
      <alignment horizontal="center"/>
    </xf>
    <xf numFmtId="0" fontId="0" fillId="0" borderId="15" xfId="0" applyBorder="1" applyAlignment="1">
      <alignment horizontal="center"/>
    </xf>
    <xf numFmtId="0" fontId="0" fillId="0" borderId="16" xfId="0" applyBorder="1"/>
    <xf numFmtId="0" fontId="0" fillId="34" borderId="11" xfId="0" applyFill="1" applyBorder="1"/>
    <xf numFmtId="49" fontId="0" fillId="0" borderId="11" xfId="0" applyNumberFormat="1" applyBorder="1"/>
    <xf numFmtId="49" fontId="0" fillId="0" borderId="11" xfId="0" quotePrefix="1" applyNumberFormat="1" applyBorder="1"/>
    <xf numFmtId="49" fontId="0" fillId="0" borderId="17"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4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graphs'!$E$5:$E$15</c:f>
              <c:numCache>
                <c:formatCode>General</c:formatCode>
                <c:ptCount val="11"/>
                <c:pt idx="0">
                  <c:v>5595443.1821339997</c:v>
                </c:pt>
                <c:pt idx="1">
                  <c:v>5595386.2275719997</c:v>
                </c:pt>
                <c:pt idx="2">
                  <c:v>5595614.1814200003</c:v>
                </c:pt>
                <c:pt idx="3">
                  <c:v>5595524.1049920004</c:v>
                </c:pt>
                <c:pt idx="4">
                  <c:v>5595520.1450549997</c:v>
                </c:pt>
                <c:pt idx="5">
                  <c:v>5595587.5669839997</c:v>
                </c:pt>
                <c:pt idx="6">
                  <c:v>0</c:v>
                </c:pt>
                <c:pt idx="7">
                  <c:v>5595695.66995</c:v>
                </c:pt>
                <c:pt idx="8">
                  <c:v>5595570.992695</c:v>
                </c:pt>
                <c:pt idx="9">
                  <c:v>0</c:v>
                </c:pt>
                <c:pt idx="10">
                  <c:v>0</c:v>
                </c:pt>
              </c:numCache>
            </c:numRef>
          </c:xVal>
          <c:yVal>
            <c:numRef>
              <c:f>'Movement graphs'!$F$5:$F$15</c:f>
              <c:numCache>
                <c:formatCode>General</c:formatCode>
                <c:ptCount val="11"/>
                <c:pt idx="0">
                  <c:v>301.06923899999998</c:v>
                </c:pt>
                <c:pt idx="1">
                  <c:v>310.70472999999998</c:v>
                </c:pt>
                <c:pt idx="2">
                  <c:v>327.00278600000001</c:v>
                </c:pt>
                <c:pt idx="3">
                  <c:v>316.070381</c:v>
                </c:pt>
                <c:pt idx="4">
                  <c:v>314.54863499999999</c:v>
                </c:pt>
                <c:pt idx="5">
                  <c:v>355.910685</c:v>
                </c:pt>
                <c:pt idx="6">
                  <c:v>0</c:v>
                </c:pt>
                <c:pt idx="7">
                  <c:v>335.163566</c:v>
                </c:pt>
                <c:pt idx="8">
                  <c:v>340.41088000000002</c:v>
                </c:pt>
                <c:pt idx="9">
                  <c:v>0</c:v>
                </c:pt>
                <c:pt idx="10">
                  <c:v>0</c:v>
                </c:pt>
              </c:numCache>
            </c:numRef>
          </c:yVal>
          <c:smooth val="0"/>
          <c:extLst>
            <c:ext xmlns:c16="http://schemas.microsoft.com/office/drawing/2014/chart" uri="{C3380CC4-5D6E-409C-BE32-E72D297353CC}">
              <c16:uniqueId val="{00000000-E2FC-40F7-8243-DF4A8BDC0661}"/>
            </c:ext>
          </c:extLst>
        </c:ser>
        <c:dLbls>
          <c:showLegendKey val="0"/>
          <c:showVal val="0"/>
          <c:showCatName val="0"/>
          <c:showSerName val="0"/>
          <c:showPercent val="0"/>
          <c:showBubbleSize val="0"/>
        </c:dLbls>
        <c:axId val="181243904"/>
        <c:axId val="181245440"/>
      </c:scatterChart>
      <c:valAx>
        <c:axId val="181243904"/>
        <c:scaling>
          <c:orientation val="minMax"/>
        </c:scaling>
        <c:delete val="0"/>
        <c:axPos val="b"/>
        <c:numFmt formatCode="General" sourceLinked="1"/>
        <c:majorTickMark val="out"/>
        <c:minorTickMark val="none"/>
        <c:tickLblPos val="nextTo"/>
        <c:crossAx val="181245440"/>
        <c:crosses val="autoZero"/>
        <c:crossBetween val="midCat"/>
      </c:valAx>
      <c:valAx>
        <c:axId val="181245440"/>
        <c:scaling>
          <c:orientation val="minMax"/>
        </c:scaling>
        <c:delete val="0"/>
        <c:axPos val="l"/>
        <c:numFmt formatCode="General" sourceLinked="1"/>
        <c:majorTickMark val="out"/>
        <c:minorTickMark val="none"/>
        <c:tickLblPos val="nextTo"/>
        <c:crossAx val="181243904"/>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graphs'!$D$5:$D$15</c:f>
              <c:numCache>
                <c:formatCode>General</c:formatCode>
                <c:ptCount val="11"/>
                <c:pt idx="0">
                  <c:v>1844466.2812699999</c:v>
                </c:pt>
                <c:pt idx="1">
                  <c:v>1844378.802374</c:v>
                </c:pt>
                <c:pt idx="2">
                  <c:v>1844364.6339789999</c:v>
                </c:pt>
                <c:pt idx="3">
                  <c:v>1844344.054861</c:v>
                </c:pt>
                <c:pt idx="4">
                  <c:v>1844303.1300550001</c:v>
                </c:pt>
                <c:pt idx="5">
                  <c:v>1844185.1223240001</c:v>
                </c:pt>
                <c:pt idx="6">
                  <c:v>0</c:v>
                </c:pt>
                <c:pt idx="7">
                  <c:v>1844374.2659519999</c:v>
                </c:pt>
                <c:pt idx="8">
                  <c:v>1844715.2428939999</c:v>
                </c:pt>
                <c:pt idx="9">
                  <c:v>0</c:v>
                </c:pt>
                <c:pt idx="10">
                  <c:v>0</c:v>
                </c:pt>
              </c:numCache>
            </c:numRef>
          </c:xVal>
          <c:yVal>
            <c:numRef>
              <c:f>'Movement graphs'!$E$5:$E$15</c:f>
              <c:numCache>
                <c:formatCode>General</c:formatCode>
                <c:ptCount val="11"/>
                <c:pt idx="0">
                  <c:v>5595443.1821339997</c:v>
                </c:pt>
                <c:pt idx="1">
                  <c:v>5595386.2275719997</c:v>
                </c:pt>
                <c:pt idx="2">
                  <c:v>5595614.1814200003</c:v>
                </c:pt>
                <c:pt idx="3">
                  <c:v>5595524.1049920004</c:v>
                </c:pt>
                <c:pt idx="4">
                  <c:v>5595520.1450549997</c:v>
                </c:pt>
                <c:pt idx="5">
                  <c:v>5595587.5669839997</c:v>
                </c:pt>
                <c:pt idx="6">
                  <c:v>0</c:v>
                </c:pt>
                <c:pt idx="7">
                  <c:v>5595695.66995</c:v>
                </c:pt>
                <c:pt idx="8">
                  <c:v>5595570.992695</c:v>
                </c:pt>
                <c:pt idx="9">
                  <c:v>0</c:v>
                </c:pt>
                <c:pt idx="10">
                  <c:v>0</c:v>
                </c:pt>
              </c:numCache>
            </c:numRef>
          </c:yVal>
          <c:smooth val="0"/>
          <c:extLst>
            <c:ext xmlns:c16="http://schemas.microsoft.com/office/drawing/2014/chart" uri="{C3380CC4-5D6E-409C-BE32-E72D297353CC}">
              <c16:uniqueId val="{00000000-FA0F-4150-9274-97F43A9F6C4F}"/>
            </c:ext>
          </c:extLst>
        </c:ser>
        <c:dLbls>
          <c:showLegendKey val="0"/>
          <c:showVal val="0"/>
          <c:showCatName val="0"/>
          <c:showSerName val="0"/>
          <c:showPercent val="0"/>
          <c:showBubbleSize val="0"/>
        </c:dLbls>
        <c:axId val="181314688"/>
        <c:axId val="181316224"/>
      </c:scatterChart>
      <c:valAx>
        <c:axId val="181314688"/>
        <c:scaling>
          <c:orientation val="minMax"/>
        </c:scaling>
        <c:delete val="0"/>
        <c:axPos val="b"/>
        <c:numFmt formatCode="General" sourceLinked="1"/>
        <c:majorTickMark val="out"/>
        <c:minorTickMark val="none"/>
        <c:tickLblPos val="nextTo"/>
        <c:crossAx val="181316224"/>
        <c:crosses val="autoZero"/>
        <c:crossBetween val="midCat"/>
      </c:valAx>
      <c:valAx>
        <c:axId val="181316224"/>
        <c:scaling>
          <c:orientation val="minMax"/>
        </c:scaling>
        <c:delete val="0"/>
        <c:axPos val="l"/>
        <c:numFmt formatCode="General" sourceLinked="1"/>
        <c:majorTickMark val="out"/>
        <c:minorTickMark val="none"/>
        <c:tickLblPos val="nextTo"/>
        <c:crossAx val="181314688"/>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graphs'!$B$5:$B$15</c:f>
              <c:numCache>
                <c:formatCode>m/d/yyyy</c:formatCode>
                <c:ptCount val="11"/>
                <c:pt idx="0">
                  <c:v>43186</c:v>
                </c:pt>
                <c:pt idx="1">
                  <c:v>43019</c:v>
                </c:pt>
                <c:pt idx="2">
                  <c:v>42915</c:v>
                </c:pt>
                <c:pt idx="3">
                  <c:v>42814</c:v>
                </c:pt>
                <c:pt idx="4">
                  <c:v>42718</c:v>
                </c:pt>
                <c:pt idx="5">
                  <c:v>42666</c:v>
                </c:pt>
                <c:pt idx="6">
                  <c:v>42562</c:v>
                </c:pt>
                <c:pt idx="7">
                  <c:v>42446</c:v>
                </c:pt>
                <c:pt idx="8">
                  <c:v>42345</c:v>
                </c:pt>
                <c:pt idx="9">
                  <c:v>42277</c:v>
                </c:pt>
                <c:pt idx="10">
                  <c:v>42188</c:v>
                </c:pt>
              </c:numCache>
            </c:numRef>
          </c:xVal>
          <c:yVal>
            <c:numRef>
              <c:f>'Movement graphs'!$K$5:$K$14</c:f>
              <c:numCache>
                <c:formatCode>General</c:formatCode>
                <c:ptCount val="10"/>
                <c:pt idx="0">
                  <c:v>229.11834735722866</c:v>
                </c:pt>
                <c:pt idx="1">
                  <c:v>803.61246784576178</c:v>
                </c:pt>
                <c:pt idx="2">
                  <c:v>336.24024426538926</c:v>
                </c:pt>
                <c:pt idx="3">
                  <c:v>156.4332780819046</c:v>
                </c:pt>
                <c:pt idx="4">
                  <c:v>997.18445099474263</c:v>
                </c:pt>
                <c:pt idx="5">
                  <c:v>20677449.126603439</c:v>
                </c:pt>
                <c:pt idx="6">
                  <c:v>18538912.017030995</c:v>
                </c:pt>
                <c:pt idx="7">
                  <c:v>1312.1712585326752</c:v>
                </c:pt>
                <c:pt idx="8">
                  <c:v>31625140.265212234</c:v>
                </c:pt>
                <c:pt idx="9">
                  <c:v>0</c:v>
                </c:pt>
              </c:numCache>
            </c:numRef>
          </c:yVal>
          <c:smooth val="0"/>
          <c:extLst>
            <c:ext xmlns:c16="http://schemas.microsoft.com/office/drawing/2014/chart" uri="{C3380CC4-5D6E-409C-BE32-E72D297353CC}">
              <c16:uniqueId val="{00000000-3F6D-4300-A2A8-9651991BB2A1}"/>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graphs'!$B$5:$B$15</c:f>
              <c:numCache>
                <c:formatCode>m/d/yyyy</c:formatCode>
                <c:ptCount val="11"/>
                <c:pt idx="0">
                  <c:v>43186</c:v>
                </c:pt>
                <c:pt idx="1">
                  <c:v>43019</c:v>
                </c:pt>
                <c:pt idx="2">
                  <c:v>42915</c:v>
                </c:pt>
                <c:pt idx="3">
                  <c:v>42814</c:v>
                </c:pt>
                <c:pt idx="4">
                  <c:v>42718</c:v>
                </c:pt>
                <c:pt idx="5">
                  <c:v>42666</c:v>
                </c:pt>
                <c:pt idx="6">
                  <c:v>42562</c:v>
                </c:pt>
                <c:pt idx="7">
                  <c:v>42446</c:v>
                </c:pt>
                <c:pt idx="8">
                  <c:v>42345</c:v>
                </c:pt>
                <c:pt idx="9">
                  <c:v>42277</c:v>
                </c:pt>
                <c:pt idx="10">
                  <c:v>42188</c:v>
                </c:pt>
              </c:numCache>
            </c:numRef>
          </c:xVal>
          <c:yVal>
            <c:numRef>
              <c:f>'Movement graphs'!$L$5:$L$15</c:f>
              <c:numCache>
                <c:formatCode>General</c:formatCode>
                <c:ptCount val="11"/>
                <c:pt idx="0">
                  <c:v>17676255.453110624</c:v>
                </c:pt>
                <c:pt idx="1">
                  <c:v>17676150.62362019</c:v>
                </c:pt>
                <c:pt idx="2">
                  <c:v>17675921.649108805</c:v>
                </c:pt>
                <c:pt idx="3">
                  <c:v>17675828.607287791</c:v>
                </c:pt>
                <c:pt idx="4">
                  <c:v>17675787.463192735</c:v>
                </c:pt>
                <c:pt idx="5">
                  <c:v>17675645.39855862</c:v>
                </c:pt>
                <c:pt idx="6">
                  <c:v>11783988.661115449</c:v>
                </c:pt>
                <c:pt idx="7">
                  <c:v>5892170.0474836808</c:v>
                </c:pt>
                <c:pt idx="8">
                  <c:v>5891806.9535189914</c:v>
                </c:pt>
                <c:pt idx="9">
                  <c:v>0</c:v>
                </c:pt>
                <c:pt idx="10">
                  <c:v>0</c:v>
                </c:pt>
              </c:numCache>
            </c:numRef>
          </c:yVal>
          <c:smooth val="0"/>
          <c:extLst>
            <c:ext xmlns:c16="http://schemas.microsoft.com/office/drawing/2014/chart" uri="{C3380CC4-5D6E-409C-BE32-E72D297353CC}">
              <c16:uniqueId val="{00000001-3F6D-4300-A2A8-9651991BB2A1}"/>
            </c:ext>
          </c:extLst>
        </c:ser>
        <c:dLbls>
          <c:showLegendKey val="0"/>
          <c:showVal val="0"/>
          <c:showCatName val="0"/>
          <c:showSerName val="0"/>
          <c:showPercent val="0"/>
          <c:showBubbleSize val="0"/>
        </c:dLbls>
        <c:axId val="181352704"/>
        <c:axId val="181350784"/>
      </c:scatterChart>
      <c:valAx>
        <c:axId val="181592448"/>
        <c:scaling>
          <c:orientation val="minMax"/>
          <c:max val="43400"/>
          <c:min val="42100"/>
        </c:scaling>
        <c:delete val="0"/>
        <c:axPos val="b"/>
        <c:numFmt formatCode="m/d/yyyy" sourceLinked="1"/>
        <c:majorTickMark val="out"/>
        <c:minorTickMark val="none"/>
        <c:tickLblPos val="nextTo"/>
        <c:crossAx val="181594368"/>
        <c:crosses val="autoZero"/>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graphs'!$D$32:$D$44</c:f>
              <c:numCache>
                <c:formatCode>General</c:formatCode>
                <c:ptCount val="13"/>
                <c:pt idx="0">
                  <c:v>1844500.214831</c:v>
                </c:pt>
                <c:pt idx="1">
                  <c:v>1844715.236543</c:v>
                </c:pt>
                <c:pt idx="2">
                  <c:v>1844444.4132749999</c:v>
                </c:pt>
                <c:pt idx="3">
                  <c:v>1844372.6883469999</c:v>
                </c:pt>
                <c:pt idx="4">
                  <c:v>1844485.6493859999</c:v>
                </c:pt>
                <c:pt idx="5">
                  <c:v>1844484.380591</c:v>
                </c:pt>
                <c:pt idx="6">
                  <c:v>1844484.1270560001</c:v>
                </c:pt>
                <c:pt idx="7">
                  <c:v>1844191.1910079999</c:v>
                </c:pt>
                <c:pt idx="8">
                  <c:v>1844275.8293679999</c:v>
                </c:pt>
                <c:pt idx="9">
                  <c:v>1844327.1863930002</c:v>
                </c:pt>
                <c:pt idx="10">
                  <c:v>1844684.9246960001</c:v>
                </c:pt>
                <c:pt idx="11">
                  <c:v>1844405.8968300002</c:v>
                </c:pt>
                <c:pt idx="12">
                  <c:v>1844424.1138300002</c:v>
                </c:pt>
              </c:numCache>
            </c:numRef>
          </c:xVal>
          <c:yVal>
            <c:numRef>
              <c:f>'Movement graphs'!$E$32:$E$44</c:f>
              <c:numCache>
                <c:formatCode>General</c:formatCode>
                <c:ptCount val="13"/>
                <c:pt idx="0">
                  <c:v>5595530.2005660003</c:v>
                </c:pt>
                <c:pt idx="1">
                  <c:v>5595570.9072749997</c:v>
                </c:pt>
                <c:pt idx="2">
                  <c:v>5596428.9074090002</c:v>
                </c:pt>
                <c:pt idx="3">
                  <c:v>5595404.4180530002</c:v>
                </c:pt>
                <c:pt idx="4">
                  <c:v>5595555.6060720002</c:v>
                </c:pt>
                <c:pt idx="5">
                  <c:v>5595558.4870379996</c:v>
                </c:pt>
                <c:pt idx="6">
                  <c:v>5595559.155878</c:v>
                </c:pt>
                <c:pt idx="7">
                  <c:v>5596021.707564</c:v>
                </c:pt>
                <c:pt idx="8">
                  <c:v>5596483.0424889997</c:v>
                </c:pt>
                <c:pt idx="9">
                  <c:v>5596603.3592065014</c:v>
                </c:pt>
                <c:pt idx="10">
                  <c:v>5596192.0954964999</c:v>
                </c:pt>
                <c:pt idx="11">
                  <c:v>5595398.7612744998</c:v>
                </c:pt>
                <c:pt idx="12">
                  <c:v>5595468.4612745009</c:v>
                </c:pt>
              </c:numCache>
            </c:numRef>
          </c:yVal>
          <c:smooth val="0"/>
          <c:extLst>
            <c:ext xmlns:c16="http://schemas.microsoft.com/office/drawing/2014/chart" uri="{C3380CC4-5D6E-409C-BE32-E72D297353CC}">
              <c16:uniqueId val="{00000000-5370-49CC-BF09-767DAAD02B92}"/>
            </c:ext>
          </c:extLst>
        </c:ser>
        <c:dLbls>
          <c:showLegendKey val="0"/>
          <c:showVal val="0"/>
          <c:showCatName val="0"/>
          <c:showSerName val="0"/>
          <c:showPercent val="0"/>
          <c:showBubbleSize val="0"/>
        </c:dLbls>
        <c:axId val="181360128"/>
        <c:axId val="181361664"/>
      </c:scatterChart>
      <c:valAx>
        <c:axId val="181360128"/>
        <c:scaling>
          <c:orientation val="minMax"/>
        </c:scaling>
        <c:delete val="0"/>
        <c:axPos val="b"/>
        <c:numFmt formatCode="General" sourceLinked="1"/>
        <c:majorTickMark val="out"/>
        <c:minorTickMark val="none"/>
        <c:tickLblPos val="nextTo"/>
        <c:crossAx val="181361664"/>
        <c:crosses val="autoZero"/>
        <c:crossBetween val="midCat"/>
      </c:valAx>
      <c:valAx>
        <c:axId val="181361664"/>
        <c:scaling>
          <c:orientation val="minMax"/>
        </c:scaling>
        <c:delete val="0"/>
        <c:axPos val="l"/>
        <c:numFmt formatCode="General" sourceLinked="1"/>
        <c:majorTickMark val="out"/>
        <c:minorTickMark val="none"/>
        <c:tickLblPos val="nextTo"/>
        <c:crossAx val="181360128"/>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graphs'!$E$32:$E$44</c:f>
              <c:numCache>
                <c:formatCode>General</c:formatCode>
                <c:ptCount val="13"/>
                <c:pt idx="0">
                  <c:v>5595530.2005660003</c:v>
                </c:pt>
                <c:pt idx="1">
                  <c:v>5595570.9072749997</c:v>
                </c:pt>
                <c:pt idx="2">
                  <c:v>5596428.9074090002</c:v>
                </c:pt>
                <c:pt idx="3">
                  <c:v>5595404.4180530002</c:v>
                </c:pt>
                <c:pt idx="4">
                  <c:v>5595555.6060720002</c:v>
                </c:pt>
                <c:pt idx="5">
                  <c:v>5595558.4870379996</c:v>
                </c:pt>
                <c:pt idx="6">
                  <c:v>5595559.155878</c:v>
                </c:pt>
                <c:pt idx="7">
                  <c:v>5596021.707564</c:v>
                </c:pt>
                <c:pt idx="8">
                  <c:v>5596483.0424889997</c:v>
                </c:pt>
                <c:pt idx="9">
                  <c:v>5596603.3592065014</c:v>
                </c:pt>
                <c:pt idx="10">
                  <c:v>5596192.0954964999</c:v>
                </c:pt>
                <c:pt idx="11">
                  <c:v>5595398.7612744998</c:v>
                </c:pt>
                <c:pt idx="12">
                  <c:v>5595468.4612745009</c:v>
                </c:pt>
              </c:numCache>
            </c:numRef>
          </c:xVal>
          <c:yVal>
            <c:numRef>
              <c:f>'Movement graphs'!$F$32:$F$44</c:f>
              <c:numCache>
                <c:formatCode>General</c:formatCode>
                <c:ptCount val="13"/>
                <c:pt idx="0">
                  <c:v>304.42493999999999</c:v>
                </c:pt>
                <c:pt idx="1">
                  <c:v>340.395309</c:v>
                </c:pt>
                <c:pt idx="2">
                  <c:v>421.85439000000002</c:v>
                </c:pt>
                <c:pt idx="3">
                  <c:v>310.80683900000002</c:v>
                </c:pt>
                <c:pt idx="4">
                  <c:v>311.37959499999999</c:v>
                </c:pt>
                <c:pt idx="5">
                  <c:v>311.850908</c:v>
                </c:pt>
                <c:pt idx="6">
                  <c:v>311.85576900000001</c:v>
                </c:pt>
                <c:pt idx="7">
                  <c:v>395.90091800000005</c:v>
                </c:pt>
                <c:pt idx="8">
                  <c:v>434.68915900000002</c:v>
                </c:pt>
                <c:pt idx="9">
                  <c:v>430.48408675000002</c:v>
                </c:pt>
                <c:pt idx="10">
                  <c:v>403.05657225000004</c:v>
                </c:pt>
                <c:pt idx="11">
                  <c:v>312.60954575</c:v>
                </c:pt>
                <c:pt idx="12">
                  <c:v>305.91054575000004</c:v>
                </c:pt>
              </c:numCache>
            </c:numRef>
          </c:yVal>
          <c:smooth val="0"/>
          <c:extLst>
            <c:ext xmlns:c16="http://schemas.microsoft.com/office/drawing/2014/chart" uri="{C3380CC4-5D6E-409C-BE32-E72D297353CC}">
              <c16:uniqueId val="{00000000-B803-42A5-A31D-631A12EF7426}"/>
            </c:ext>
          </c:extLst>
        </c:ser>
        <c:dLbls>
          <c:showLegendKey val="0"/>
          <c:showVal val="0"/>
          <c:showCatName val="0"/>
          <c:showSerName val="0"/>
          <c:showPercent val="0"/>
          <c:showBubbleSize val="0"/>
        </c:dLbls>
        <c:axId val="181398144"/>
        <c:axId val="181399936"/>
      </c:scatterChart>
      <c:valAx>
        <c:axId val="181398144"/>
        <c:scaling>
          <c:orientation val="minMax"/>
        </c:scaling>
        <c:delete val="0"/>
        <c:axPos val="b"/>
        <c:numFmt formatCode="General" sourceLinked="1"/>
        <c:majorTickMark val="out"/>
        <c:minorTickMark val="none"/>
        <c:tickLblPos val="nextTo"/>
        <c:crossAx val="181399936"/>
        <c:crosses val="autoZero"/>
        <c:crossBetween val="midCat"/>
      </c:valAx>
      <c:valAx>
        <c:axId val="181399936"/>
        <c:scaling>
          <c:orientation val="minMax"/>
        </c:scaling>
        <c:delete val="0"/>
        <c:axPos val="l"/>
        <c:numFmt formatCode="General" sourceLinked="1"/>
        <c:majorTickMark val="out"/>
        <c:minorTickMark val="none"/>
        <c:tickLblPos val="nextTo"/>
        <c:crossAx val="181398144"/>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graphs'!$B$32:$B$44</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graphs'!$K$32:$K$43</c:f>
              <c:numCache>
                <c:formatCode>General</c:formatCode>
                <c:ptCount val="12"/>
                <c:pt idx="0">
                  <c:v>186.08913021086184</c:v>
                </c:pt>
                <c:pt idx="1">
                  <c:v>1682.3659491685673</c:v>
                </c:pt>
                <c:pt idx="2">
                  <c:v>2257.7179554274608</c:v>
                </c:pt>
                <c:pt idx="3">
                  <c:v>662.36346857149942</c:v>
                </c:pt>
                <c:pt idx="4">
                  <c:v>11.5031778269899</c:v>
                </c:pt>
                <c:pt idx="5">
                  <c:v>2.7196208576340593</c:v>
                </c:pt>
                <c:pt idx="6">
                  <c:v>3888.1037827964833</c:v>
                </c:pt>
                <c:pt idx="7">
                  <c:v>1651.7507799742766</c:v>
                </c:pt>
                <c:pt idx="8">
                  <c:v>411.84190284772416</c:v>
                </c:pt>
                <c:pt idx="9">
                  <c:v>1972.343446517584</c:v>
                </c:pt>
                <c:pt idx="10">
                  <c:v>4540.0788783823564</c:v>
                </c:pt>
                <c:pt idx="11">
                  <c:v>296.72488510158456</c:v>
                </c:pt>
              </c:numCache>
            </c:numRef>
          </c:yVal>
          <c:smooth val="0"/>
          <c:extLst>
            <c:ext xmlns:c16="http://schemas.microsoft.com/office/drawing/2014/chart" uri="{C3380CC4-5D6E-409C-BE32-E72D297353CC}">
              <c16:uniqueId val="{00000000-FA3E-431C-BBF8-A319B25B4FE8}"/>
            </c:ext>
          </c:extLst>
        </c:ser>
        <c:dLbls>
          <c:showLegendKey val="0"/>
          <c:showVal val="0"/>
          <c:showCatName val="0"/>
          <c:showSerName val="0"/>
          <c:showPercent val="0"/>
          <c:showBubbleSize val="0"/>
        </c:dLbls>
        <c:axId val="181507968"/>
        <c:axId val="181510144"/>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graphs'!$B$33:$B$44</c:f>
              <c:numCache>
                <c:formatCode>m/d/yyyy</c:formatCode>
                <c:ptCount val="12"/>
                <c:pt idx="0">
                  <c:v>43382</c:v>
                </c:pt>
                <c:pt idx="1">
                  <c:v>43186</c:v>
                </c:pt>
                <c:pt idx="2">
                  <c:v>43019</c:v>
                </c:pt>
                <c:pt idx="3">
                  <c:v>42915</c:v>
                </c:pt>
                <c:pt idx="4">
                  <c:v>42814</c:v>
                </c:pt>
                <c:pt idx="5">
                  <c:v>42718</c:v>
                </c:pt>
                <c:pt idx="6">
                  <c:v>42666</c:v>
                </c:pt>
                <c:pt idx="7">
                  <c:v>42562</c:v>
                </c:pt>
                <c:pt idx="8">
                  <c:v>42446</c:v>
                </c:pt>
                <c:pt idx="9">
                  <c:v>42345</c:v>
                </c:pt>
                <c:pt idx="10">
                  <c:v>42277</c:v>
                </c:pt>
                <c:pt idx="11">
                  <c:v>42188</c:v>
                </c:pt>
              </c:numCache>
            </c:numRef>
          </c:xVal>
          <c:yVal>
            <c:numRef>
              <c:f>'Movement graphs'!$L$33:$L$44</c:f>
              <c:numCache>
                <c:formatCode>General</c:formatCode>
                <c:ptCount val="12"/>
                <c:pt idx="0">
                  <c:v>4748.4083151866162</c:v>
                </c:pt>
                <c:pt idx="1">
                  <c:v>3845.0008465919882</c:v>
                </c:pt>
                <c:pt idx="2">
                  <c:v>2812.0175628758625</c:v>
                </c:pt>
                <c:pt idx="3">
                  <c:v>2623.2893416938464</c:v>
                </c:pt>
                <c:pt idx="4">
                  <c:v>2620.1062705691179</c:v>
                </c:pt>
                <c:pt idx="5">
                  <c:v>2619.3909730284799</c:v>
                </c:pt>
                <c:pt idx="6">
                  <c:v>2065.4693382191181</c:v>
                </c:pt>
                <c:pt idx="7">
                  <c:v>1594.8334995415159</c:v>
                </c:pt>
                <c:pt idx="8">
                  <c:v>1463.9467578145679</c:v>
                </c:pt>
                <c:pt idx="9">
                  <c:v>918.17500960011319</c:v>
                </c:pt>
                <c:pt idx="10">
                  <c:v>72.352095271345277</c:v>
                </c:pt>
                <c:pt idx="11">
                  <c:v>0</c:v>
                </c:pt>
              </c:numCache>
            </c:numRef>
          </c:yVal>
          <c:smooth val="0"/>
          <c:extLst>
            <c:ext xmlns:c16="http://schemas.microsoft.com/office/drawing/2014/chart" uri="{C3380CC4-5D6E-409C-BE32-E72D297353CC}">
              <c16:uniqueId val="{00000001-FA3E-431C-BBF8-A319B25B4FE8}"/>
            </c:ext>
          </c:extLst>
        </c:ser>
        <c:dLbls>
          <c:showLegendKey val="0"/>
          <c:showVal val="0"/>
          <c:showCatName val="0"/>
          <c:showSerName val="0"/>
          <c:showPercent val="0"/>
          <c:showBubbleSize val="0"/>
        </c:dLbls>
        <c:axId val="181518336"/>
        <c:axId val="181512064"/>
      </c:scatterChart>
      <c:valAx>
        <c:axId val="181507968"/>
        <c:scaling>
          <c:orientation val="minMax"/>
          <c:max val="43400"/>
          <c:min val="42100"/>
        </c:scaling>
        <c:delete val="0"/>
        <c:axPos val="b"/>
        <c:numFmt formatCode="m/d/yyyy" sourceLinked="1"/>
        <c:majorTickMark val="out"/>
        <c:minorTickMark val="none"/>
        <c:tickLblPos val="nextTo"/>
        <c:crossAx val="181510144"/>
        <c:crosses val="autoZero"/>
        <c:crossBetween val="midCat"/>
        <c:majorUnit val="182.5"/>
      </c:valAx>
      <c:valAx>
        <c:axId val="181510144"/>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1507968"/>
        <c:crosses val="autoZero"/>
        <c:crossBetween val="midCat"/>
      </c:valAx>
      <c:valAx>
        <c:axId val="18151206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1518336"/>
        <c:crosses val="max"/>
        <c:crossBetween val="midCat"/>
      </c:valAx>
      <c:valAx>
        <c:axId val="181518336"/>
        <c:scaling>
          <c:orientation val="minMax"/>
        </c:scaling>
        <c:delete val="1"/>
        <c:axPos val="b"/>
        <c:numFmt formatCode="m/d/yyyy" sourceLinked="1"/>
        <c:majorTickMark val="out"/>
        <c:minorTickMark val="none"/>
        <c:tickLblPos val="nextTo"/>
        <c:crossAx val="18151206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graphs'!$D$61:$D$72</c:f>
              <c:numCache>
                <c:formatCode>General</c:formatCode>
                <c:ptCount val="12"/>
                <c:pt idx="0">
                  <c:v>1844642.5206200001</c:v>
                </c:pt>
                <c:pt idx="1">
                  <c:v>1844643.5233690001</c:v>
                </c:pt>
                <c:pt idx="2">
                  <c:v>1844675.942233</c:v>
                </c:pt>
                <c:pt idx="3">
                  <c:v>1844487.7558319999</c:v>
                </c:pt>
                <c:pt idx="4">
                  <c:v>1844385.6499030001</c:v>
                </c:pt>
                <c:pt idx="5">
                  <c:v>1844789.217645</c:v>
                </c:pt>
                <c:pt idx="6">
                  <c:v>1844441.40915</c:v>
                </c:pt>
                <c:pt idx="7">
                  <c:v>1844726.1212200001</c:v>
                </c:pt>
                <c:pt idx="8">
                  <c:v>1844378.8008300001</c:v>
                </c:pt>
                <c:pt idx="9">
                  <c:v>1844523.3976960001</c:v>
                </c:pt>
                <c:pt idx="10">
                  <c:v>1844287.3108300001</c:v>
                </c:pt>
                <c:pt idx="11">
                  <c:v>1844350.1858300001</c:v>
                </c:pt>
              </c:numCache>
            </c:numRef>
          </c:xVal>
          <c:yVal>
            <c:numRef>
              <c:f>'Movement graphs'!$E$61:$E$72</c:f>
              <c:numCache>
                <c:formatCode>General</c:formatCode>
                <c:ptCount val="12"/>
                <c:pt idx="0">
                  <c:v>5595684.7471629996</c:v>
                </c:pt>
                <c:pt idx="1">
                  <c:v>5595686.1368650002</c:v>
                </c:pt>
                <c:pt idx="2">
                  <c:v>5595952.7010009997</c:v>
                </c:pt>
                <c:pt idx="3">
                  <c:v>5595551.3305120002</c:v>
                </c:pt>
                <c:pt idx="4">
                  <c:v>5595880.0496920003</c:v>
                </c:pt>
                <c:pt idx="5">
                  <c:v>5596420.0054500001</c:v>
                </c:pt>
                <c:pt idx="6">
                  <c:v>5595456.9984449996</c:v>
                </c:pt>
                <c:pt idx="7">
                  <c:v>5596620.4786019996</c:v>
                </c:pt>
                <c:pt idx="8">
                  <c:v>5595386.2032745006</c:v>
                </c:pt>
                <c:pt idx="9">
                  <c:v>5595824.9354964998</c:v>
                </c:pt>
                <c:pt idx="10">
                  <c:v>5596665.6572745005</c:v>
                </c:pt>
                <c:pt idx="11">
                  <c:v>5595799.4302745005</c:v>
                </c:pt>
              </c:numCache>
            </c:numRef>
          </c:yVal>
          <c:smooth val="0"/>
          <c:extLst>
            <c:ext xmlns:c16="http://schemas.microsoft.com/office/drawing/2014/chart" uri="{C3380CC4-5D6E-409C-BE32-E72D297353CC}">
              <c16:uniqueId val="{00000000-303A-4C46-866B-40BE18756D73}"/>
            </c:ext>
          </c:extLst>
        </c:ser>
        <c:dLbls>
          <c:showLegendKey val="0"/>
          <c:showVal val="0"/>
          <c:showCatName val="0"/>
          <c:showSerName val="0"/>
          <c:showPercent val="0"/>
          <c:showBubbleSize val="0"/>
        </c:dLbls>
        <c:axId val="181529984"/>
        <c:axId val="182264960"/>
      </c:scatterChart>
      <c:valAx>
        <c:axId val="181529984"/>
        <c:scaling>
          <c:orientation val="minMax"/>
        </c:scaling>
        <c:delete val="0"/>
        <c:axPos val="b"/>
        <c:numFmt formatCode="General" sourceLinked="1"/>
        <c:majorTickMark val="out"/>
        <c:minorTickMark val="none"/>
        <c:tickLblPos val="nextTo"/>
        <c:crossAx val="182264960"/>
        <c:crosses val="autoZero"/>
        <c:crossBetween val="midCat"/>
      </c:valAx>
      <c:valAx>
        <c:axId val="182264960"/>
        <c:scaling>
          <c:orientation val="minMax"/>
        </c:scaling>
        <c:delete val="0"/>
        <c:axPos val="l"/>
        <c:majorGridlines/>
        <c:numFmt formatCode="General" sourceLinked="1"/>
        <c:majorTickMark val="out"/>
        <c:minorTickMark val="none"/>
        <c:tickLblPos val="nextTo"/>
        <c:crossAx val="181529984"/>
        <c:crosses val="autoZero"/>
        <c:crossBetween val="midCat"/>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graphs'!$E$61:$E$72</c:f>
              <c:numCache>
                <c:formatCode>General</c:formatCode>
                <c:ptCount val="12"/>
                <c:pt idx="0">
                  <c:v>5595684.7471629996</c:v>
                </c:pt>
                <c:pt idx="1">
                  <c:v>5595686.1368650002</c:v>
                </c:pt>
                <c:pt idx="2">
                  <c:v>5595952.7010009997</c:v>
                </c:pt>
                <c:pt idx="3">
                  <c:v>5595551.3305120002</c:v>
                </c:pt>
                <c:pt idx="4">
                  <c:v>5595880.0496920003</c:v>
                </c:pt>
                <c:pt idx="5">
                  <c:v>5596420.0054500001</c:v>
                </c:pt>
                <c:pt idx="6">
                  <c:v>5595456.9984449996</c:v>
                </c:pt>
                <c:pt idx="7">
                  <c:v>5596620.4786019996</c:v>
                </c:pt>
                <c:pt idx="8">
                  <c:v>5595386.2032745006</c:v>
                </c:pt>
                <c:pt idx="9">
                  <c:v>5595824.9354964998</c:v>
                </c:pt>
                <c:pt idx="10">
                  <c:v>5596665.6572745005</c:v>
                </c:pt>
                <c:pt idx="11">
                  <c:v>5595799.4302745005</c:v>
                </c:pt>
              </c:numCache>
            </c:numRef>
          </c:xVal>
          <c:yVal>
            <c:numRef>
              <c:f>'Movement graphs'!$F$61:$F$72</c:f>
              <c:numCache>
                <c:formatCode>General</c:formatCode>
                <c:ptCount val="12"/>
                <c:pt idx="0">
                  <c:v>357.65443900000002</c:v>
                </c:pt>
                <c:pt idx="1">
                  <c:v>358.35370799999998</c:v>
                </c:pt>
                <c:pt idx="2">
                  <c:v>392.16441100000003</c:v>
                </c:pt>
                <c:pt idx="3">
                  <c:v>310.509477</c:v>
                </c:pt>
                <c:pt idx="4">
                  <c:v>382.92093699999998</c:v>
                </c:pt>
                <c:pt idx="5">
                  <c:v>421.42395800000003</c:v>
                </c:pt>
                <c:pt idx="6">
                  <c:v>304.36788799999999</c:v>
                </c:pt>
                <c:pt idx="7">
                  <c:v>438.49182400000001</c:v>
                </c:pt>
                <c:pt idx="8">
                  <c:v>310.75454575000003</c:v>
                </c:pt>
                <c:pt idx="9">
                  <c:v>369.28857225000002</c:v>
                </c:pt>
                <c:pt idx="10">
                  <c:v>432.59254575</c:v>
                </c:pt>
                <c:pt idx="11">
                  <c:v>359.74754575000003</c:v>
                </c:pt>
              </c:numCache>
            </c:numRef>
          </c:yVal>
          <c:smooth val="0"/>
          <c:extLst>
            <c:ext xmlns:c16="http://schemas.microsoft.com/office/drawing/2014/chart" uri="{C3380CC4-5D6E-409C-BE32-E72D297353CC}">
              <c16:uniqueId val="{00000000-C92F-403A-B0ED-FD2DD8C98362}"/>
            </c:ext>
          </c:extLst>
        </c:ser>
        <c:dLbls>
          <c:showLegendKey val="0"/>
          <c:showVal val="0"/>
          <c:showCatName val="0"/>
          <c:showSerName val="0"/>
          <c:showPercent val="0"/>
          <c:showBubbleSize val="0"/>
        </c:dLbls>
        <c:axId val="182301440"/>
        <c:axId val="182302976"/>
      </c:scatterChart>
      <c:valAx>
        <c:axId val="182301440"/>
        <c:scaling>
          <c:orientation val="minMax"/>
        </c:scaling>
        <c:delete val="0"/>
        <c:axPos val="b"/>
        <c:numFmt formatCode="General" sourceLinked="1"/>
        <c:majorTickMark val="out"/>
        <c:minorTickMark val="none"/>
        <c:tickLblPos val="nextTo"/>
        <c:crossAx val="182302976"/>
        <c:crosses val="autoZero"/>
        <c:crossBetween val="midCat"/>
      </c:valAx>
      <c:valAx>
        <c:axId val="182302976"/>
        <c:scaling>
          <c:orientation val="minMax"/>
        </c:scaling>
        <c:delete val="0"/>
        <c:axPos val="l"/>
        <c:majorGridlines/>
        <c:numFmt formatCode="General" sourceLinked="1"/>
        <c:majorTickMark val="out"/>
        <c:minorTickMark val="none"/>
        <c:tickLblPos val="nextTo"/>
        <c:crossAx val="182301440"/>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graphs'!$B$61:$B$72</c:f>
              <c:numCache>
                <c:formatCode>m/d/yyyy</c:formatCode>
                <c:ptCount val="12"/>
                <c:pt idx="0">
                  <c:v>43881</c:v>
                </c:pt>
                <c:pt idx="1">
                  <c:v>43382</c:v>
                </c:pt>
                <c:pt idx="2">
                  <c:v>43186</c:v>
                </c:pt>
                <c:pt idx="3">
                  <c:v>43019</c:v>
                </c:pt>
                <c:pt idx="4">
                  <c:v>42915</c:v>
                </c:pt>
                <c:pt idx="5">
                  <c:v>42814</c:v>
                </c:pt>
                <c:pt idx="6">
                  <c:v>42718</c:v>
                </c:pt>
                <c:pt idx="7">
                  <c:v>42562</c:v>
                </c:pt>
                <c:pt idx="8">
                  <c:v>42446</c:v>
                </c:pt>
                <c:pt idx="9">
                  <c:v>42345</c:v>
                </c:pt>
                <c:pt idx="10">
                  <c:v>42277</c:v>
                </c:pt>
                <c:pt idx="11">
                  <c:v>42188</c:v>
                </c:pt>
              </c:numCache>
            </c:numRef>
          </c:xVal>
          <c:yVal>
            <c:numRef>
              <c:f>'Movement graphs'!$K$61:$K$71</c:f>
              <c:numCache>
                <c:formatCode>General</c:formatCode>
                <c:ptCount val="11"/>
                <c:pt idx="0">
                  <c:v>1.3538496195497911</c:v>
                </c:pt>
                <c:pt idx="1">
                  <c:v>504.01370029331224</c:v>
                </c:pt>
                <c:pt idx="2">
                  <c:v>985.18271818902087</c:v>
                </c:pt>
                <c:pt idx="3">
                  <c:v>1234.4936273620981</c:v>
                </c:pt>
                <c:pt idx="4">
                  <c:v>2440.0968318705459</c:v>
                </c:pt>
                <c:pt idx="5">
                  <c:v>3918.277676240632</c:v>
                </c:pt>
                <c:pt idx="6">
                  <c:v>2820.081474909492</c:v>
                </c:pt>
                <c:pt idx="7">
                  <c:v>4054.5169975262138</c:v>
                </c:pt>
                <c:pt idx="8">
                  <c:v>1682.7577908262933</c:v>
                </c:pt>
                <c:pt idx="9">
                  <c:v>4699.5505238795022</c:v>
                </c:pt>
                <c:pt idx="10">
                  <c:v>3574.3565566837042</c:v>
                </c:pt>
              </c:numCache>
            </c:numRef>
          </c:yVal>
          <c:smooth val="0"/>
          <c:extLst>
            <c:ext xmlns:c16="http://schemas.microsoft.com/office/drawing/2014/chart" uri="{C3380CC4-5D6E-409C-BE32-E72D297353CC}">
              <c16:uniqueId val="{00000000-9296-4C55-9746-173A759826A9}"/>
            </c:ext>
          </c:extLst>
        </c:ser>
        <c:dLbls>
          <c:showLegendKey val="0"/>
          <c:showVal val="0"/>
          <c:showCatName val="0"/>
          <c:showSerName val="0"/>
          <c:showPercent val="0"/>
          <c:showBubbleSize val="0"/>
        </c:dLbls>
        <c:axId val="181932032"/>
        <c:axId val="181933952"/>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graphs'!$B$61:$C$72</c:f>
              <c:numCache>
                <c:formatCode>m/d/yyyy</c:formatCode>
                <c:ptCount val="12"/>
                <c:pt idx="0">
                  <c:v>43881</c:v>
                </c:pt>
                <c:pt idx="1">
                  <c:v>43382</c:v>
                </c:pt>
                <c:pt idx="2">
                  <c:v>43186</c:v>
                </c:pt>
                <c:pt idx="3">
                  <c:v>43019</c:v>
                </c:pt>
                <c:pt idx="4">
                  <c:v>42915</c:v>
                </c:pt>
                <c:pt idx="5">
                  <c:v>42814</c:v>
                </c:pt>
                <c:pt idx="6">
                  <c:v>42718</c:v>
                </c:pt>
                <c:pt idx="7">
                  <c:v>42562</c:v>
                </c:pt>
                <c:pt idx="8">
                  <c:v>42446</c:v>
                </c:pt>
                <c:pt idx="9">
                  <c:v>42345</c:v>
                </c:pt>
                <c:pt idx="10">
                  <c:v>42277</c:v>
                </c:pt>
                <c:pt idx="11">
                  <c:v>42188</c:v>
                </c:pt>
              </c:numCache>
            </c:numRef>
          </c:xVal>
          <c:yVal>
            <c:numRef>
              <c:f>'Movement graphs'!$L$61:$L$72</c:f>
              <c:numCache>
                <c:formatCode>General</c:formatCode>
                <c:ptCount val="12"/>
                <c:pt idx="0">
                  <c:v>7487.3477593970629</c:v>
                </c:pt>
                <c:pt idx="1">
                  <c:v>7485.4968800541719</c:v>
                </c:pt>
                <c:pt idx="2">
                  <c:v>7214.8484272939277</c:v>
                </c:pt>
                <c:pt idx="3">
                  <c:v>6764.0935945882657</c:v>
                </c:pt>
                <c:pt idx="4">
                  <c:v>6412.3474651481065</c:v>
                </c:pt>
                <c:pt idx="5">
                  <c:v>5737.1425883839283</c:v>
                </c:pt>
                <c:pt idx="6">
                  <c:v>4706.5818844959813</c:v>
                </c:pt>
                <c:pt idx="7">
                  <c:v>3501.2867883702802</c:v>
                </c:pt>
                <c:pt idx="8">
                  <c:v>2212.7279617592094</c:v>
                </c:pt>
                <c:pt idx="9">
                  <c:v>1747.0881347086461</c:v>
                </c:pt>
                <c:pt idx="10">
                  <c:v>871.55543436945106</c:v>
                </c:pt>
                <c:pt idx="11">
                  <c:v>0</c:v>
                </c:pt>
              </c:numCache>
            </c:numRef>
          </c:yVal>
          <c:smooth val="0"/>
          <c:extLst>
            <c:ext xmlns:c16="http://schemas.microsoft.com/office/drawing/2014/chart" uri="{C3380CC4-5D6E-409C-BE32-E72D297353CC}">
              <c16:uniqueId val="{00000001-9296-4C55-9746-173A759826A9}"/>
            </c:ext>
          </c:extLst>
        </c:ser>
        <c:dLbls>
          <c:showLegendKey val="0"/>
          <c:showVal val="0"/>
          <c:showCatName val="0"/>
          <c:showSerName val="0"/>
          <c:showPercent val="0"/>
          <c:showBubbleSize val="0"/>
        </c:dLbls>
        <c:axId val="181946240"/>
        <c:axId val="181944320"/>
      </c:scatterChart>
      <c:valAx>
        <c:axId val="181932032"/>
        <c:scaling>
          <c:orientation val="minMax"/>
          <c:max val="43400"/>
          <c:min val="42100"/>
        </c:scaling>
        <c:delete val="0"/>
        <c:axPos val="b"/>
        <c:numFmt formatCode="m/d/yyyy" sourceLinked="1"/>
        <c:majorTickMark val="out"/>
        <c:minorTickMark val="none"/>
        <c:tickLblPos val="nextTo"/>
        <c:crossAx val="181933952"/>
        <c:crosses val="autoZero"/>
        <c:crossBetween val="midCat"/>
        <c:majorUnit val="182.5"/>
      </c:valAx>
      <c:valAx>
        <c:axId val="181933952"/>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1932032"/>
        <c:crosses val="autoZero"/>
        <c:crossBetween val="midCat"/>
      </c:valAx>
      <c:valAx>
        <c:axId val="181944320"/>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1946240"/>
        <c:crosses val="max"/>
        <c:crossBetween val="midCat"/>
      </c:valAx>
      <c:valAx>
        <c:axId val="181946240"/>
        <c:scaling>
          <c:orientation val="minMax"/>
        </c:scaling>
        <c:delete val="1"/>
        <c:axPos val="b"/>
        <c:numFmt formatCode="m/d/yyyy" sourceLinked="1"/>
        <c:majorTickMark val="out"/>
        <c:minorTickMark val="none"/>
        <c:tickLblPos val="nextTo"/>
        <c:crossAx val="181944320"/>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graphs'!$D$90:$D$102</c:f>
              <c:numCache>
                <c:formatCode>General</c:formatCode>
                <c:ptCount val="13"/>
                <c:pt idx="0">
                  <c:v>1844387.379923</c:v>
                </c:pt>
                <c:pt idx="1">
                  <c:v>1844492.341974</c:v>
                </c:pt>
                <c:pt idx="2">
                  <c:v>1844523.0460079999</c:v>
                </c:pt>
                <c:pt idx="3">
                  <c:v>1844378.813019</c:v>
                </c:pt>
                <c:pt idx="4">
                  <c:v>1844340.2663519999</c:v>
                </c:pt>
                <c:pt idx="5">
                  <c:v>1844577.6760450001</c:v>
                </c:pt>
                <c:pt idx="6">
                  <c:v>1844611.3049069999</c:v>
                </c:pt>
                <c:pt idx="7">
                  <c:v>1844768.1840029999</c:v>
                </c:pt>
                <c:pt idx="8">
                  <c:v>1844378.9179779999</c:v>
                </c:pt>
                <c:pt idx="9">
                  <c:v>1844629.2263400001</c:v>
                </c:pt>
                <c:pt idx="10">
                  <c:v>1844646.4096959999</c:v>
                </c:pt>
                <c:pt idx="11">
                  <c:v>1844384.8788300003</c:v>
                </c:pt>
                <c:pt idx="12">
                  <c:v>1844676.1778300002</c:v>
                </c:pt>
              </c:numCache>
            </c:numRef>
          </c:xVal>
          <c:yVal>
            <c:numRef>
              <c:f>'Movement graphs'!$E$90:$E$102</c:f>
              <c:numCache>
                <c:formatCode>General</c:formatCode>
                <c:ptCount val="13"/>
                <c:pt idx="0">
                  <c:v>5595873.4393229997</c:v>
                </c:pt>
                <c:pt idx="1">
                  <c:v>5595542.530735</c:v>
                </c:pt>
                <c:pt idx="2">
                  <c:v>5595816.1480019996</c:v>
                </c:pt>
                <c:pt idx="3">
                  <c:v>5595386.1839720001</c:v>
                </c:pt>
                <c:pt idx="4">
                  <c:v>5596229.1569429999</c:v>
                </c:pt>
                <c:pt idx="5">
                  <c:v>5596364.6759930002</c:v>
                </c:pt>
                <c:pt idx="6">
                  <c:v>5596719.7520199995</c:v>
                </c:pt>
                <c:pt idx="7">
                  <c:v>5596230.428913</c:v>
                </c:pt>
                <c:pt idx="8">
                  <c:v>5595397.6237359997</c:v>
                </c:pt>
                <c:pt idx="9">
                  <c:v>5595617.920922501</c:v>
                </c:pt>
                <c:pt idx="10">
                  <c:v>5595689.6344964998</c:v>
                </c:pt>
                <c:pt idx="11">
                  <c:v>5595883.5152745005</c:v>
                </c:pt>
                <c:pt idx="12">
                  <c:v>5595954.1762745008</c:v>
                </c:pt>
              </c:numCache>
            </c:numRef>
          </c:yVal>
          <c:smooth val="0"/>
          <c:extLst>
            <c:ext xmlns:c16="http://schemas.microsoft.com/office/drawing/2014/chart" uri="{C3380CC4-5D6E-409C-BE32-E72D297353CC}">
              <c16:uniqueId val="{00000000-D2BA-4B76-86C8-4BC4ECA7A914}"/>
            </c:ext>
          </c:extLst>
        </c:ser>
        <c:dLbls>
          <c:showLegendKey val="0"/>
          <c:showVal val="0"/>
          <c:showCatName val="0"/>
          <c:showSerName val="0"/>
          <c:showPercent val="0"/>
          <c:showBubbleSize val="0"/>
        </c:dLbls>
        <c:axId val="181974528"/>
        <c:axId val="181976064"/>
      </c:scatterChart>
      <c:valAx>
        <c:axId val="181974528"/>
        <c:scaling>
          <c:orientation val="minMax"/>
        </c:scaling>
        <c:delete val="0"/>
        <c:axPos val="b"/>
        <c:numFmt formatCode="General" sourceLinked="1"/>
        <c:majorTickMark val="out"/>
        <c:minorTickMark val="none"/>
        <c:tickLblPos val="nextTo"/>
        <c:crossAx val="181976064"/>
        <c:crosses val="autoZero"/>
        <c:crossBetween val="midCat"/>
      </c:valAx>
      <c:valAx>
        <c:axId val="181976064"/>
        <c:scaling>
          <c:orientation val="minMax"/>
        </c:scaling>
        <c:delete val="0"/>
        <c:axPos val="l"/>
        <c:majorGridlines/>
        <c:numFmt formatCode="General" sourceLinked="1"/>
        <c:majorTickMark val="out"/>
        <c:minorTickMark val="none"/>
        <c:tickLblPos val="nextTo"/>
        <c:crossAx val="181974528"/>
        <c:crosses val="autoZero"/>
        <c:crossBetween val="midCat"/>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graphs'!$E$90:$E$102</c:f>
              <c:numCache>
                <c:formatCode>General</c:formatCode>
                <c:ptCount val="13"/>
                <c:pt idx="0">
                  <c:v>5595873.4393229997</c:v>
                </c:pt>
                <c:pt idx="1">
                  <c:v>5595542.530735</c:v>
                </c:pt>
                <c:pt idx="2">
                  <c:v>5595816.1480019996</c:v>
                </c:pt>
                <c:pt idx="3">
                  <c:v>5595386.1839720001</c:v>
                </c:pt>
                <c:pt idx="4">
                  <c:v>5596229.1569429999</c:v>
                </c:pt>
                <c:pt idx="5">
                  <c:v>5596364.6759930002</c:v>
                </c:pt>
                <c:pt idx="6">
                  <c:v>5596719.7520199995</c:v>
                </c:pt>
                <c:pt idx="7">
                  <c:v>5596230.428913</c:v>
                </c:pt>
                <c:pt idx="8">
                  <c:v>5595397.6237359997</c:v>
                </c:pt>
                <c:pt idx="9">
                  <c:v>5595617.920922501</c:v>
                </c:pt>
                <c:pt idx="10">
                  <c:v>5595689.6344964998</c:v>
                </c:pt>
                <c:pt idx="11">
                  <c:v>5595883.5152745005</c:v>
                </c:pt>
                <c:pt idx="12">
                  <c:v>5595954.1762745008</c:v>
                </c:pt>
              </c:numCache>
            </c:numRef>
          </c:xVal>
          <c:yVal>
            <c:numRef>
              <c:f>'Movement graphs'!$F$90:$F$102</c:f>
              <c:numCache>
                <c:formatCode>General</c:formatCode>
                <c:ptCount val="13"/>
                <c:pt idx="0">
                  <c:v>381.389906</c:v>
                </c:pt>
                <c:pt idx="1">
                  <c:v>309.12802900000003</c:v>
                </c:pt>
                <c:pt idx="2">
                  <c:v>367.943378</c:v>
                </c:pt>
                <c:pt idx="3">
                  <c:v>310.75782800000002</c:v>
                </c:pt>
                <c:pt idx="4">
                  <c:v>405.92341299999998</c:v>
                </c:pt>
                <c:pt idx="5">
                  <c:v>414.65527900000001</c:v>
                </c:pt>
                <c:pt idx="6">
                  <c:v>438.96707800000001</c:v>
                </c:pt>
                <c:pt idx="7">
                  <c:v>401.43903600000004</c:v>
                </c:pt>
                <c:pt idx="8">
                  <c:v>312.138552</c:v>
                </c:pt>
                <c:pt idx="9">
                  <c:v>334.69756875000002</c:v>
                </c:pt>
                <c:pt idx="10">
                  <c:v>360.47857225000001</c:v>
                </c:pt>
                <c:pt idx="11">
                  <c:v>383.66054574999998</c:v>
                </c:pt>
                <c:pt idx="12">
                  <c:v>392.32954575000002</c:v>
                </c:pt>
              </c:numCache>
            </c:numRef>
          </c:yVal>
          <c:smooth val="0"/>
          <c:extLst>
            <c:ext xmlns:c16="http://schemas.microsoft.com/office/drawing/2014/chart" uri="{C3380CC4-5D6E-409C-BE32-E72D297353CC}">
              <c16:uniqueId val="{00000000-7670-4A69-8346-2ECAC0CB9CB4}"/>
            </c:ext>
          </c:extLst>
        </c:ser>
        <c:dLbls>
          <c:showLegendKey val="0"/>
          <c:showVal val="0"/>
          <c:showCatName val="0"/>
          <c:showSerName val="0"/>
          <c:showPercent val="0"/>
          <c:showBubbleSize val="0"/>
        </c:dLbls>
        <c:axId val="182061696"/>
        <c:axId val="182071680"/>
      </c:scatterChart>
      <c:valAx>
        <c:axId val="182061696"/>
        <c:scaling>
          <c:orientation val="minMax"/>
        </c:scaling>
        <c:delete val="0"/>
        <c:axPos val="b"/>
        <c:numFmt formatCode="General" sourceLinked="1"/>
        <c:majorTickMark val="out"/>
        <c:minorTickMark val="none"/>
        <c:tickLblPos val="nextTo"/>
        <c:crossAx val="182071680"/>
        <c:crosses val="autoZero"/>
        <c:crossBetween val="midCat"/>
      </c:valAx>
      <c:valAx>
        <c:axId val="182071680"/>
        <c:scaling>
          <c:orientation val="minMax"/>
        </c:scaling>
        <c:delete val="0"/>
        <c:axPos val="l"/>
        <c:majorGridlines/>
        <c:numFmt formatCode="General" sourceLinked="1"/>
        <c:majorTickMark val="out"/>
        <c:minorTickMark val="none"/>
        <c:tickLblPos val="nextTo"/>
        <c:crossAx val="182061696"/>
        <c:crosses val="autoZero"/>
        <c:crossBetween val="midCat"/>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graphs'!$B$90:$B$102</c:f>
              <c:numCache>
                <c:formatCode>m/d/yyyy</c:formatCode>
                <c:ptCount val="13"/>
                <c:pt idx="0">
                  <c:v>43881</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graphs'!$K$90:$K$101</c:f>
              <c:numCache>
                <c:formatCode>General</c:formatCode>
                <c:ptCount val="12"/>
                <c:pt idx="0">
                  <c:v>259.37483988650371</c:v>
                </c:pt>
                <c:pt idx="1">
                  <c:v>524.30840127299484</c:v>
                </c:pt>
                <c:pt idx="2">
                  <c:v>999.05567812067238</c:v>
                </c:pt>
                <c:pt idx="3">
                  <c:v>2980.3759728346549</c:v>
                </c:pt>
                <c:pt idx="4">
                  <c:v>988.40939428518709</c:v>
                </c:pt>
                <c:pt idx="5">
                  <c:v>1359.2166021419532</c:v>
                </c:pt>
                <c:pt idx="6">
                  <c:v>3616.4811780112032</c:v>
                </c:pt>
                <c:pt idx="7">
                  <c:v>3241.537990923207</c:v>
                </c:pt>
                <c:pt idx="8">
                  <c:v>1051.5982791676154</c:v>
                </c:pt>
                <c:pt idx="9">
                  <c:v>282.31554910393209</c:v>
                </c:pt>
                <c:pt idx="10">
                  <c:v>1751.906210388549</c:v>
                </c:pt>
                <c:pt idx="11">
                  <c:v>1229.8122681678603</c:v>
                </c:pt>
              </c:numCache>
            </c:numRef>
          </c:yVal>
          <c:smooth val="0"/>
          <c:extLst>
            <c:ext xmlns:c16="http://schemas.microsoft.com/office/drawing/2014/chart" uri="{C3380CC4-5D6E-409C-BE32-E72D297353CC}">
              <c16:uniqueId val="{00000000-36D5-44CB-BF42-812D62C7288C}"/>
            </c:ext>
          </c:extLst>
        </c:ser>
        <c:dLbls>
          <c:showLegendKey val="0"/>
          <c:showVal val="0"/>
          <c:showCatName val="0"/>
          <c:showSerName val="0"/>
          <c:showPercent val="0"/>
          <c:showBubbleSize val="0"/>
        </c:dLbls>
        <c:axId val="182101888"/>
        <c:axId val="182104064"/>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graphs'!$B$90:$B$102</c:f>
              <c:numCache>
                <c:formatCode>m/d/yyyy</c:formatCode>
                <c:ptCount val="13"/>
                <c:pt idx="0">
                  <c:v>43881</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graphs'!$L$90:$L$102</c:f>
              <c:numCache>
                <c:formatCode>General</c:formatCode>
                <c:ptCount val="13"/>
                <c:pt idx="0">
                  <c:v>5050.869016797692</c:v>
                </c:pt>
                <c:pt idx="1">
                  <c:v>4696.2716329528557</c:v>
                </c:pt>
                <c:pt idx="2">
                  <c:v>4414.7252037761245</c:v>
                </c:pt>
                <c:pt idx="3">
                  <c:v>3957.6230168003649</c:v>
                </c:pt>
                <c:pt idx="4">
                  <c:v>3108.4199998830932</c:v>
                </c:pt>
                <c:pt idx="5">
                  <c:v>2834.9149346151371</c:v>
                </c:pt>
                <c:pt idx="6">
                  <c:v>2477.4223488462944</c:v>
                </c:pt>
                <c:pt idx="7">
                  <c:v>1962.1976330748353</c:v>
                </c:pt>
                <c:pt idx="8">
                  <c:v>1038.5813288117847</c:v>
                </c:pt>
                <c:pt idx="9">
                  <c:v>704.37475241878906</c:v>
                </c:pt>
                <c:pt idx="10">
                  <c:v>626.25455937907088</c:v>
                </c:pt>
                <c:pt idx="11">
                  <c:v>299.87203251216317</c:v>
                </c:pt>
                <c:pt idx="12">
                  <c:v>0</c:v>
                </c:pt>
              </c:numCache>
            </c:numRef>
          </c:yVal>
          <c:smooth val="0"/>
          <c:extLst>
            <c:ext xmlns:c16="http://schemas.microsoft.com/office/drawing/2014/chart" uri="{C3380CC4-5D6E-409C-BE32-E72D297353CC}">
              <c16:uniqueId val="{00000001-36D5-44CB-BF42-812D62C7288C}"/>
            </c:ext>
          </c:extLst>
        </c:ser>
        <c:dLbls>
          <c:showLegendKey val="0"/>
          <c:showVal val="0"/>
          <c:showCatName val="0"/>
          <c:showSerName val="0"/>
          <c:showPercent val="0"/>
          <c:showBubbleSize val="0"/>
        </c:dLbls>
        <c:axId val="182112256"/>
        <c:axId val="182105984"/>
      </c:scatterChart>
      <c:valAx>
        <c:axId val="182101888"/>
        <c:scaling>
          <c:orientation val="minMax"/>
          <c:max val="43400"/>
          <c:min val="42100"/>
        </c:scaling>
        <c:delete val="0"/>
        <c:axPos val="b"/>
        <c:numFmt formatCode="m/d/yyyy" sourceLinked="1"/>
        <c:majorTickMark val="out"/>
        <c:minorTickMark val="none"/>
        <c:tickLblPos val="nextTo"/>
        <c:crossAx val="182104064"/>
        <c:crosses val="autoZero"/>
        <c:crossBetween val="midCat"/>
        <c:majorUnit val="182.5"/>
      </c:valAx>
      <c:valAx>
        <c:axId val="182104064"/>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2101888"/>
        <c:crosses val="autoZero"/>
        <c:crossBetween val="midCat"/>
      </c:valAx>
      <c:valAx>
        <c:axId val="1821059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2112256"/>
        <c:crosses val="max"/>
        <c:crossBetween val="midCat"/>
      </c:valAx>
      <c:valAx>
        <c:axId val="182112256"/>
        <c:scaling>
          <c:orientation val="minMax"/>
        </c:scaling>
        <c:delete val="1"/>
        <c:axPos val="b"/>
        <c:numFmt formatCode="m/d/yyyy" sourceLinked="1"/>
        <c:majorTickMark val="out"/>
        <c:minorTickMark val="none"/>
        <c:tickLblPos val="nextTo"/>
        <c:crossAx val="1821059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graphs'!$D$121:$D$130</c:f>
              <c:numCache>
                <c:formatCode>General</c:formatCode>
                <c:ptCount val="10"/>
                <c:pt idx="0">
                  <c:v>1844569.6195090001</c:v>
                </c:pt>
                <c:pt idx="1">
                  <c:v>1844707.7045750001</c:v>
                </c:pt>
                <c:pt idx="2">
                  <c:v>1844569.7649920001</c:v>
                </c:pt>
                <c:pt idx="3">
                  <c:v>1844645.048919</c:v>
                </c:pt>
                <c:pt idx="4">
                  <c:v>1844488.537301</c:v>
                </c:pt>
                <c:pt idx="5">
                  <c:v>1844195.5586059999</c:v>
                </c:pt>
                <c:pt idx="6">
                  <c:v>1844288.9238829999</c:v>
                </c:pt>
                <c:pt idx="7">
                  <c:v>1844444.4506220003</c:v>
                </c:pt>
                <c:pt idx="8">
                  <c:v>0</c:v>
                </c:pt>
                <c:pt idx="9">
                  <c:v>1844340.31183</c:v>
                </c:pt>
              </c:numCache>
            </c:numRef>
          </c:xVal>
          <c:yVal>
            <c:numRef>
              <c:f>'Movement graphs'!$E$121:$E$130</c:f>
              <c:numCache>
                <c:formatCode>General</c:formatCode>
                <c:ptCount val="10"/>
                <c:pt idx="0">
                  <c:v>5596016.7005279996</c:v>
                </c:pt>
                <c:pt idx="1">
                  <c:v>5595725.6821790002</c:v>
                </c:pt>
                <c:pt idx="2">
                  <c:v>5596017.6813949998</c:v>
                </c:pt>
                <c:pt idx="3">
                  <c:v>5595688.1156749995</c:v>
                </c:pt>
                <c:pt idx="4">
                  <c:v>5596190.2451240001</c:v>
                </c:pt>
                <c:pt idx="5">
                  <c:v>5596400.9974440001</c:v>
                </c:pt>
                <c:pt idx="6">
                  <c:v>5596464.8172399998</c:v>
                </c:pt>
                <c:pt idx="7">
                  <c:v>5596429.1700725006</c:v>
                </c:pt>
                <c:pt idx="8">
                  <c:v>0</c:v>
                </c:pt>
                <c:pt idx="9">
                  <c:v>5596229.3912745006</c:v>
                </c:pt>
              </c:numCache>
            </c:numRef>
          </c:yVal>
          <c:smooth val="0"/>
          <c:extLst>
            <c:ext xmlns:c16="http://schemas.microsoft.com/office/drawing/2014/chart" uri="{C3380CC4-5D6E-409C-BE32-E72D297353CC}">
              <c16:uniqueId val="{00000000-0C8D-4D0F-AF10-DD59C18D76B8}"/>
            </c:ext>
          </c:extLst>
        </c:ser>
        <c:dLbls>
          <c:showLegendKey val="0"/>
          <c:showVal val="0"/>
          <c:showCatName val="0"/>
          <c:showSerName val="0"/>
          <c:showPercent val="0"/>
          <c:showBubbleSize val="0"/>
        </c:dLbls>
        <c:axId val="182148480"/>
        <c:axId val="182154368"/>
      </c:scatterChart>
      <c:valAx>
        <c:axId val="182148480"/>
        <c:scaling>
          <c:orientation val="minMax"/>
        </c:scaling>
        <c:delete val="0"/>
        <c:axPos val="b"/>
        <c:numFmt formatCode="General" sourceLinked="1"/>
        <c:majorTickMark val="out"/>
        <c:minorTickMark val="none"/>
        <c:tickLblPos val="nextTo"/>
        <c:crossAx val="182154368"/>
        <c:crosses val="autoZero"/>
        <c:crossBetween val="midCat"/>
      </c:valAx>
      <c:valAx>
        <c:axId val="182154368"/>
        <c:scaling>
          <c:orientation val="minMax"/>
        </c:scaling>
        <c:delete val="0"/>
        <c:axPos val="l"/>
        <c:numFmt formatCode="General" sourceLinked="1"/>
        <c:majorTickMark val="out"/>
        <c:minorTickMark val="none"/>
        <c:tickLblPos val="nextTo"/>
        <c:crossAx val="182148480"/>
        <c:crosses val="autoZero"/>
        <c:crossBetween val="midCat"/>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graphs'!$E$121:$E$130</c:f>
              <c:numCache>
                <c:formatCode>General</c:formatCode>
                <c:ptCount val="10"/>
                <c:pt idx="0">
                  <c:v>5596016.7005279996</c:v>
                </c:pt>
                <c:pt idx="1">
                  <c:v>5595725.6821790002</c:v>
                </c:pt>
                <c:pt idx="2">
                  <c:v>5596017.6813949998</c:v>
                </c:pt>
                <c:pt idx="3">
                  <c:v>5595688.1156749995</c:v>
                </c:pt>
                <c:pt idx="4">
                  <c:v>5596190.2451240001</c:v>
                </c:pt>
                <c:pt idx="5">
                  <c:v>5596400.9974440001</c:v>
                </c:pt>
                <c:pt idx="6">
                  <c:v>5596464.8172399998</c:v>
                </c:pt>
                <c:pt idx="7">
                  <c:v>5596429.1700725006</c:v>
                </c:pt>
                <c:pt idx="8">
                  <c:v>0</c:v>
                </c:pt>
                <c:pt idx="9">
                  <c:v>5596229.3912745006</c:v>
                </c:pt>
              </c:numCache>
            </c:numRef>
          </c:xVal>
          <c:yVal>
            <c:numRef>
              <c:f>'Movement graphs'!$F$121:$F$130</c:f>
              <c:numCache>
                <c:formatCode>General</c:formatCode>
                <c:ptCount val="10"/>
                <c:pt idx="0">
                  <c:v>397.55543499999999</c:v>
                </c:pt>
                <c:pt idx="1">
                  <c:v>375.834701</c:v>
                </c:pt>
                <c:pt idx="2">
                  <c:v>397.95995199999999</c:v>
                </c:pt>
                <c:pt idx="3">
                  <c:v>359.532196</c:v>
                </c:pt>
                <c:pt idx="4">
                  <c:v>401.05680899999999</c:v>
                </c:pt>
                <c:pt idx="5">
                  <c:v>423.41558500000002</c:v>
                </c:pt>
                <c:pt idx="6">
                  <c:v>433.58862700000003</c:v>
                </c:pt>
                <c:pt idx="7">
                  <c:v>421.89266275</c:v>
                </c:pt>
                <c:pt idx="8">
                  <c:v>0</c:v>
                </c:pt>
                <c:pt idx="9">
                  <c:v>405.90654575000002</c:v>
                </c:pt>
              </c:numCache>
            </c:numRef>
          </c:yVal>
          <c:smooth val="0"/>
          <c:extLst>
            <c:ext xmlns:c16="http://schemas.microsoft.com/office/drawing/2014/chart" uri="{C3380CC4-5D6E-409C-BE32-E72D297353CC}">
              <c16:uniqueId val="{00000000-BED1-4036-A305-7012641640BA}"/>
            </c:ext>
          </c:extLst>
        </c:ser>
        <c:dLbls>
          <c:showLegendKey val="0"/>
          <c:showVal val="0"/>
          <c:showCatName val="0"/>
          <c:showSerName val="0"/>
          <c:showPercent val="0"/>
          <c:showBubbleSize val="0"/>
        </c:dLbls>
        <c:axId val="182170368"/>
        <c:axId val="182171904"/>
      </c:scatterChart>
      <c:valAx>
        <c:axId val="182170368"/>
        <c:scaling>
          <c:orientation val="minMax"/>
        </c:scaling>
        <c:delete val="0"/>
        <c:axPos val="b"/>
        <c:numFmt formatCode="General" sourceLinked="1"/>
        <c:majorTickMark val="out"/>
        <c:minorTickMark val="none"/>
        <c:tickLblPos val="nextTo"/>
        <c:crossAx val="182171904"/>
        <c:crosses val="autoZero"/>
        <c:crossBetween val="midCat"/>
      </c:valAx>
      <c:valAx>
        <c:axId val="182171904"/>
        <c:scaling>
          <c:orientation val="minMax"/>
        </c:scaling>
        <c:delete val="0"/>
        <c:axPos val="l"/>
        <c:numFmt formatCode="General" sourceLinked="1"/>
        <c:majorTickMark val="out"/>
        <c:minorTickMark val="none"/>
        <c:tickLblPos val="nextTo"/>
        <c:crossAx val="182170368"/>
        <c:crosses val="autoZero"/>
        <c:crossBetween val="midCat"/>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graphs'!$B$120:$B$130</c:f>
              <c:numCache>
                <c:formatCode>m/d/yyyy</c:formatCode>
                <c:ptCount val="11"/>
                <c:pt idx="0">
                  <c:v>43881</c:v>
                </c:pt>
                <c:pt idx="1">
                  <c:v>43382</c:v>
                </c:pt>
                <c:pt idx="2">
                  <c:v>43186</c:v>
                </c:pt>
                <c:pt idx="3">
                  <c:v>43019</c:v>
                </c:pt>
                <c:pt idx="4">
                  <c:v>42915</c:v>
                </c:pt>
                <c:pt idx="5">
                  <c:v>42814</c:v>
                </c:pt>
                <c:pt idx="6">
                  <c:v>42666</c:v>
                </c:pt>
                <c:pt idx="7">
                  <c:v>42562</c:v>
                </c:pt>
                <c:pt idx="8">
                  <c:v>42446</c:v>
                </c:pt>
                <c:pt idx="9">
                  <c:v>42345</c:v>
                </c:pt>
                <c:pt idx="10">
                  <c:v>42188</c:v>
                </c:pt>
              </c:numCache>
            </c:numRef>
          </c:xVal>
          <c:yVal>
            <c:numRef>
              <c:f>'Movement graphs'!$K$120:$K$129</c:f>
              <c:numCache>
                <c:formatCode>General</c:formatCode>
                <c:ptCount val="10"/>
                <c:pt idx="0">
                  <c:v>127.72929651812669</c:v>
                </c:pt>
                <c:pt idx="1">
                  <c:v>601.22239869712791</c:v>
                </c:pt>
                <c:pt idx="2">
                  <c:v>707.48366022459879</c:v>
                </c:pt>
                <c:pt idx="3">
                  <c:v>1194.0840395648536</c:v>
                </c:pt>
                <c:pt idx="4">
                  <c:v>1906.6472509344137</c:v>
                </c:pt>
                <c:pt idx="5">
                  <c:v>891.77836495805207</c:v>
                </c:pt>
                <c:pt idx="6">
                  <c:v>398.51573886759445</c:v>
                </c:pt>
                <c:pt idx="7">
                  <c:v>503.40975542839573</c:v>
                </c:pt>
                <c:pt idx="8">
                  <c:v>0</c:v>
                </c:pt>
                <c:pt idx="9">
                  <c:v>0</c:v>
                </c:pt>
              </c:numCache>
            </c:numRef>
          </c:yVal>
          <c:smooth val="0"/>
          <c:extLst>
            <c:ext xmlns:c16="http://schemas.microsoft.com/office/drawing/2014/chart" uri="{C3380CC4-5D6E-409C-BE32-E72D297353CC}">
              <c16:uniqueId val="{00000000-A360-4A2D-8C72-060973711FFB}"/>
            </c:ext>
          </c:extLst>
        </c:ser>
        <c:dLbls>
          <c:showLegendKey val="0"/>
          <c:showVal val="0"/>
          <c:showCatName val="0"/>
          <c:showSerName val="0"/>
          <c:showPercent val="0"/>
          <c:showBubbleSize val="0"/>
        </c:dLbls>
        <c:axId val="182616064"/>
        <c:axId val="182617984"/>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graphs'!$B$120:$B$130</c:f>
              <c:numCache>
                <c:formatCode>m/d/yyyy</c:formatCode>
                <c:ptCount val="11"/>
                <c:pt idx="0">
                  <c:v>43881</c:v>
                </c:pt>
                <c:pt idx="1">
                  <c:v>43382</c:v>
                </c:pt>
                <c:pt idx="2">
                  <c:v>43186</c:v>
                </c:pt>
                <c:pt idx="3">
                  <c:v>43019</c:v>
                </c:pt>
                <c:pt idx="4">
                  <c:v>42915</c:v>
                </c:pt>
                <c:pt idx="5">
                  <c:v>42814</c:v>
                </c:pt>
                <c:pt idx="6">
                  <c:v>42666</c:v>
                </c:pt>
                <c:pt idx="7">
                  <c:v>42562</c:v>
                </c:pt>
                <c:pt idx="8">
                  <c:v>42446</c:v>
                </c:pt>
                <c:pt idx="9">
                  <c:v>42345</c:v>
                </c:pt>
                <c:pt idx="10">
                  <c:v>42188</c:v>
                </c:pt>
              </c:numCache>
            </c:numRef>
          </c:xVal>
          <c:yVal>
            <c:numRef>
              <c:f>'Movement graphs'!$L$120:$L$130</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1-A360-4A2D-8C72-060973711FFB}"/>
            </c:ext>
          </c:extLst>
        </c:ser>
        <c:dLbls>
          <c:showLegendKey val="0"/>
          <c:showVal val="0"/>
          <c:showCatName val="0"/>
          <c:showSerName val="0"/>
          <c:showPercent val="0"/>
          <c:showBubbleSize val="0"/>
        </c:dLbls>
        <c:axId val="182630272"/>
        <c:axId val="182628352"/>
      </c:scatterChart>
      <c:valAx>
        <c:axId val="182616064"/>
        <c:scaling>
          <c:orientation val="minMax"/>
          <c:max val="43400"/>
          <c:min val="42100"/>
        </c:scaling>
        <c:delete val="0"/>
        <c:axPos val="b"/>
        <c:numFmt formatCode="m/d/yyyy" sourceLinked="1"/>
        <c:majorTickMark val="out"/>
        <c:minorTickMark val="none"/>
        <c:tickLblPos val="nextTo"/>
        <c:crossAx val="182617984"/>
        <c:crosses val="autoZero"/>
        <c:crossBetween val="midCat"/>
        <c:majorUnit val="182.5"/>
      </c:valAx>
      <c:valAx>
        <c:axId val="182617984"/>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2616064"/>
        <c:crosses val="autoZero"/>
        <c:crossBetween val="midCat"/>
        <c:majorUnit val="0.4"/>
      </c:valAx>
      <c:valAx>
        <c:axId val="182628352"/>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2630272"/>
        <c:crosses val="max"/>
        <c:crossBetween val="midCat"/>
      </c:valAx>
      <c:valAx>
        <c:axId val="182630272"/>
        <c:scaling>
          <c:orientation val="minMax"/>
        </c:scaling>
        <c:delete val="1"/>
        <c:axPos val="b"/>
        <c:numFmt formatCode="m/d/yyyy" sourceLinked="1"/>
        <c:majorTickMark val="out"/>
        <c:minorTickMark val="none"/>
        <c:tickLblPos val="nextTo"/>
        <c:crossAx val="182628352"/>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graphs'!$D$148:$D$159</c:f>
              <c:numCache>
                <c:formatCode>General</c:formatCode>
                <c:ptCount val="12"/>
                <c:pt idx="0">
                  <c:v>1844577.5881060001</c:v>
                </c:pt>
                <c:pt idx="1">
                  <c:v>1844344.054861</c:v>
                </c:pt>
                <c:pt idx="2">
                  <c:v>1844189.2671749999</c:v>
                </c:pt>
                <c:pt idx="3">
                  <c:v>1844302.9112249999</c:v>
                </c:pt>
                <c:pt idx="4">
                  <c:v>1844645.3717990001</c:v>
                </c:pt>
                <c:pt idx="5">
                  <c:v>1844395.1182200001</c:v>
                </c:pt>
                <c:pt idx="6">
                  <c:v>1844569.889312</c:v>
                </c:pt>
                <c:pt idx="7">
                  <c:v>1844385.159211</c:v>
                </c:pt>
                <c:pt idx="8">
                  <c:v>1844340.3233420001</c:v>
                </c:pt>
                <c:pt idx="9">
                  <c:v>1844275.8296960001</c:v>
                </c:pt>
                <c:pt idx="10">
                  <c:v>1844620.8288300002</c:v>
                </c:pt>
                <c:pt idx="11">
                  <c:v>1844444.4688300001</c:v>
                </c:pt>
              </c:numCache>
            </c:numRef>
          </c:xVal>
          <c:yVal>
            <c:numRef>
              <c:f>'Movement graphs'!$E$148:$E$159</c:f>
              <c:numCache>
                <c:formatCode>General</c:formatCode>
                <c:ptCount val="12"/>
                <c:pt idx="0">
                  <c:v>5596364.29954</c:v>
                </c:pt>
                <c:pt idx="1">
                  <c:v>5595524.1049920004</c:v>
                </c:pt>
                <c:pt idx="2">
                  <c:v>5595595.2338840002</c:v>
                </c:pt>
                <c:pt idx="3">
                  <c:v>5595520.1589989997</c:v>
                </c:pt>
                <c:pt idx="4">
                  <c:v>5595688.4065119997</c:v>
                </c:pt>
                <c:pt idx="5">
                  <c:v>5596018.6699980004</c:v>
                </c:pt>
                <c:pt idx="6">
                  <c:v>5596018.481497</c:v>
                </c:pt>
                <c:pt idx="7">
                  <c:v>5595882.5322160004</c:v>
                </c:pt>
                <c:pt idx="8">
                  <c:v>5596229.3727545012</c:v>
                </c:pt>
                <c:pt idx="9">
                  <c:v>5596483.0624965001</c:v>
                </c:pt>
                <c:pt idx="10">
                  <c:v>5595623.4282745002</c:v>
                </c:pt>
                <c:pt idx="11">
                  <c:v>5596429.2242745012</c:v>
                </c:pt>
              </c:numCache>
            </c:numRef>
          </c:yVal>
          <c:smooth val="0"/>
          <c:extLst>
            <c:ext xmlns:c16="http://schemas.microsoft.com/office/drawing/2014/chart" uri="{C3380CC4-5D6E-409C-BE32-E72D297353CC}">
              <c16:uniqueId val="{00000000-C8B2-4AFA-AE5E-10BC7E4F0C62}"/>
            </c:ext>
          </c:extLst>
        </c:ser>
        <c:dLbls>
          <c:showLegendKey val="0"/>
          <c:showVal val="0"/>
          <c:showCatName val="0"/>
          <c:showSerName val="0"/>
          <c:showPercent val="0"/>
          <c:showBubbleSize val="0"/>
        </c:dLbls>
        <c:axId val="182646272"/>
        <c:axId val="182647808"/>
      </c:scatterChart>
      <c:valAx>
        <c:axId val="182646272"/>
        <c:scaling>
          <c:orientation val="minMax"/>
        </c:scaling>
        <c:delete val="0"/>
        <c:axPos val="b"/>
        <c:numFmt formatCode="General" sourceLinked="1"/>
        <c:majorTickMark val="out"/>
        <c:minorTickMark val="none"/>
        <c:tickLblPos val="nextTo"/>
        <c:crossAx val="182647808"/>
        <c:crosses val="autoZero"/>
        <c:crossBetween val="midCat"/>
      </c:valAx>
      <c:valAx>
        <c:axId val="182647808"/>
        <c:scaling>
          <c:orientation val="minMax"/>
        </c:scaling>
        <c:delete val="0"/>
        <c:axPos val="l"/>
        <c:numFmt formatCode="General" sourceLinked="1"/>
        <c:majorTickMark val="out"/>
        <c:minorTickMark val="none"/>
        <c:tickLblPos val="nextTo"/>
        <c:crossAx val="182646272"/>
        <c:crosses val="autoZero"/>
        <c:crossBetween val="midCat"/>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graphs'!$E$147:$E$159</c:f>
              <c:numCache>
                <c:formatCode>General</c:formatCode>
                <c:ptCount val="13"/>
                <c:pt idx="0">
                  <c:v>5596364.1203709999</c:v>
                </c:pt>
                <c:pt idx="1">
                  <c:v>5596364.29954</c:v>
                </c:pt>
                <c:pt idx="2">
                  <c:v>5595524.1049920004</c:v>
                </c:pt>
                <c:pt idx="3">
                  <c:v>5595595.2338840002</c:v>
                </c:pt>
                <c:pt idx="4">
                  <c:v>5595520.1589989997</c:v>
                </c:pt>
                <c:pt idx="5">
                  <c:v>5595688.4065119997</c:v>
                </c:pt>
                <c:pt idx="6">
                  <c:v>5596018.6699980004</c:v>
                </c:pt>
                <c:pt idx="7">
                  <c:v>5596018.481497</c:v>
                </c:pt>
                <c:pt idx="8">
                  <c:v>5595882.5322160004</c:v>
                </c:pt>
                <c:pt idx="9">
                  <c:v>5596229.3727545012</c:v>
                </c:pt>
                <c:pt idx="10">
                  <c:v>5596483.0624965001</c:v>
                </c:pt>
                <c:pt idx="11">
                  <c:v>5595623.4282745002</c:v>
                </c:pt>
                <c:pt idx="12">
                  <c:v>5596429.2242745012</c:v>
                </c:pt>
              </c:numCache>
            </c:numRef>
          </c:xVal>
          <c:yVal>
            <c:numRef>
              <c:f>'Movement graphs'!$F$147:$F$159</c:f>
              <c:numCache>
                <c:formatCode>General</c:formatCode>
                <c:ptCount val="13"/>
                <c:pt idx="0">
                  <c:v>414.53913499999999</c:v>
                </c:pt>
                <c:pt idx="1">
                  <c:v>414.58305899999999</c:v>
                </c:pt>
                <c:pt idx="2">
                  <c:v>316.070381</c:v>
                </c:pt>
                <c:pt idx="3">
                  <c:v>356.258554</c:v>
                </c:pt>
                <c:pt idx="4">
                  <c:v>315.53779300000002</c:v>
                </c:pt>
                <c:pt idx="5">
                  <c:v>359.67004100000003</c:v>
                </c:pt>
                <c:pt idx="6">
                  <c:v>390.14675599999998</c:v>
                </c:pt>
                <c:pt idx="7">
                  <c:v>398.28669200000002</c:v>
                </c:pt>
                <c:pt idx="8">
                  <c:v>383.520534</c:v>
                </c:pt>
                <c:pt idx="9">
                  <c:v>405.89318675000004</c:v>
                </c:pt>
                <c:pt idx="10">
                  <c:v>434.73157225000006</c:v>
                </c:pt>
                <c:pt idx="11">
                  <c:v>335.49454574999999</c:v>
                </c:pt>
                <c:pt idx="12">
                  <c:v>421.90254575</c:v>
                </c:pt>
              </c:numCache>
            </c:numRef>
          </c:yVal>
          <c:smooth val="0"/>
          <c:extLst>
            <c:ext xmlns:c16="http://schemas.microsoft.com/office/drawing/2014/chart" uri="{C3380CC4-5D6E-409C-BE32-E72D297353CC}">
              <c16:uniqueId val="{00000000-4AE1-421F-B5E7-CFA74083CCFE}"/>
            </c:ext>
          </c:extLst>
        </c:ser>
        <c:dLbls>
          <c:showLegendKey val="0"/>
          <c:showVal val="0"/>
          <c:showCatName val="0"/>
          <c:showSerName val="0"/>
          <c:showPercent val="0"/>
          <c:showBubbleSize val="0"/>
        </c:dLbls>
        <c:axId val="182401664"/>
        <c:axId val="182415744"/>
      </c:scatterChart>
      <c:valAx>
        <c:axId val="182401664"/>
        <c:scaling>
          <c:orientation val="minMax"/>
        </c:scaling>
        <c:delete val="0"/>
        <c:axPos val="b"/>
        <c:numFmt formatCode="General" sourceLinked="1"/>
        <c:majorTickMark val="out"/>
        <c:minorTickMark val="none"/>
        <c:tickLblPos val="nextTo"/>
        <c:crossAx val="182415744"/>
        <c:crosses val="autoZero"/>
        <c:crossBetween val="midCat"/>
      </c:valAx>
      <c:valAx>
        <c:axId val="182415744"/>
        <c:scaling>
          <c:orientation val="minMax"/>
        </c:scaling>
        <c:delete val="0"/>
        <c:axPos val="l"/>
        <c:numFmt formatCode="General" sourceLinked="1"/>
        <c:majorTickMark val="out"/>
        <c:minorTickMark val="none"/>
        <c:tickLblPos val="nextTo"/>
        <c:crossAx val="182401664"/>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xVal>
            <c:numRef>
              <c:f>'Movement graphs'!$B$147:$C$159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graphs'!$K$147:$K$158</c:f>
              <c:numCache>
                <c:formatCode>General</c:formatCode>
                <c:ptCount val="12"/>
                <c:pt idx="0">
                  <c:v>0.15485288328977007</c:v>
                </c:pt>
                <c:pt idx="1">
                  <c:v>1634.2930114955839</c:v>
                </c:pt>
                <c:pt idx="2">
                  <c:v>382.53895661189654</c:v>
                </c:pt>
                <c:pt idx="3">
                  <c:v>498.92597549291344</c:v>
                </c:pt>
                <c:pt idx="4">
                  <c:v>1388.0903478274361</c:v>
                </c:pt>
                <c:pt idx="5">
                  <c:v>1579.7171449248535</c:v>
                </c:pt>
                <c:pt idx="6">
                  <c:v>1228.0891706861662</c:v>
                </c:pt>
                <c:pt idx="7">
                  <c:v>806.64260205811991</c:v>
                </c:pt>
                <c:pt idx="8">
                  <c:v>1102.6818793846903</c:v>
                </c:pt>
                <c:pt idx="9">
                  <c:v>951.68532131663096</c:v>
                </c:pt>
                <c:pt idx="10">
                  <c:v>5000.398665686922</c:v>
                </c:pt>
                <c:pt idx="11">
                  <c:v>3401.402747281812</c:v>
                </c:pt>
              </c:numCache>
            </c:numRef>
          </c:yVal>
          <c:smooth val="0"/>
          <c:extLst>
            <c:ext xmlns:c16="http://schemas.microsoft.com/office/drawing/2014/chart" uri="{C3380CC4-5D6E-409C-BE32-E72D297353CC}">
              <c16:uniqueId val="{00000000-BB5B-4E87-8BE3-3BE1C574CF3A}"/>
            </c:ext>
          </c:extLst>
        </c:ser>
        <c:dLbls>
          <c:showLegendKey val="0"/>
          <c:showVal val="0"/>
          <c:showCatName val="0"/>
          <c:showSerName val="0"/>
          <c:showPercent val="0"/>
          <c:showBubbleSize val="0"/>
        </c:dLbls>
        <c:axId val="182437760"/>
        <c:axId val="182444032"/>
      </c:scatterChart>
      <c:scatterChart>
        <c:scatterStyle val="lineMarker"/>
        <c:varyColors val="0"/>
        <c:ser>
          <c:idx val="1"/>
          <c:order val="1"/>
          <c:spPr>
            <a:ln>
              <a:solidFill>
                <a:schemeClr val="tx1"/>
              </a:solidFill>
            </a:ln>
          </c:spPr>
          <c:marker>
            <c:symbol val="diamond"/>
            <c:size val="4"/>
            <c:spPr>
              <a:solidFill>
                <a:schemeClr val="tx1"/>
              </a:solidFill>
              <a:ln>
                <a:noFill/>
              </a:ln>
            </c:spPr>
          </c:marker>
          <c:xVal>
            <c:numRef>
              <c:f>'Movement graphs'!$B$147:$C$159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graphs'!$L$147:$L$159</c:f>
              <c:numCache>
                <c:formatCode>General</c:formatCode>
                <c:ptCount val="13"/>
                <c:pt idx="0">
                  <c:v>4774.0980992665573</c:v>
                </c:pt>
                <c:pt idx="1">
                  <c:v>4773.9135485700335</c:v>
                </c:pt>
                <c:pt idx="2">
                  <c:v>3896.3205889724045</c:v>
                </c:pt>
                <c:pt idx="3">
                  <c:v>3721.2959156732627</c:v>
                </c:pt>
                <c:pt idx="4">
                  <c:v>3579.1361856698022</c:v>
                </c:pt>
                <c:pt idx="5">
                  <c:v>3195.0344729833064</c:v>
                </c:pt>
                <c:pt idx="6">
                  <c:v>2779.5472239071805</c:v>
                </c:pt>
                <c:pt idx="7">
                  <c:v>2604.5865749327131</c:v>
                </c:pt>
                <c:pt idx="8">
                  <c:v>2374.7486828394408</c:v>
                </c:pt>
                <c:pt idx="9">
                  <c:v>2024.3073184322513</c:v>
                </c:pt>
                <c:pt idx="10">
                  <c:v>1760.9642569172383</c:v>
                </c:pt>
                <c:pt idx="11">
                  <c:v>829.38313563857878</c:v>
                </c:pt>
                <c:pt idx="12">
                  <c:v>0</c:v>
                </c:pt>
              </c:numCache>
            </c:numRef>
          </c:yVal>
          <c:smooth val="0"/>
          <c:extLst>
            <c:ext xmlns:c16="http://schemas.microsoft.com/office/drawing/2014/chart" uri="{C3380CC4-5D6E-409C-BE32-E72D297353CC}">
              <c16:uniqueId val="{00000001-BB5B-4E87-8BE3-3BE1C574CF3A}"/>
            </c:ext>
          </c:extLst>
        </c:ser>
        <c:dLbls>
          <c:showLegendKey val="0"/>
          <c:showVal val="0"/>
          <c:showCatName val="0"/>
          <c:showSerName val="0"/>
          <c:showPercent val="0"/>
          <c:showBubbleSize val="0"/>
        </c:dLbls>
        <c:axId val="182460416"/>
        <c:axId val="182445952"/>
      </c:scatterChart>
      <c:valAx>
        <c:axId val="182437760"/>
        <c:scaling>
          <c:orientation val="minMax"/>
          <c:max val="43400"/>
          <c:min val="42100"/>
        </c:scaling>
        <c:delete val="0"/>
        <c:axPos val="b"/>
        <c:numFmt formatCode="m/d/yyyy" sourceLinked="1"/>
        <c:majorTickMark val="out"/>
        <c:minorTickMark val="none"/>
        <c:tickLblPos val="nextTo"/>
        <c:crossAx val="182444032"/>
        <c:crosses val="autoZero"/>
        <c:crossBetween val="midCat"/>
        <c:majorUnit val="182.5"/>
      </c:valAx>
      <c:valAx>
        <c:axId val="182444032"/>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General" sourceLinked="1"/>
        <c:majorTickMark val="out"/>
        <c:minorTickMark val="none"/>
        <c:tickLblPos val="nextTo"/>
        <c:crossAx val="182437760"/>
        <c:crosses val="autoZero"/>
        <c:crossBetween val="midCat"/>
        <c:majorUnit val="0.1"/>
      </c:valAx>
      <c:valAx>
        <c:axId val="182445952"/>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General" sourceLinked="1"/>
        <c:majorTickMark val="out"/>
        <c:minorTickMark val="none"/>
        <c:tickLblPos val="nextTo"/>
        <c:crossAx val="182460416"/>
        <c:crosses val="max"/>
        <c:crossBetween val="midCat"/>
      </c:valAx>
      <c:valAx>
        <c:axId val="182460416"/>
        <c:scaling>
          <c:orientation val="minMax"/>
        </c:scaling>
        <c:delete val="1"/>
        <c:axPos val="b"/>
        <c:numFmt formatCode="m/d/yyyy" sourceLinked="1"/>
        <c:majorTickMark val="out"/>
        <c:minorTickMark val="none"/>
        <c:tickLblPos val="nextTo"/>
        <c:crossAx val="182445952"/>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'Movement graphs'!$P$161:$P$172</c:f>
              <c:numCache>
                <c:formatCode>General</c:formatCode>
                <c:ptCount val="12"/>
                <c:pt idx="0">
                  <c:v>364.29954000003636</c:v>
                </c:pt>
                <c:pt idx="2">
                  <c:v>364.53670999966562</c:v>
                </c:pt>
                <c:pt idx="3">
                  <c:v>364.62418999988586</c:v>
                </c:pt>
                <c:pt idx="4">
                  <c:v>364.67599300015718</c:v>
                </c:pt>
                <c:pt idx="5">
                  <c:v>364.68511599954218</c:v>
                </c:pt>
                <c:pt idx="6">
                  <c:v>364.74884799961001</c:v>
                </c:pt>
                <c:pt idx="7">
                  <c:v>364.84434700012207</c:v>
                </c:pt>
                <c:pt idx="8">
                  <c:v>364.89593250118196</c:v>
                </c:pt>
                <c:pt idx="9">
                  <c:v>364.90549650043249</c:v>
                </c:pt>
                <c:pt idx="10">
                  <c:v>364.90227449964732</c:v>
                </c:pt>
                <c:pt idx="11">
                  <c:v>364.97127450071275</c:v>
                </c:pt>
              </c:numCache>
            </c:numRef>
          </c:xVal>
          <c:yVal>
            <c:numRef>
              <c:f>'Movement graphs'!$R$161:$R$172</c:f>
              <c:numCache>
                <c:formatCode>General</c:formatCode>
                <c:ptCount val="12"/>
                <c:pt idx="0">
                  <c:v>414.58305899999999</c:v>
                </c:pt>
                <c:pt idx="2">
                  <c:v>414.63833900000003</c:v>
                </c:pt>
                <c:pt idx="3">
                  <c:v>414.69430799999998</c:v>
                </c:pt>
                <c:pt idx="4">
                  <c:v>414.65527900000001</c:v>
                </c:pt>
                <c:pt idx="5">
                  <c:v>414.65163699999999</c:v>
                </c:pt>
                <c:pt idx="6">
                  <c:v>414.65221600000001</c:v>
                </c:pt>
                <c:pt idx="7">
                  <c:v>414.657175</c:v>
                </c:pt>
                <c:pt idx="8">
                  <c:v>414.70200375000002</c:v>
                </c:pt>
                <c:pt idx="9">
                  <c:v>414.72557225000003</c:v>
                </c:pt>
                <c:pt idx="10">
                  <c:v>414.70754575000001</c:v>
                </c:pt>
                <c:pt idx="11">
                  <c:v>414.71554574999999</c:v>
                </c:pt>
              </c:numCache>
            </c:numRef>
          </c:yVal>
          <c:smooth val="0"/>
          <c:extLst>
            <c:ext xmlns:c16="http://schemas.microsoft.com/office/drawing/2014/chart" uri="{C3380CC4-5D6E-409C-BE32-E72D297353CC}">
              <c16:uniqueId val="{00000000-00B4-4021-B4CB-0BFDFE1FD89E}"/>
            </c:ext>
          </c:extLst>
        </c:ser>
        <c:dLbls>
          <c:showLegendKey val="0"/>
          <c:showVal val="0"/>
          <c:showCatName val="0"/>
          <c:showSerName val="0"/>
          <c:showPercent val="0"/>
          <c:showBubbleSize val="0"/>
        </c:dLbls>
        <c:axId val="182476160"/>
        <c:axId val="182482048"/>
      </c:scatterChart>
      <c:valAx>
        <c:axId val="182476160"/>
        <c:scaling>
          <c:orientation val="minMax"/>
        </c:scaling>
        <c:delete val="0"/>
        <c:axPos val="b"/>
        <c:majorGridlines/>
        <c:numFmt formatCode="General" sourceLinked="1"/>
        <c:majorTickMark val="out"/>
        <c:minorTickMark val="none"/>
        <c:tickLblPos val="nextTo"/>
        <c:crossAx val="182482048"/>
        <c:crosses val="autoZero"/>
        <c:crossBetween val="midCat"/>
        <c:majorUnit val="0.2"/>
      </c:valAx>
      <c:valAx>
        <c:axId val="182482048"/>
        <c:scaling>
          <c:orientation val="minMax"/>
          <c:max val="414.8"/>
          <c:min val="414.4"/>
        </c:scaling>
        <c:delete val="0"/>
        <c:axPos val="l"/>
        <c:majorGridlines/>
        <c:numFmt formatCode="General" sourceLinked="1"/>
        <c:majorTickMark val="out"/>
        <c:minorTickMark val="none"/>
        <c:tickLblPos val="nextTo"/>
        <c:crossAx val="182476160"/>
        <c:crosses val="autoZero"/>
        <c:crossBetween val="midCat"/>
        <c:majorUnit val="0.2"/>
      </c:valAx>
    </c:plotArea>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NZ"/>
              <a:t>consistent</a:t>
            </a:r>
            <a:r>
              <a:rPr lang="en-NZ" baseline="0"/>
              <a:t> graph for visual check of master</a:t>
            </a:r>
            <a:endParaRPr lang="en-NZ"/>
          </a:p>
        </c:rich>
      </c:tx>
      <c:layout>
        <c:manualLayout>
          <c:xMode val="edge"/>
          <c:yMode val="edge"/>
          <c:x val="0.13620931880594167"/>
          <c:y val="3.2000000000000001E-2"/>
        </c:manualLayout>
      </c:layout>
      <c:overlay val="1"/>
    </c:title>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v2'!$H$27:$H$39</c:f>
                <c:numCache>
                  <c:formatCode>General</c:formatCode>
                  <c:ptCount val="13"/>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plus>
            <c:minus>
              <c:numRef>
                <c:f>'Movement graphs v2'!$H$27:$H$39</c:f>
                <c:numCache>
                  <c:formatCode>General</c:formatCode>
                  <c:ptCount val="13"/>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v2'!$K$27:$K$38</c:f>
              <c:numCache>
                <c:formatCode>0.000</c:formatCode>
                <c:ptCount val="12"/>
                <c:pt idx="0">
                  <c:v>2.2275144205050178E-3</c:v>
                </c:pt>
                <c:pt idx="1">
                  <c:v>1.5121265510757246E-2</c:v>
                </c:pt>
                <c:pt idx="2">
                  <c:v>7.6394278453439692E-3</c:v>
                </c:pt>
                <c:pt idx="3">
                  <c:v>1.779756263049672E-2</c:v>
                </c:pt>
                <c:pt idx="4">
                  <c:v>1.8748756158507383E-2</c:v>
                </c:pt>
                <c:pt idx="5">
                  <c:v>8.5929114174353623E-3</c:v>
                </c:pt>
                <c:pt idx="6">
                  <c:v>2.2017622957761083E-2</c:v>
                </c:pt>
                <c:pt idx="7">
                  <c:v>1.2418826969066338E-2</c:v>
                </c:pt>
                <c:pt idx="8">
                  <c:v>1.1834415599393187E-2</c:v>
                </c:pt>
                <c:pt idx="9">
                  <c:v>1.7304440249399866E-2</c:v>
                </c:pt>
                <c:pt idx="10">
                  <c:v>2.2448227241590169E-2</c:v>
                </c:pt>
                <c:pt idx="11">
                  <c:v>9.8395025425434789E-3</c:v>
                </c:pt>
              </c:numCache>
            </c:numRef>
          </c:yVal>
          <c:smooth val="0"/>
          <c:extLst>
            <c:ext xmlns:c16="http://schemas.microsoft.com/office/drawing/2014/chart" uri="{C3380CC4-5D6E-409C-BE32-E72D297353CC}">
              <c16:uniqueId val="{00000000-F2BE-4AAF-B4CD-019AFC259DFA}"/>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v2'!$H$27:$H$39</c:f>
                <c:numCache>
                  <c:formatCode>General</c:formatCode>
                  <c:ptCount val="13"/>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plus>
            <c:minus>
              <c:numRef>
                <c:f>'Movement graphs v2'!$H$27:$H$39</c:f>
                <c:numCache>
                  <c:formatCode>General</c:formatCode>
                  <c:ptCount val="13"/>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v2'!$L$27:$L$38</c:f>
              <c:numCache>
                <c:formatCode>0.00</c:formatCode>
                <c:ptCount val="12"/>
                <c:pt idx="0">
                  <c:v>0.57216844828629732</c:v>
                </c:pt>
                <c:pt idx="1">
                  <c:v>0.54091139109533981</c:v>
                </c:pt>
                <c:pt idx="2">
                  <c:v>0.44530597044668113</c:v>
                </c:pt>
                <c:pt idx="3">
                  <c:v>0.40415163334434429</c:v>
                </c:pt>
                <c:pt idx="4">
                  <c:v>0.34444368129364561</c:v>
                </c:pt>
                <c:pt idx="5">
                  <c:v>0.28335902413205705</c:v>
                </c:pt>
                <c:pt idx="6">
                  <c:v>0.25674871780709591</c:v>
                </c:pt>
                <c:pt idx="7">
                  <c:v>0.21981593091020635</c:v>
                </c:pt>
                <c:pt idx="8">
                  <c:v>0.17815276946559669</c:v>
                </c:pt>
                <c:pt idx="9">
                  <c:v>0.13386914980335121</c:v>
                </c:pt>
                <c:pt idx="10">
                  <c:v>7.749016705530648E-2</c:v>
                </c:pt>
                <c:pt idx="11">
                  <c:v>2.8248894396334503E-2</c:v>
                </c:pt>
              </c:numCache>
            </c:numRef>
          </c:yVal>
          <c:smooth val="0"/>
          <c:extLst>
            <c:ext xmlns:c16="http://schemas.microsoft.com/office/drawing/2014/chart" uri="{C3380CC4-5D6E-409C-BE32-E72D297353CC}">
              <c16:uniqueId val="{00000001-F2BE-4AAF-B4CD-019AFC259DFA}"/>
            </c:ext>
          </c:extLst>
        </c:ser>
        <c:dLbls>
          <c:showLegendKey val="0"/>
          <c:showVal val="0"/>
          <c:showCatName val="0"/>
          <c:showSerName val="0"/>
          <c:showPercent val="0"/>
          <c:showBubbleSize val="0"/>
        </c:dLbls>
        <c:axId val="181352704"/>
        <c:axId val="181350784"/>
      </c:scatterChart>
      <c:valAx>
        <c:axId val="181592448"/>
        <c:scaling>
          <c:orientation val="minMax"/>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At val="0"/>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v2'!$AQ$26:$AQ$37</c:f>
                <c:numCache>
                  <c:formatCode>General</c:formatCode>
                  <c:ptCount val="12"/>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plus>
            <c:minus>
              <c:numRef>
                <c:f>'Movement graphs v2'!$AQ$26:$AQ$37</c:f>
                <c:numCache>
                  <c:formatCode>General</c:formatCode>
                  <c:ptCount val="12"/>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v2'!$AT$26:$AT$37</c:f>
              <c:numCache>
                <c:formatCode>0.000</c:formatCode>
                <c:ptCount val="12"/>
                <c:pt idx="0">
                  <c:v>2.6227185918849403E-2</c:v>
                </c:pt>
                <c:pt idx="1">
                  <c:v>0.17804070682020628</c:v>
                </c:pt>
                <c:pt idx="2">
                  <c:v>8.99481020500177E-2</c:v>
                </c:pt>
                <c:pt idx="3">
                  <c:v>0.20955194710100977</c:v>
                </c:pt>
                <c:pt idx="4">
                  <c:v>0.22075148380178047</c:v>
                </c:pt>
                <c:pt idx="5">
                  <c:v>0.10117460217302927</c:v>
                </c:pt>
                <c:pt idx="6">
                  <c:v>0.25923975418009015</c:v>
                </c:pt>
                <c:pt idx="7">
                  <c:v>0.14622167237771658</c:v>
                </c:pt>
                <c:pt idx="8">
                  <c:v>0.13934069979930688</c:v>
                </c:pt>
                <c:pt idx="9">
                  <c:v>0.20374582874293393</c:v>
                </c:pt>
                <c:pt idx="10">
                  <c:v>0.26430977236065845</c:v>
                </c:pt>
                <c:pt idx="11">
                  <c:v>0.11585220735575386</c:v>
                </c:pt>
              </c:numCache>
            </c:numRef>
          </c:yVal>
          <c:smooth val="0"/>
          <c:extLst>
            <c:ext xmlns:c16="http://schemas.microsoft.com/office/drawing/2014/chart" uri="{C3380CC4-5D6E-409C-BE32-E72D297353CC}">
              <c16:uniqueId val="{00000000-BDE3-4883-B075-914D0E71ABB8}"/>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v2'!$AQ$26:$AQ$37</c:f>
                <c:numCache>
                  <c:formatCode>General</c:formatCode>
                  <c:ptCount val="12"/>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plus>
            <c:minus>
              <c:numRef>
                <c:f>'Movement graphs v2'!$AQ$26:$AQ$37</c:f>
                <c:numCache>
                  <c:formatCode>General</c:formatCode>
                  <c:ptCount val="12"/>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v2'!$AU$26:$AU$37</c:f>
              <c:numCache>
                <c:formatCode>0.00</c:formatCode>
                <c:ptCount val="12"/>
                <c:pt idx="0">
                  <c:v>0.57216844828629732</c:v>
                </c:pt>
                <c:pt idx="1">
                  <c:v>0.54091139109533981</c:v>
                </c:pt>
                <c:pt idx="2">
                  <c:v>0.44530597044668113</c:v>
                </c:pt>
                <c:pt idx="3">
                  <c:v>0.40415163334434429</c:v>
                </c:pt>
                <c:pt idx="4">
                  <c:v>0.34444368129364561</c:v>
                </c:pt>
                <c:pt idx="5">
                  <c:v>0.28335902413205705</c:v>
                </c:pt>
                <c:pt idx="6">
                  <c:v>0.25674871780709591</c:v>
                </c:pt>
                <c:pt idx="7">
                  <c:v>0.21981593091020635</c:v>
                </c:pt>
                <c:pt idx="8">
                  <c:v>0.17815276946559669</c:v>
                </c:pt>
                <c:pt idx="9">
                  <c:v>0.13386914980335121</c:v>
                </c:pt>
                <c:pt idx="10">
                  <c:v>7.749016705530648E-2</c:v>
                </c:pt>
                <c:pt idx="11">
                  <c:v>2.8248894396334503E-2</c:v>
                </c:pt>
              </c:numCache>
            </c:numRef>
          </c:yVal>
          <c:smooth val="0"/>
          <c:extLst>
            <c:ext xmlns:c16="http://schemas.microsoft.com/office/drawing/2014/chart" uri="{C3380CC4-5D6E-409C-BE32-E72D297353CC}">
              <c16:uniqueId val="{00000001-BDE3-4883-B075-914D0E71ABB8}"/>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v2'!$AQ$44:$AQ$55</c:f>
                <c:numCache>
                  <c:formatCode>General</c:formatCode>
                  <c:ptCount val="12"/>
                  <c:pt idx="0">
                    <c:v>2.5562000000000001E-2</c:v>
                  </c:pt>
                  <c:pt idx="1">
                    <c:v>2.5889000000000002E-2</c:v>
                  </c:pt>
                  <c:pt idx="3">
                    <c:v>2.4272999999999999E-2</c:v>
                  </c:pt>
                  <c:pt idx="4">
                    <c:v>2.8097999999999998E-2</c:v>
                  </c:pt>
                  <c:pt idx="5">
                    <c:v>3.1077E-2</c:v>
                  </c:pt>
                  <c:pt idx="6">
                    <c:v>2.4565E-2</c:v>
                  </c:pt>
                  <c:pt idx="7">
                    <c:v>3.1420999999999998E-2</c:v>
                  </c:pt>
                  <c:pt idx="8">
                    <c:v>3.4245999999999999E-2</c:v>
                  </c:pt>
                  <c:pt idx="9">
                    <c:v>2.5852E-2</c:v>
                  </c:pt>
                  <c:pt idx="10">
                    <c:v>1.4999999999999999E-2</c:v>
                  </c:pt>
                </c:numCache>
              </c:numRef>
            </c:plus>
            <c:minus>
              <c:numRef>
                <c:f>'Movement graphs v2'!$AQ$43:$AQ$55</c:f>
                <c:numCache>
                  <c:formatCode>General</c:formatCode>
                  <c:ptCount val="13"/>
                  <c:pt idx="0">
                    <c:v>0</c:v>
                  </c:pt>
                  <c:pt idx="1">
                    <c:v>2.5562000000000001E-2</c:v>
                  </c:pt>
                  <c:pt idx="2">
                    <c:v>2.5889000000000002E-2</c:v>
                  </c:pt>
                  <c:pt idx="4">
                    <c:v>2.4272999999999999E-2</c:v>
                  </c:pt>
                  <c:pt idx="5">
                    <c:v>2.8097999999999998E-2</c:v>
                  </c:pt>
                  <c:pt idx="6">
                    <c:v>3.1077E-2</c:v>
                  </c:pt>
                  <c:pt idx="7">
                    <c:v>2.4565E-2</c:v>
                  </c:pt>
                  <c:pt idx="8">
                    <c:v>3.1420999999999998E-2</c:v>
                  </c:pt>
                  <c:pt idx="9">
                    <c:v>3.4245999999999999E-2</c:v>
                  </c:pt>
                  <c:pt idx="10">
                    <c:v>2.5852E-2</c:v>
                  </c:pt>
                  <c:pt idx="11">
                    <c:v>1.4999999999999999E-2</c:v>
                  </c:pt>
                </c:numCache>
              </c:numRef>
            </c:minus>
          </c:errBars>
          <c:errBars>
            <c:errDir val="x"/>
            <c:errBarType val="both"/>
            <c:errValType val="fixedVal"/>
            <c:noEndCap val="0"/>
            <c:val val="1"/>
          </c:errBars>
          <c:xVal>
            <c:numRef>
              <c:f>'Movement graphs v2'!$AL$44:$AL$56</c:f>
              <c:numCache>
                <c:formatCode>m/d/yyyy</c:formatCode>
                <c:ptCount val="13"/>
                <c:pt idx="0">
                  <c:v>43817</c:v>
                </c:pt>
                <c:pt idx="1">
                  <c:v>43382</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v2'!$AT$44:$AT$56</c:f>
              <c:numCache>
                <c:formatCode>0.000</c:formatCode>
                <c:ptCount val="13"/>
                <c:pt idx="0">
                  <c:v>3.5111135864108495E-2</c:v>
                </c:pt>
                <c:pt idx="1">
                  <c:v>0.10800671694773169</c:v>
                </c:pt>
                <c:pt idx="3">
                  <c:v>0.30916414789885732</c:v>
                </c:pt>
                <c:pt idx="4">
                  <c:v>0.32084971953546215</c:v>
                </c:pt>
                <c:pt idx="5">
                  <c:v>0.1340039676094725</c:v>
                </c:pt>
                <c:pt idx="6">
                  <c:v>0.29518529287005907</c:v>
                </c:pt>
                <c:pt idx="7">
                  <c:v>0.19131042642512636</c:v>
                </c:pt>
                <c:pt idx="8">
                  <c:v>0.14963752936333508</c:v>
                </c:pt>
                <c:pt idx="9">
                  <c:v>0.22881564718812536</c:v>
                </c:pt>
                <c:pt idx="10">
                  <c:v>0.21758907525653598</c:v>
                </c:pt>
              </c:numCache>
            </c:numRef>
          </c:yVal>
          <c:smooth val="0"/>
          <c:extLst>
            <c:ext xmlns:c16="http://schemas.microsoft.com/office/drawing/2014/chart" uri="{C3380CC4-5D6E-409C-BE32-E72D297353CC}">
              <c16:uniqueId val="{00000000-4E19-4D3B-968B-042CC65CAF52}"/>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v2'!$AQ$44:$AQ$55</c:f>
                <c:numCache>
                  <c:formatCode>General</c:formatCode>
                  <c:ptCount val="12"/>
                  <c:pt idx="0">
                    <c:v>2.5562000000000001E-2</c:v>
                  </c:pt>
                  <c:pt idx="1">
                    <c:v>2.5889000000000002E-2</c:v>
                  </c:pt>
                  <c:pt idx="3">
                    <c:v>2.4272999999999999E-2</c:v>
                  </c:pt>
                  <c:pt idx="4">
                    <c:v>2.8097999999999998E-2</c:v>
                  </c:pt>
                  <c:pt idx="5">
                    <c:v>3.1077E-2</c:v>
                  </c:pt>
                  <c:pt idx="6">
                    <c:v>2.4565E-2</c:v>
                  </c:pt>
                  <c:pt idx="7">
                    <c:v>3.1420999999999998E-2</c:v>
                  </c:pt>
                  <c:pt idx="8">
                    <c:v>3.4245999999999999E-2</c:v>
                  </c:pt>
                  <c:pt idx="9">
                    <c:v>2.5852E-2</c:v>
                  </c:pt>
                  <c:pt idx="10">
                    <c:v>1.4999999999999999E-2</c:v>
                  </c:pt>
                </c:numCache>
              </c:numRef>
            </c:plus>
            <c:minus>
              <c:numRef>
                <c:f>'Movement graphs v2'!$AQ$44:$AQ$55</c:f>
                <c:numCache>
                  <c:formatCode>General</c:formatCode>
                  <c:ptCount val="12"/>
                  <c:pt idx="0">
                    <c:v>2.5562000000000001E-2</c:v>
                  </c:pt>
                  <c:pt idx="1">
                    <c:v>2.5889000000000002E-2</c:v>
                  </c:pt>
                  <c:pt idx="3">
                    <c:v>2.4272999999999999E-2</c:v>
                  </c:pt>
                  <c:pt idx="4">
                    <c:v>2.8097999999999998E-2</c:v>
                  </c:pt>
                  <c:pt idx="5">
                    <c:v>3.1077E-2</c:v>
                  </c:pt>
                  <c:pt idx="6">
                    <c:v>2.4565E-2</c:v>
                  </c:pt>
                  <c:pt idx="7">
                    <c:v>3.1420999999999998E-2</c:v>
                  </c:pt>
                  <c:pt idx="8">
                    <c:v>3.4245999999999999E-2</c:v>
                  </c:pt>
                  <c:pt idx="9">
                    <c:v>2.5852E-2</c:v>
                  </c:pt>
                  <c:pt idx="10">
                    <c:v>1.4999999999999999E-2</c:v>
                  </c:pt>
                </c:numCache>
              </c:numRef>
            </c:minus>
          </c:errBars>
          <c:errBars>
            <c:errDir val="x"/>
            <c:errBarType val="both"/>
            <c:errValType val="fixedVal"/>
            <c:noEndCap val="0"/>
            <c:val val="1"/>
          </c:errBars>
          <c:xVal>
            <c:numRef>
              <c:f>'Movement graphs v2'!$AL$44:$AL$57</c:f>
              <c:numCache>
                <c:formatCode>m/d/yyyy</c:formatCode>
                <c:ptCount val="14"/>
                <c:pt idx="0">
                  <c:v>43817</c:v>
                </c:pt>
                <c:pt idx="1">
                  <c:v>43382</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v2'!$AU$44:$AU$56</c:f>
              <c:numCache>
                <c:formatCode>0.00</c:formatCode>
                <c:ptCount val="13"/>
                <c:pt idx="0">
                  <c:v>0.60935168976721699</c:v>
                </c:pt>
                <c:pt idx="1">
                  <c:v>0.56750691140862197</c:v>
                </c:pt>
                <c:pt idx="3">
                  <c:v>0.4600920120880011</c:v>
                </c:pt>
                <c:pt idx="4">
                  <c:v>0.37200140556339517</c:v>
                </c:pt>
                <c:pt idx="5">
                  <c:v>0.28321833248645906</c:v>
                </c:pt>
                <c:pt idx="6">
                  <c:v>0.24797345333437862</c:v>
                </c:pt>
                <c:pt idx="7">
                  <c:v>0.20591965818576746</c:v>
                </c:pt>
                <c:pt idx="8">
                  <c:v>0.15140929010847118</c:v>
                </c:pt>
                <c:pt idx="9">
                  <c:v>0.10385325337930167</c:v>
                </c:pt>
                <c:pt idx="10">
                  <c:v>4.0537142787519034E-2</c:v>
                </c:pt>
              </c:numCache>
            </c:numRef>
          </c:yVal>
          <c:smooth val="0"/>
          <c:extLst>
            <c:ext xmlns:c16="http://schemas.microsoft.com/office/drawing/2014/chart" uri="{C3380CC4-5D6E-409C-BE32-E72D297353CC}">
              <c16:uniqueId val="{00000001-4E19-4D3B-968B-042CC65CAF52}"/>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v2'!$AQ$60:$AQ$71</c:f>
                <c:numCache>
                  <c:formatCode>General</c:formatCode>
                  <c:ptCount val="12"/>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numCache>
              </c:numRef>
            </c:plus>
            <c:minus>
              <c:numRef>
                <c:f>'Movement graphs v2'!$AQ$60:$AQ$71</c:f>
                <c:numCache>
                  <c:formatCode>General</c:formatCode>
                  <c:ptCount val="12"/>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v2'!$AT$60:$AT$71</c:f>
              <c:numCache>
                <c:formatCode>0.000</c:formatCode>
                <c:ptCount val="12"/>
                <c:pt idx="0">
                  <c:v>6.0621480901535893E-2</c:v>
                </c:pt>
                <c:pt idx="1">
                  <c:v>0.19507807576140049</c:v>
                </c:pt>
                <c:pt idx="2">
                  <c:v>0.11587651518205369</c:v>
                </c:pt>
                <c:pt idx="3">
                  <c:v>0.34115099196659354</c:v>
                </c:pt>
                <c:pt idx="4">
                  <c:v>0.27254952423451712</c:v>
                </c:pt>
                <c:pt idx="5">
                  <c:v>7.9864033341002644E-2</c:v>
                </c:pt>
                <c:pt idx="6">
                  <c:v>0.3590306548130287</c:v>
                </c:pt>
                <c:pt idx="7">
                  <c:v>0.22692310206076619</c:v>
                </c:pt>
                <c:pt idx="8">
                  <c:v>7.32591192534775E-2</c:v>
                </c:pt>
                <c:pt idx="9">
                  <c:v>9.6782515627120688E-2</c:v>
                </c:pt>
                <c:pt idx="10">
                  <c:v>0.14499523168189549</c:v>
                </c:pt>
                <c:pt idx="11">
                  <c:v>0.27277867912735926</c:v>
                </c:pt>
              </c:numCache>
            </c:numRef>
          </c:yVal>
          <c:smooth val="0"/>
          <c:extLst>
            <c:ext xmlns:c16="http://schemas.microsoft.com/office/drawing/2014/chart" uri="{C3380CC4-5D6E-409C-BE32-E72D297353CC}">
              <c16:uniqueId val="{00000000-F53E-47EE-94F7-70EB0B5FAA2B}"/>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v2'!$AQ$60:$AQ$71</c:f>
                <c:numCache>
                  <c:formatCode>General</c:formatCode>
                  <c:ptCount val="12"/>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numCache>
              </c:numRef>
            </c:plus>
            <c:minus>
              <c:numRef>
                <c:f>'Movement graphs v2'!$AQ$60:$AQ$71</c:f>
                <c:numCache>
                  <c:formatCode>General</c:formatCode>
                  <c:ptCount val="12"/>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v2'!$AU$60:$AU$71</c:f>
              <c:numCache>
                <c:formatCode>0.00</c:formatCode>
                <c:ptCount val="12"/>
                <c:pt idx="0">
                  <c:v>0.68304340866519841</c:v>
                </c:pt>
                <c:pt idx="1">
                  <c:v>0.6107958903304912</c:v>
                </c:pt>
                <c:pt idx="2">
                  <c:v>0.50604163594902685</c:v>
                </c:pt>
                <c:pt idx="3">
                  <c:v>0.45302416187942968</c:v>
                </c:pt>
                <c:pt idx="4">
                  <c:v>0.35581949567524962</c:v>
                </c:pt>
                <c:pt idx="5">
                  <c:v>0.28040168211994487</c:v>
                </c:pt>
                <c:pt idx="6">
                  <c:v>0.25939634732340722</c:v>
                </c:pt>
                <c:pt idx="7">
                  <c:v>0.2082467745829209</c:v>
                </c:pt>
                <c:pt idx="8">
                  <c:v>0.14358923317382588</c:v>
                </c:pt>
                <c:pt idx="9">
                  <c:v>0.12030688294532343</c:v>
                </c:pt>
                <c:pt idx="10">
                  <c:v>9.3525967662202364E-2</c:v>
                </c:pt>
                <c:pt idx="11">
                  <c:v>6.6513157376260193E-2</c:v>
                </c:pt>
              </c:numCache>
            </c:numRef>
          </c:yVal>
          <c:smooth val="0"/>
          <c:extLst>
            <c:ext xmlns:c16="http://schemas.microsoft.com/office/drawing/2014/chart" uri="{C3380CC4-5D6E-409C-BE32-E72D297353CC}">
              <c16:uniqueId val="{00000001-F53E-47EE-94F7-70EB0B5FAA2B}"/>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v2'!$AQ$10:$AQ$21</c:f>
                <c:numCache>
                  <c:formatCode>General</c:formatCode>
                  <c:ptCount val="12"/>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v2'!$AQ$10:$AQ$21</c:f>
                <c:numCache>
                  <c:formatCode>General</c:formatCode>
                  <c:ptCount val="12"/>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v2'!$AT$10:$AT$21</c:f>
              <c:numCache>
                <c:formatCode>0.000</c:formatCode>
                <c:ptCount val="12"/>
                <c:pt idx="0">
                  <c:v>4.7971532445808741E-2</c:v>
                </c:pt>
                <c:pt idx="1">
                  <c:v>0.14130681751307578</c:v>
                </c:pt>
                <c:pt idx="2">
                  <c:v>0.15087982859460214</c:v>
                </c:pt>
                <c:pt idx="3">
                  <c:v>0.25453510821170727</c:v>
                </c:pt>
                <c:pt idx="4">
                  <c:v>0.17515760316331266</c:v>
                </c:pt>
                <c:pt idx="5">
                  <c:v>0.10118463717583631</c:v>
                </c:pt>
                <c:pt idx="6">
                  <c:v>0.31539332838218681</c:v>
                </c:pt>
                <c:pt idx="7">
                  <c:v>0.15412286472269263</c:v>
                </c:pt>
                <c:pt idx="8">
                  <c:v>0.12298326371388538</c:v>
                </c:pt>
                <c:pt idx="9">
                  <c:v>0.17899567225780968</c:v>
                </c:pt>
                <c:pt idx="10">
                  <c:v>0.23459718167239735</c:v>
                </c:pt>
              </c:numCache>
            </c:numRef>
          </c:yVal>
          <c:smooth val="0"/>
          <c:extLst>
            <c:ext xmlns:c16="http://schemas.microsoft.com/office/drawing/2014/chart" uri="{C3380CC4-5D6E-409C-BE32-E72D297353CC}">
              <c16:uniqueId val="{00000000-252F-4FD1-935D-FE5050D123F6}"/>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v2'!$AQ$10:$AQ$21</c:f>
                <c:numCache>
                  <c:formatCode>General</c:formatCode>
                  <c:ptCount val="12"/>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v2'!$AQ$10:$AQ$21</c:f>
                <c:numCache>
                  <c:formatCode>General</c:formatCode>
                  <c:ptCount val="12"/>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v2'!$AU$10:$AU$21</c:f>
              <c:numCache>
                <c:formatCode>0.00</c:formatCode>
                <c:ptCount val="12"/>
                <c:pt idx="0">
                  <c:v>0.57085873811996413</c:v>
                </c:pt>
                <c:pt idx="1">
                  <c:v>0.5136871857530414</c:v>
                </c:pt>
                <c:pt idx="2">
                  <c:v>0.43780736045834862</c:v>
                </c:pt>
                <c:pt idx="3">
                  <c:v>0.3687746717589005</c:v>
                </c:pt>
                <c:pt idx="4">
                  <c:v>0.29624959983008525</c:v>
                </c:pt>
                <c:pt idx="5">
                  <c:v>0.24778133155749735</c:v>
                </c:pt>
                <c:pt idx="6">
                  <c:v>0.22116838588933219</c:v>
                </c:pt>
                <c:pt idx="7">
                  <c:v>0.17623563773625353</c:v>
                </c:pt>
                <c:pt idx="8">
                  <c:v>0.13232117765088358</c:v>
                </c:pt>
                <c:pt idx="9">
                  <c:v>9.3236085621265202E-2</c:v>
                </c:pt>
                <c:pt idx="10">
                  <c:v>4.3705776311569917E-2</c:v>
                </c:pt>
              </c:numCache>
            </c:numRef>
          </c:yVal>
          <c:smooth val="0"/>
          <c:extLst>
            <c:ext xmlns:c16="http://schemas.microsoft.com/office/drawing/2014/chart" uri="{C3380CC4-5D6E-409C-BE32-E72D297353CC}">
              <c16:uniqueId val="{00000001-252F-4FD1-935D-FE5050D123F6}"/>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4530200762558829"/>
          <c:h val="0.6296073626402271"/>
        </c:manualLayout>
      </c:layout>
      <c:scatterChart>
        <c:scatterStyle val="lineMarker"/>
        <c:varyColors val="0"/>
        <c:ser>
          <c:idx val="1"/>
          <c:order val="0"/>
          <c:tx>
            <c:v>SM1</c:v>
          </c:tx>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v2'!$AU$10:$AU$21</c:f>
              <c:numCache>
                <c:formatCode>0.00</c:formatCode>
                <c:ptCount val="12"/>
                <c:pt idx="0">
                  <c:v>0.57085873811996413</c:v>
                </c:pt>
                <c:pt idx="1">
                  <c:v>0.5136871857530414</c:v>
                </c:pt>
                <c:pt idx="2">
                  <c:v>0.43780736045834862</c:v>
                </c:pt>
                <c:pt idx="3">
                  <c:v>0.3687746717589005</c:v>
                </c:pt>
                <c:pt idx="4">
                  <c:v>0.29624959983008525</c:v>
                </c:pt>
                <c:pt idx="5">
                  <c:v>0.24778133155749735</c:v>
                </c:pt>
                <c:pt idx="6">
                  <c:v>0.22116838588933219</c:v>
                </c:pt>
                <c:pt idx="7">
                  <c:v>0.17623563773625353</c:v>
                </c:pt>
                <c:pt idx="8">
                  <c:v>0.13232117765088358</c:v>
                </c:pt>
                <c:pt idx="9">
                  <c:v>9.3236085621265202E-2</c:v>
                </c:pt>
                <c:pt idx="10">
                  <c:v>4.3705776311569917E-2</c:v>
                </c:pt>
              </c:numCache>
            </c:numRef>
          </c:yVal>
          <c:smooth val="0"/>
          <c:extLst>
            <c:ext xmlns:c16="http://schemas.microsoft.com/office/drawing/2014/chart" uri="{C3380CC4-5D6E-409C-BE32-E72D297353CC}">
              <c16:uniqueId val="{00000001-FD56-4A35-A08B-43E5743FD21A}"/>
            </c:ext>
          </c:extLst>
        </c:ser>
        <c:ser>
          <c:idx val="0"/>
          <c:order val="1"/>
          <c:tx>
            <c:v>SM2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v2'!$AU$26:$AU$37</c:f>
              <c:numCache>
                <c:formatCode>0.00</c:formatCode>
                <c:ptCount val="12"/>
                <c:pt idx="0">
                  <c:v>0.57216844828629732</c:v>
                </c:pt>
                <c:pt idx="1">
                  <c:v>0.54091139109533981</c:v>
                </c:pt>
                <c:pt idx="2">
                  <c:v>0.44530597044668113</c:v>
                </c:pt>
                <c:pt idx="3">
                  <c:v>0.40415163334434429</c:v>
                </c:pt>
                <c:pt idx="4">
                  <c:v>0.34444368129364561</c:v>
                </c:pt>
                <c:pt idx="5">
                  <c:v>0.28335902413205705</c:v>
                </c:pt>
                <c:pt idx="6">
                  <c:v>0.25674871780709591</c:v>
                </c:pt>
                <c:pt idx="7">
                  <c:v>0.21981593091020635</c:v>
                </c:pt>
                <c:pt idx="8">
                  <c:v>0.17815276946559669</c:v>
                </c:pt>
                <c:pt idx="9">
                  <c:v>0.13386914980335121</c:v>
                </c:pt>
                <c:pt idx="10">
                  <c:v>7.749016705530648E-2</c:v>
                </c:pt>
                <c:pt idx="11">
                  <c:v>2.8248894396334503E-2</c:v>
                </c:pt>
              </c:numCache>
            </c:numRef>
          </c:yVal>
          <c:smooth val="0"/>
          <c:extLst>
            <c:ext xmlns:c16="http://schemas.microsoft.com/office/drawing/2014/chart" uri="{C3380CC4-5D6E-409C-BE32-E72D297353CC}">
              <c16:uniqueId val="{00000003-FD56-4A35-A08B-43E5743FD21A}"/>
            </c:ext>
          </c:extLst>
        </c:ser>
        <c:ser>
          <c:idx val="2"/>
          <c:order val="2"/>
          <c:tx>
            <c:v>SM3</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v2'!$AU$44:$AU$54</c:f>
              <c:numCache>
                <c:formatCode>0.00</c:formatCode>
                <c:ptCount val="11"/>
                <c:pt idx="0">
                  <c:v>0.60935168976721699</c:v>
                </c:pt>
                <c:pt idx="1">
                  <c:v>0.56750691140862197</c:v>
                </c:pt>
                <c:pt idx="3">
                  <c:v>0.4600920120880011</c:v>
                </c:pt>
                <c:pt idx="4">
                  <c:v>0.37200140556339517</c:v>
                </c:pt>
                <c:pt idx="5">
                  <c:v>0.28321833248645906</c:v>
                </c:pt>
                <c:pt idx="6">
                  <c:v>0.24797345333437862</c:v>
                </c:pt>
                <c:pt idx="7">
                  <c:v>0.20591965818576746</c:v>
                </c:pt>
                <c:pt idx="8">
                  <c:v>0.15140929010847118</c:v>
                </c:pt>
                <c:pt idx="9">
                  <c:v>0.10385325337930167</c:v>
                </c:pt>
                <c:pt idx="10">
                  <c:v>4.0537142787519034E-2</c:v>
                </c:pt>
              </c:numCache>
            </c:numRef>
          </c:yVal>
          <c:smooth val="0"/>
          <c:extLst>
            <c:ext xmlns:c16="http://schemas.microsoft.com/office/drawing/2014/chart" uri="{C3380CC4-5D6E-409C-BE32-E72D297353CC}">
              <c16:uniqueId val="{00000004-FD56-4A35-A08B-43E5743FD21A}"/>
            </c:ext>
          </c:extLst>
        </c:ser>
        <c:ser>
          <c:idx val="3"/>
          <c:order val="3"/>
          <c:tx>
            <c:v>SM4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v2'!$AU$60:$AU$71</c:f>
              <c:numCache>
                <c:formatCode>0.00</c:formatCode>
                <c:ptCount val="12"/>
                <c:pt idx="0">
                  <c:v>0.68304340866519841</c:v>
                </c:pt>
                <c:pt idx="1">
                  <c:v>0.6107958903304912</c:v>
                </c:pt>
                <c:pt idx="2">
                  <c:v>0.50604163594902685</c:v>
                </c:pt>
                <c:pt idx="3">
                  <c:v>0.45302416187942968</c:v>
                </c:pt>
                <c:pt idx="4">
                  <c:v>0.35581949567524962</c:v>
                </c:pt>
                <c:pt idx="5">
                  <c:v>0.28040168211994487</c:v>
                </c:pt>
                <c:pt idx="6">
                  <c:v>0.25939634732340722</c:v>
                </c:pt>
                <c:pt idx="7">
                  <c:v>0.2082467745829209</c:v>
                </c:pt>
                <c:pt idx="8">
                  <c:v>0.14358923317382588</c:v>
                </c:pt>
                <c:pt idx="9">
                  <c:v>0.12030688294532343</c:v>
                </c:pt>
                <c:pt idx="10">
                  <c:v>9.3525967662202364E-2</c:v>
                </c:pt>
                <c:pt idx="11">
                  <c:v>6.6513157376260193E-2</c:v>
                </c:pt>
              </c:numCache>
            </c:numRef>
          </c:yVal>
          <c:smooth val="0"/>
          <c:extLst>
            <c:ext xmlns:c16="http://schemas.microsoft.com/office/drawing/2014/chart" uri="{C3380CC4-5D6E-409C-BE32-E72D297353CC}">
              <c16:uniqueId val="{00000005-FD56-4A35-A08B-43E5743FD21A}"/>
            </c:ext>
          </c:extLst>
        </c:ser>
        <c:ser>
          <c:idx val="4"/>
          <c:order val="4"/>
          <c:tx>
            <c:v>SM5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v2'!$AU$77:$AU$88</c:f>
              <c:numCache>
                <c:formatCode>0.00</c:formatCode>
                <c:ptCount val="12"/>
                <c:pt idx="0">
                  <c:v>1.0270646430481531</c:v>
                </c:pt>
                <c:pt idx="1">
                  <c:v>0.84251394652472844</c:v>
                </c:pt>
                <c:pt idx="2">
                  <c:v>0.6760778935860654</c:v>
                </c:pt>
                <c:pt idx="3">
                  <c:v>0.59415391962374897</c:v>
                </c:pt>
                <c:pt idx="4">
                  <c:v>0.4899263338142168</c:v>
                </c:pt>
                <c:pt idx="5">
                  <c:v>0.40887296512943838</c:v>
                </c:pt>
                <c:pt idx="6">
                  <c:v>0.37723059586552132</c:v>
                </c:pt>
                <c:pt idx="7">
                  <c:v>0.31054999692602608</c:v>
                </c:pt>
                <c:pt idx="8">
                  <c:v>0.21485200842192176</c:v>
                </c:pt>
                <c:pt idx="9">
                  <c:v>0.13104676520314751</c:v>
                </c:pt>
                <c:pt idx="10">
                  <c:v>8.9613781569208545E-2</c:v>
                </c:pt>
                <c:pt idx="11">
                  <c:v>7.1281134541657187E-2</c:v>
                </c:pt>
              </c:numCache>
            </c:numRef>
          </c:yVal>
          <c:smooth val="0"/>
          <c:extLst>
            <c:ext xmlns:c16="http://schemas.microsoft.com/office/drawing/2014/chart" uri="{C3380CC4-5D6E-409C-BE32-E72D297353CC}">
              <c16:uniqueId val="{00000000-8C15-412F-883B-B36A35A04A20}"/>
            </c:ext>
          </c:extLst>
        </c:ser>
        <c:ser>
          <c:idx val="5"/>
          <c:order val="5"/>
          <c:tx>
            <c:v>SM6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v2'!$AU$93:$AU$104</c:f>
              <c:numCache>
                <c:formatCode>0.00</c:formatCode>
                <c:ptCount val="12"/>
                <c:pt idx="0">
                  <c:v>0.86486940587848415</c:v>
                </c:pt>
                <c:pt idx="1">
                  <c:v>0.76852145946366135</c:v>
                </c:pt>
                <c:pt idx="2">
                  <c:v>0.63212780394447965</c:v>
                </c:pt>
                <c:pt idx="3">
                  <c:v>0.51070118567267908</c:v>
                </c:pt>
                <c:pt idx="4">
                  <c:v>0.45005256078275419</c:v>
                </c:pt>
                <c:pt idx="5">
                  <c:v>0.38391851758308621</c:v>
                </c:pt>
                <c:pt idx="6">
                  <c:v>0.36983337701466606</c:v>
                </c:pt>
                <c:pt idx="7">
                  <c:v>0.32634429621052752</c:v>
                </c:pt>
                <c:pt idx="8">
                  <c:v>0.24317107760427492</c:v>
                </c:pt>
                <c:pt idx="9">
                  <c:v>0.19482277981151844</c:v>
                </c:pt>
                <c:pt idx="10">
                  <c:v>0.15558025534072104</c:v>
                </c:pt>
                <c:pt idx="11">
                  <c:v>8.2861330959518822E-2</c:v>
                </c:pt>
              </c:numCache>
            </c:numRef>
          </c:yVal>
          <c:smooth val="0"/>
          <c:extLst>
            <c:ext xmlns:c16="http://schemas.microsoft.com/office/drawing/2014/chart" uri="{C3380CC4-5D6E-409C-BE32-E72D297353CC}">
              <c16:uniqueId val="{00000001-8C15-412F-883B-B36A35A04A20}"/>
            </c:ext>
          </c:extLst>
        </c:ser>
        <c:ser>
          <c:idx val="6"/>
          <c:order val="6"/>
          <c:tx>
            <c:v>SM7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v2'!$AU$109:$AU$121</c:f>
              <c:numCache>
                <c:formatCode>0.00</c:formatCode>
                <c:ptCount val="13"/>
                <c:pt idx="0">
                  <c:v>0.51961711958323553</c:v>
                </c:pt>
                <c:pt idx="1">
                  <c:v>0.46714633070575107</c:v>
                </c:pt>
                <c:pt idx="2">
                  <c:v>0.37328532297196143</c:v>
                </c:pt>
                <c:pt idx="3">
                  <c:v>0.32650324292764565</c:v>
                </c:pt>
                <c:pt idx="4">
                  <c:v>0.26864339333155723</c:v>
                </c:pt>
                <c:pt idx="5">
                  <c:v>0.19891539612140766</c:v>
                </c:pt>
                <c:pt idx="6">
                  <c:v>0.17098222774949909</c:v>
                </c:pt>
                <c:pt idx="7">
                  <c:v>0.12781129153306037</c:v>
                </c:pt>
                <c:pt idx="8">
                  <c:v>8.7831217389387345E-2</c:v>
                </c:pt>
                <c:pt idx="9">
                  <c:v>3.2497814463423105E-2</c:v>
                </c:pt>
              </c:numCache>
            </c:numRef>
          </c:yVal>
          <c:smooth val="0"/>
          <c:extLst>
            <c:ext xmlns:c16="http://schemas.microsoft.com/office/drawing/2014/chart" uri="{C3380CC4-5D6E-409C-BE32-E72D297353CC}">
              <c16:uniqueId val="{00000002-8C15-412F-883B-B36A35A04A20}"/>
            </c:ext>
          </c:extLst>
        </c:ser>
        <c:ser>
          <c:idx val="8"/>
          <c:order val="7"/>
          <c:tx>
            <c:v>SM15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v2'!$AU$189:$AU$201</c:f>
              <c:numCache>
                <c:formatCode>0.00</c:formatCode>
                <c:ptCount val="13"/>
                <c:pt idx="0">
                  <c:v>0.88297562533177232</c:v>
                </c:pt>
                <c:pt idx="1">
                  <c:v>0.73246602946147354</c:v>
                </c:pt>
                <c:pt idx="2">
                  <c:v>0.55125378159610117</c:v>
                </c:pt>
                <c:pt idx="3">
                  <c:v>0.47259048120749064</c:v>
                </c:pt>
                <c:pt idx="4">
                  <c:v>0.34591966772410965</c:v>
                </c:pt>
                <c:pt idx="5">
                  <c:v>0.26629207683218103</c:v>
                </c:pt>
                <c:pt idx="6">
                  <c:v>0.22781180770862824</c:v>
                </c:pt>
                <c:pt idx="7">
                  <c:v>0.16849943572467402</c:v>
                </c:pt>
                <c:pt idx="8">
                  <c:v>7.7176132482482548E-2</c:v>
                </c:pt>
                <c:pt idx="9">
                  <c:v>3.7687289040181662E-2</c:v>
                </c:pt>
              </c:numCache>
            </c:numRef>
          </c:yVal>
          <c:smooth val="0"/>
          <c:extLst>
            <c:ext xmlns:c16="http://schemas.microsoft.com/office/drawing/2014/chart" uri="{C3380CC4-5D6E-409C-BE32-E72D297353CC}">
              <c16:uniqueId val="{00000002-B520-462F-B8A2-5C4A58828B4F}"/>
            </c:ext>
          </c:extLst>
        </c:ser>
        <c:ser>
          <c:idx val="7"/>
          <c:order val="8"/>
          <c:tx>
            <c:v>TBM1</c:v>
          </c:tx>
          <c:xVal>
            <c:numRef>
              <c:f>('Movement graphs v2'!$AL$173:$AL$175,'Movement graphs v2'!$AL$178,'Movement graphs v2'!$AL$181:$AL$185)</c:f>
              <c:numCache>
                <c:formatCode>m/d/yyyy</c:formatCode>
                <c:ptCount val="9"/>
                <c:pt idx="0">
                  <c:v>43817</c:v>
                </c:pt>
                <c:pt idx="1">
                  <c:v>43382</c:v>
                </c:pt>
                <c:pt idx="2">
                  <c:v>43186</c:v>
                </c:pt>
                <c:pt idx="3">
                  <c:v>42814</c:v>
                </c:pt>
                <c:pt idx="4">
                  <c:v>42562</c:v>
                </c:pt>
                <c:pt idx="5">
                  <c:v>42446</c:v>
                </c:pt>
                <c:pt idx="6">
                  <c:v>42345</c:v>
                </c:pt>
                <c:pt idx="7">
                  <c:v>42277</c:v>
                </c:pt>
                <c:pt idx="8">
                  <c:v>42188</c:v>
                </c:pt>
              </c:numCache>
            </c:numRef>
          </c:xVal>
          <c:yVal>
            <c:numRef>
              <c:f>('Movement graphs v2'!$AU$173:$AU$175,'Movement graphs v2'!$AU$178,'Movement graphs v2'!$AU$181:$AU$184)</c:f>
              <c:numCache>
                <c:formatCode>0.00</c:formatCode>
                <c:ptCount val="8"/>
                <c:pt idx="0">
                  <c:v>0.41716100369354592</c:v>
                </c:pt>
                <c:pt idx="1">
                  <c:v>0.38761194238565611</c:v>
                </c:pt>
                <c:pt idx="2">
                  <c:v>0.33246250146434403</c:v>
                </c:pt>
                <c:pt idx="3">
                  <c:v>0.23050603223559457</c:v>
                </c:pt>
                <c:pt idx="4">
                  <c:v>0.13829612729555371</c:v>
                </c:pt>
                <c:pt idx="5">
                  <c:v>0.12246778495955599</c:v>
                </c:pt>
                <c:pt idx="6">
                  <c:v>8.9448301463057489E-2</c:v>
                </c:pt>
                <c:pt idx="7">
                  <c:v>5.4240206946288741E-2</c:v>
                </c:pt>
              </c:numCache>
            </c:numRef>
          </c:yVal>
          <c:smooth val="0"/>
          <c:extLst>
            <c:ext xmlns:c16="http://schemas.microsoft.com/office/drawing/2014/chart" uri="{C3380CC4-5D6E-409C-BE32-E72D297353CC}">
              <c16:uniqueId val="{00000001-B520-462F-B8A2-5C4A58828B4F}"/>
            </c:ext>
          </c:extLst>
        </c:ser>
        <c:dLbls>
          <c:showLegendKey val="0"/>
          <c:showVal val="0"/>
          <c:showCatName val="0"/>
          <c:showSerName val="0"/>
          <c:showPercent val="0"/>
          <c:showBubbleSize val="0"/>
        </c:dLbls>
        <c:axId val="181592448"/>
        <c:axId val="181594368"/>
      </c:scatterChart>
      <c:valAx>
        <c:axId val="181592448"/>
        <c:scaling>
          <c:orientation val="minMax"/>
          <c:max val="43900"/>
        </c:scaling>
        <c:delete val="0"/>
        <c:axPos val="b"/>
        <c:numFmt formatCode="m/d/yyyy" sourceLinked="0"/>
        <c:majorTickMark val="out"/>
        <c:minorTickMark val="none"/>
        <c:tickLblPos val="nextTo"/>
        <c:txPr>
          <a:bodyPr rot="5400000" vert="horz"/>
          <a:lstStyle/>
          <a:p>
            <a:pPr>
              <a:defRPr/>
            </a:pPr>
            <a:endParaRPr lang="en-US"/>
          </a:p>
        </c:txPr>
        <c:crossAx val="181594368"/>
        <c:crossesAt val="-5.000000000000001E-2"/>
        <c:crossBetween val="midCat"/>
        <c:majorUnit val="365"/>
        <c:min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v2'!$AQ$77:$AQ$88</c:f>
                <c:numCache>
                  <c:formatCode>General</c:formatCode>
                  <c:ptCount val="12"/>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numCache>
              </c:numRef>
            </c:plus>
            <c:minus>
              <c:numRef>
                <c:f>'Movement graphs v2'!$AQ$77:$AQ$88</c:f>
                <c:numCache>
                  <c:formatCode>General</c:formatCode>
                  <c:ptCount val="12"/>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v2'!$AT$77:$AT$88</c:f>
              <c:numCache>
                <c:formatCode>0.000</c:formatCode>
                <c:ptCount val="12"/>
                <c:pt idx="0">
                  <c:v>0.15485288328977007</c:v>
                </c:pt>
                <c:pt idx="1">
                  <c:v>0.30994469042148975</c:v>
                </c:pt>
                <c:pt idx="2">
                  <c:v>0.17905539219308692</c:v>
                </c:pt>
                <c:pt idx="3">
                  <c:v>0.36579873865845414</c:v>
                </c:pt>
                <c:pt idx="4">
                  <c:v>0.29291563930637743</c:v>
                </c:pt>
                <c:pt idx="5">
                  <c:v>0.12030692480551791</c:v>
                </c:pt>
                <c:pt idx="6">
                  <c:v>0.46804651178684148</c:v>
                </c:pt>
                <c:pt idx="7">
                  <c:v>0.33586313273075075</c:v>
                </c:pt>
                <c:pt idx="8">
                  <c:v>0.26369753254183276</c:v>
                </c:pt>
                <c:pt idx="9">
                  <c:v>0.14973305966720515</c:v>
                </c:pt>
                <c:pt idx="10">
                  <c:v>9.8403178897886009E-2</c:v>
                </c:pt>
                <c:pt idx="11">
                  <c:v>0.29233274278320082</c:v>
                </c:pt>
              </c:numCache>
            </c:numRef>
          </c:yVal>
          <c:smooth val="0"/>
          <c:extLst>
            <c:ext xmlns:c16="http://schemas.microsoft.com/office/drawing/2014/chart" uri="{C3380CC4-5D6E-409C-BE32-E72D297353CC}">
              <c16:uniqueId val="{00000000-18FF-46BC-9466-7D75FE03EEC7}"/>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v2'!$AQ$77:$AQ$88</c:f>
                <c:numCache>
                  <c:formatCode>General</c:formatCode>
                  <c:ptCount val="12"/>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numCache>
              </c:numRef>
            </c:plus>
            <c:minus>
              <c:numRef>
                <c:f>'Movement graphs v2'!$AQ$77:$AQ$88</c:f>
                <c:numCache>
                  <c:formatCode>General</c:formatCode>
                  <c:ptCount val="12"/>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v2'!$AU$77:$AU$88</c:f>
              <c:numCache>
                <c:formatCode>0.00</c:formatCode>
                <c:ptCount val="12"/>
                <c:pt idx="0">
                  <c:v>1.0270646430481531</c:v>
                </c:pt>
                <c:pt idx="1">
                  <c:v>0.84251394652472844</c:v>
                </c:pt>
                <c:pt idx="2">
                  <c:v>0.6760778935860654</c:v>
                </c:pt>
                <c:pt idx="3">
                  <c:v>0.59415391962374897</c:v>
                </c:pt>
                <c:pt idx="4">
                  <c:v>0.4899263338142168</c:v>
                </c:pt>
                <c:pt idx="5">
                  <c:v>0.40887296512943838</c:v>
                </c:pt>
                <c:pt idx="6">
                  <c:v>0.37723059586552132</c:v>
                </c:pt>
                <c:pt idx="7">
                  <c:v>0.31054999692602608</c:v>
                </c:pt>
                <c:pt idx="8">
                  <c:v>0.21485200842192176</c:v>
                </c:pt>
                <c:pt idx="9">
                  <c:v>0.13104676520314751</c:v>
                </c:pt>
                <c:pt idx="10">
                  <c:v>8.9613781569208545E-2</c:v>
                </c:pt>
                <c:pt idx="11">
                  <c:v>7.1281134541657187E-2</c:v>
                </c:pt>
              </c:numCache>
            </c:numRef>
          </c:yVal>
          <c:smooth val="0"/>
          <c:extLst>
            <c:ext xmlns:c16="http://schemas.microsoft.com/office/drawing/2014/chart" uri="{C3380CC4-5D6E-409C-BE32-E72D297353CC}">
              <c16:uniqueId val="{00000001-18FF-46BC-9466-7D75FE03EEC7}"/>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plus>
            <c:min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v2'!$AT$93:$AT$104</c:f>
              <c:numCache>
                <c:formatCode>0.000</c:formatCode>
                <c:ptCount val="12"/>
                <c:pt idx="0">
                  <c:v>8.084367917565588E-2</c:v>
                </c:pt>
                <c:pt idx="1">
                  <c:v>0.25399838910459871</c:v>
                </c:pt>
                <c:pt idx="2">
                  <c:v>0.26539350700124081</c:v>
                </c:pt>
                <c:pt idx="3">
                  <c:v>0.21285334696944799</c:v>
                </c:pt>
                <c:pt idx="4">
                  <c:v>0.23899926502850313</c:v>
                </c:pt>
                <c:pt idx="5">
                  <c:v>5.3552878202847425E-2</c:v>
                </c:pt>
                <c:pt idx="6">
                  <c:v>0.30525989410597254</c:v>
                </c:pt>
                <c:pt idx="7">
                  <c:v>0.29190600760848279</c:v>
                </c:pt>
                <c:pt idx="8">
                  <c:v>0.15213041977893205</c:v>
                </c:pt>
                <c:pt idx="9">
                  <c:v>0.14181704387961439</c:v>
                </c:pt>
                <c:pt idx="10">
                  <c:v>0.39032952057557069</c:v>
                </c:pt>
                <c:pt idx="11">
                  <c:v>0.33982455955308283</c:v>
                </c:pt>
              </c:numCache>
            </c:numRef>
          </c:yVal>
          <c:smooth val="0"/>
          <c:extLst>
            <c:ext xmlns:c16="http://schemas.microsoft.com/office/drawing/2014/chart" uri="{C3380CC4-5D6E-409C-BE32-E72D297353CC}">
              <c16:uniqueId val="{00000000-77F1-4693-AF11-AF090AC09A0F}"/>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plus>
            <c:min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v2'!$AU$93:$AU$104</c:f>
              <c:numCache>
                <c:formatCode>0.00</c:formatCode>
                <c:ptCount val="12"/>
                <c:pt idx="0">
                  <c:v>0.86486940587848415</c:v>
                </c:pt>
                <c:pt idx="1">
                  <c:v>0.76852145946366135</c:v>
                </c:pt>
                <c:pt idx="2">
                  <c:v>0.63212780394447965</c:v>
                </c:pt>
                <c:pt idx="3">
                  <c:v>0.51070118567267908</c:v>
                </c:pt>
                <c:pt idx="4">
                  <c:v>0.45005256078275419</c:v>
                </c:pt>
                <c:pt idx="5">
                  <c:v>0.38391851758308621</c:v>
                </c:pt>
                <c:pt idx="6">
                  <c:v>0.36983337701466606</c:v>
                </c:pt>
                <c:pt idx="7">
                  <c:v>0.32634429621052752</c:v>
                </c:pt>
                <c:pt idx="8">
                  <c:v>0.24317107760427492</c:v>
                </c:pt>
                <c:pt idx="9">
                  <c:v>0.19482277981151844</c:v>
                </c:pt>
                <c:pt idx="10">
                  <c:v>0.15558025534072104</c:v>
                </c:pt>
                <c:pt idx="11">
                  <c:v>8.2861330959518822E-2</c:v>
                </c:pt>
              </c:numCache>
            </c:numRef>
          </c:yVal>
          <c:smooth val="0"/>
          <c:extLst>
            <c:ext xmlns:c16="http://schemas.microsoft.com/office/drawing/2014/chart" uri="{C3380CC4-5D6E-409C-BE32-E72D297353CC}">
              <c16:uniqueId val="{00000001-77F1-4693-AF11-AF090AC09A0F}"/>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v2'!$AQ$109:$AQ$120</c:f>
                <c:numCache>
                  <c:formatCode>General</c:formatCode>
                  <c:ptCount val="12"/>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numCache>
              </c:numRef>
            </c:plus>
            <c:minus>
              <c:numRef>
                <c:f>'Movement graphs v2'!$AQ$109:$AQ$120</c:f>
                <c:numCache>
                  <c:formatCode>General</c:formatCode>
                  <c:ptCount val="12"/>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v2'!$AT$109:$AT$118</c:f>
              <c:numCache>
                <c:formatCode>0.000</c:formatCode>
                <c:ptCount val="10"/>
                <c:pt idx="0">
                  <c:v>4.4027213655820248E-2</c:v>
                </c:pt>
                <c:pt idx="1">
                  <c:v>0.17479218276955724</c:v>
                </c:pt>
                <c:pt idx="2">
                  <c:v>0.10224825877949256</c:v>
                </c:pt>
                <c:pt idx="3">
                  <c:v>0.20306581829396428</c:v>
                </c:pt>
                <c:pt idx="4">
                  <c:v>0.25198731665054053</c:v>
                </c:pt>
                <c:pt idx="5">
                  <c:v>0.10620423391402736</c:v>
                </c:pt>
                <c:pt idx="6">
                  <c:v>0.30302676382692567</c:v>
                </c:pt>
                <c:pt idx="7">
                  <c:v>0.14031468329269853</c:v>
                </c:pt>
                <c:pt idx="8">
                  <c:v>0.17410941437911162</c:v>
                </c:pt>
                <c:pt idx="9">
                  <c:v>0.11744259682326172</c:v>
                </c:pt>
              </c:numCache>
            </c:numRef>
          </c:yVal>
          <c:smooth val="0"/>
          <c:extLst>
            <c:ext xmlns:c16="http://schemas.microsoft.com/office/drawing/2014/chart" uri="{C3380CC4-5D6E-409C-BE32-E72D297353CC}">
              <c16:uniqueId val="{00000000-4E2F-4C22-A05A-0719A152C95C}"/>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plus>
            <c:minus>
              <c:numRef>
                <c:f>'Movement graphs v2'!$AQ$93:$AQ$104</c:f>
                <c:numCache>
                  <c:formatCode>General</c:formatCode>
                  <c:ptCount val="12"/>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numCache>
              </c:numRef>
            </c:minus>
          </c:errBars>
          <c:errBars>
            <c:errDir val="x"/>
            <c:errBarType val="both"/>
            <c:errValType val="cust"/>
            <c:noEndCap val="0"/>
            <c:plus>
              <c:numRef>
                <c:f>'Movement graphs v2'!$AQ$109:$AQ$120</c:f>
                <c:numCache>
                  <c:formatCode>General</c:formatCode>
                  <c:ptCount val="12"/>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numCache>
              </c:numRef>
            </c:plus>
            <c:minus>
              <c:numRef>
                <c:f>'Movement graphs v2'!$AQ$109:$AQ$120</c:f>
                <c:numCache>
                  <c:formatCode>General</c:formatCode>
                  <c:ptCount val="12"/>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v2'!$AU$109:$AU$119</c:f>
              <c:numCache>
                <c:formatCode>0.00</c:formatCode>
                <c:ptCount val="11"/>
                <c:pt idx="0">
                  <c:v>0.51961711958323553</c:v>
                </c:pt>
                <c:pt idx="1">
                  <c:v>0.46714633070575107</c:v>
                </c:pt>
                <c:pt idx="2">
                  <c:v>0.37328532297196143</c:v>
                </c:pt>
                <c:pt idx="3">
                  <c:v>0.32650324292764565</c:v>
                </c:pt>
                <c:pt idx="4">
                  <c:v>0.26864339333155723</c:v>
                </c:pt>
                <c:pt idx="5">
                  <c:v>0.19891539612140766</c:v>
                </c:pt>
                <c:pt idx="6">
                  <c:v>0.17098222774949909</c:v>
                </c:pt>
                <c:pt idx="7">
                  <c:v>0.12781129153306037</c:v>
                </c:pt>
                <c:pt idx="8">
                  <c:v>8.7831217389387345E-2</c:v>
                </c:pt>
                <c:pt idx="9">
                  <c:v>3.2497814463423105E-2</c:v>
                </c:pt>
              </c:numCache>
            </c:numRef>
          </c:yVal>
          <c:smooth val="0"/>
          <c:extLst>
            <c:ext xmlns:c16="http://schemas.microsoft.com/office/drawing/2014/chart" uri="{C3380CC4-5D6E-409C-BE32-E72D297353CC}">
              <c16:uniqueId val="{00000001-4E2F-4C22-A05A-0719A152C95C}"/>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v2'!$AQ$128:$AQ$137</c:f>
                <c:numCache>
                  <c:formatCode>General</c:formatCode>
                  <c:ptCount val="10"/>
                  <c:pt idx="0">
                    <c:v>3.3951000000000002E-2</c:v>
                  </c:pt>
                  <c:pt idx="1">
                    <c:v>3.5339000000000002E-2</c:v>
                  </c:pt>
                  <c:pt idx="2">
                    <c:v>3.2107999999999998E-2</c:v>
                  </c:pt>
                  <c:pt idx="3">
                    <c:v>2.3733000000000001E-2</c:v>
                  </c:pt>
                  <c:pt idx="4">
                    <c:v>3.6854999999999999E-2</c:v>
                  </c:pt>
                  <c:pt idx="5">
                    <c:v>2.8644999999999997E-2</c:v>
                  </c:pt>
                  <c:pt idx="6">
                    <c:v>3.6247000000000001E-2</c:v>
                  </c:pt>
                  <c:pt idx="7">
                    <c:v>1.6E-2</c:v>
                  </c:pt>
                  <c:pt idx="8">
                    <c:v>2.0999999999999998E-2</c:v>
                  </c:pt>
                </c:numCache>
              </c:numRef>
            </c:plus>
            <c:minus>
              <c:numRef>
                <c:f>'Movement graphs v2'!$AQ$128:$AQ$137</c:f>
                <c:numCache>
                  <c:formatCode>General</c:formatCode>
                  <c:ptCount val="10"/>
                  <c:pt idx="0">
                    <c:v>3.3951000000000002E-2</c:v>
                  </c:pt>
                  <c:pt idx="1">
                    <c:v>3.5339000000000002E-2</c:v>
                  </c:pt>
                  <c:pt idx="2">
                    <c:v>3.2107999999999998E-2</c:v>
                  </c:pt>
                  <c:pt idx="3">
                    <c:v>2.3733000000000001E-2</c:v>
                  </c:pt>
                  <c:pt idx="4">
                    <c:v>3.6854999999999999E-2</c:v>
                  </c:pt>
                  <c:pt idx="5">
                    <c:v>2.8644999999999997E-2</c:v>
                  </c:pt>
                  <c:pt idx="6">
                    <c:v>3.6247000000000001E-2</c:v>
                  </c:pt>
                  <c:pt idx="7">
                    <c:v>1.6E-2</c:v>
                  </c:pt>
                  <c:pt idx="8">
                    <c:v>2.0999999999999998E-2</c:v>
                  </c:pt>
                </c:numCache>
              </c:numRef>
            </c:minus>
          </c:errBars>
          <c:errBars>
            <c:errDir val="x"/>
            <c:errBarType val="both"/>
            <c:errValType val="fixedVal"/>
            <c:noEndCap val="0"/>
            <c:val val="1"/>
          </c:errBars>
          <c:xVal>
            <c:numRef>
              <c:f>'Movement graphs v2'!$C$30:$C$39</c:f>
              <c:numCache>
                <c:formatCode>m/d/yyyy</c:formatCode>
                <c:ptCount val="10"/>
                <c:pt idx="0">
                  <c:v>43019</c:v>
                </c:pt>
                <c:pt idx="1">
                  <c:v>42915</c:v>
                </c:pt>
                <c:pt idx="2">
                  <c:v>42814</c:v>
                </c:pt>
                <c:pt idx="3">
                  <c:v>42718</c:v>
                </c:pt>
                <c:pt idx="4">
                  <c:v>42666</c:v>
                </c:pt>
                <c:pt idx="5">
                  <c:v>42562</c:v>
                </c:pt>
                <c:pt idx="6">
                  <c:v>42446</c:v>
                </c:pt>
                <c:pt idx="7">
                  <c:v>42345</c:v>
                </c:pt>
                <c:pt idx="8">
                  <c:v>42277</c:v>
                </c:pt>
                <c:pt idx="9">
                  <c:v>42188</c:v>
                </c:pt>
              </c:numCache>
            </c:numRef>
          </c:xVal>
          <c:yVal>
            <c:numRef>
              <c:f>'Movement graphs v2'!$AT$128:$AT$137</c:f>
              <c:numCache>
                <c:formatCode>0.000</c:formatCode>
                <c:ptCount val="10"/>
                <c:pt idx="0">
                  <c:v>0.48559583635892772</c:v>
                </c:pt>
                <c:pt idx="1">
                  <c:v>0.3437706043673931</c:v>
                </c:pt>
                <c:pt idx="2">
                  <c:v>3.4281967243495934E-4</c:v>
                </c:pt>
                <c:pt idx="3">
                  <c:v>0</c:v>
                </c:pt>
                <c:pt idx="4">
                  <c:v>0.49977483649071475</c:v>
                </c:pt>
                <c:pt idx="5">
                  <c:v>0.27706060911057256</c:v>
                </c:pt>
                <c:pt idx="6">
                  <c:v>0.13644620173789776</c:v>
                </c:pt>
                <c:pt idx="7">
                  <c:v>5.5037085490157234E-2</c:v>
                </c:pt>
                <c:pt idx="8">
                  <c:v>0.43582036829576093</c:v>
                </c:pt>
              </c:numCache>
            </c:numRef>
          </c:yVal>
          <c:smooth val="0"/>
          <c:extLst>
            <c:ext xmlns:c16="http://schemas.microsoft.com/office/drawing/2014/chart" uri="{C3380CC4-5D6E-409C-BE32-E72D297353CC}">
              <c16:uniqueId val="{00000000-085E-44D8-A7EE-3408105D83DE}"/>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v2'!$AQ$128:$AQ$137</c:f>
                <c:numCache>
                  <c:formatCode>General</c:formatCode>
                  <c:ptCount val="10"/>
                  <c:pt idx="0">
                    <c:v>3.3951000000000002E-2</c:v>
                  </c:pt>
                  <c:pt idx="1">
                    <c:v>3.5339000000000002E-2</c:v>
                  </c:pt>
                  <c:pt idx="2">
                    <c:v>3.2107999999999998E-2</c:v>
                  </c:pt>
                  <c:pt idx="3">
                    <c:v>2.3733000000000001E-2</c:v>
                  </c:pt>
                  <c:pt idx="4">
                    <c:v>3.6854999999999999E-2</c:v>
                  </c:pt>
                  <c:pt idx="5">
                    <c:v>2.8644999999999997E-2</c:v>
                  </c:pt>
                  <c:pt idx="6">
                    <c:v>3.6247000000000001E-2</c:v>
                  </c:pt>
                  <c:pt idx="7">
                    <c:v>1.6E-2</c:v>
                  </c:pt>
                  <c:pt idx="8">
                    <c:v>2.0999999999999998E-2</c:v>
                  </c:pt>
                </c:numCache>
              </c:numRef>
            </c:plus>
            <c:minus>
              <c:numRef>
                <c:f>'Movement graphs v2'!$AQ$128:$AQ$137</c:f>
                <c:numCache>
                  <c:formatCode>General</c:formatCode>
                  <c:ptCount val="10"/>
                  <c:pt idx="0">
                    <c:v>3.3951000000000002E-2</c:v>
                  </c:pt>
                  <c:pt idx="1">
                    <c:v>3.5339000000000002E-2</c:v>
                  </c:pt>
                  <c:pt idx="2">
                    <c:v>3.2107999999999998E-2</c:v>
                  </c:pt>
                  <c:pt idx="3">
                    <c:v>2.3733000000000001E-2</c:v>
                  </c:pt>
                  <c:pt idx="4">
                    <c:v>3.6854999999999999E-2</c:v>
                  </c:pt>
                  <c:pt idx="5">
                    <c:v>2.8644999999999997E-2</c:v>
                  </c:pt>
                  <c:pt idx="6">
                    <c:v>3.6247000000000001E-2</c:v>
                  </c:pt>
                  <c:pt idx="7">
                    <c:v>1.6E-2</c:v>
                  </c:pt>
                  <c:pt idx="8">
                    <c:v>2.0999999999999998E-2</c:v>
                  </c:pt>
                </c:numCache>
              </c:numRef>
            </c:minus>
          </c:errBars>
          <c:errBars>
            <c:errDir val="x"/>
            <c:errBarType val="both"/>
            <c:errValType val="fixedVal"/>
            <c:noEndCap val="0"/>
            <c:val val="1"/>
          </c:errBars>
          <c:xVal>
            <c:numRef>
              <c:f>'Movement graphs v2'!$C$30:$C$39</c:f>
              <c:numCache>
                <c:formatCode>m/d/yyyy</c:formatCode>
                <c:ptCount val="10"/>
                <c:pt idx="0">
                  <c:v>43019</c:v>
                </c:pt>
                <c:pt idx="1">
                  <c:v>42915</c:v>
                </c:pt>
                <c:pt idx="2">
                  <c:v>42814</c:v>
                </c:pt>
                <c:pt idx="3">
                  <c:v>42718</c:v>
                </c:pt>
                <c:pt idx="4">
                  <c:v>42666</c:v>
                </c:pt>
                <c:pt idx="5">
                  <c:v>42562</c:v>
                </c:pt>
                <c:pt idx="6">
                  <c:v>42446</c:v>
                </c:pt>
                <c:pt idx="7">
                  <c:v>42345</c:v>
                </c:pt>
                <c:pt idx="8">
                  <c:v>42277</c:v>
                </c:pt>
                <c:pt idx="9">
                  <c:v>42188</c:v>
                </c:pt>
              </c:numCache>
            </c:numRef>
          </c:xVal>
          <c:yVal>
            <c:numRef>
              <c:f>'Movement graphs v2'!$AU$128:$AU$137</c:f>
              <c:numCache>
                <c:formatCode>0.00</c:formatCode>
                <c:ptCount val="10"/>
                <c:pt idx="0">
                  <c:v>0.73445931038216594</c:v>
                </c:pt>
                <c:pt idx="1">
                  <c:v>0.5960977570086633</c:v>
                </c:pt>
                <c:pt idx="2">
                  <c:v>0.5009721925124806</c:v>
                </c:pt>
                <c:pt idx="3">
                  <c:v>0.46075991455184945</c:v>
                </c:pt>
                <c:pt idx="4">
                  <c:v>0.38473209484668996</c:v>
                </c:pt>
                <c:pt idx="5">
                  <c:v>0.24233049760002057</c:v>
                </c:pt>
                <c:pt idx="6">
                  <c:v>0.15427835881419477</c:v>
                </c:pt>
                <c:pt idx="7">
                  <c:v>0.11652201257987237</c:v>
                </c:pt>
                <c:pt idx="8">
                  <c:v>0.10626852815978828</c:v>
                </c:pt>
              </c:numCache>
            </c:numRef>
          </c:yVal>
          <c:smooth val="0"/>
          <c:extLst>
            <c:ext xmlns:c16="http://schemas.microsoft.com/office/drawing/2014/chart" uri="{C3380CC4-5D6E-409C-BE32-E72D297353CC}">
              <c16:uniqueId val="{00000001-085E-44D8-A7EE-3408105D83DE}"/>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v2'!$AQ$143:$AQ$153</c:f>
                <c:numCache>
                  <c:formatCode>General</c:formatCode>
                  <c:ptCount val="11"/>
                  <c:pt idx="0">
                    <c:v>2.7968E-2</c:v>
                  </c:pt>
                  <c:pt idx="1">
                    <c:v>3.3281999999999999E-2</c:v>
                  </c:pt>
                  <c:pt idx="2">
                    <c:v>3.6083999999999998E-2</c:v>
                  </c:pt>
                  <c:pt idx="3">
                    <c:v>3.2298E-2</c:v>
                  </c:pt>
                  <c:pt idx="4">
                    <c:v>2.3532000000000001E-2</c:v>
                  </c:pt>
                  <c:pt idx="5">
                    <c:v>3.5445999999999998E-2</c:v>
                  </c:pt>
                  <c:pt idx="6">
                    <c:v>2.5624000000000001E-2</c:v>
                  </c:pt>
                  <c:pt idx="7">
                    <c:v>3.4312000000000002E-2</c:v>
                  </c:pt>
                  <c:pt idx="8">
                    <c:v>1.4999999999999999E-2</c:v>
                  </c:pt>
                  <c:pt idx="9">
                    <c:v>2.1999999999999999E-2</c:v>
                  </c:pt>
                </c:numCache>
              </c:numRef>
            </c:plus>
            <c:minus>
              <c:numRef>
                <c:f>'Movement graphs v2'!$AQ$143:$AQ$153</c:f>
                <c:numCache>
                  <c:formatCode>General</c:formatCode>
                  <c:ptCount val="11"/>
                  <c:pt idx="0">
                    <c:v>2.7968E-2</c:v>
                  </c:pt>
                  <c:pt idx="1">
                    <c:v>3.3281999999999999E-2</c:v>
                  </c:pt>
                  <c:pt idx="2">
                    <c:v>3.6083999999999998E-2</c:v>
                  </c:pt>
                  <c:pt idx="3">
                    <c:v>3.2298E-2</c:v>
                  </c:pt>
                  <c:pt idx="4">
                    <c:v>2.3532000000000001E-2</c:v>
                  </c:pt>
                  <c:pt idx="5">
                    <c:v>3.5445999999999998E-2</c:v>
                  </c:pt>
                  <c:pt idx="6">
                    <c:v>2.5624000000000001E-2</c:v>
                  </c:pt>
                  <c:pt idx="7">
                    <c:v>3.4312000000000002E-2</c:v>
                  </c:pt>
                  <c:pt idx="8">
                    <c:v>1.4999999999999999E-2</c:v>
                  </c:pt>
                  <c:pt idx="9">
                    <c:v>2.1999999999999999E-2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v2'!$AT$143:$AT$152</c:f>
              <c:numCache>
                <c:formatCode>0.000</c:formatCode>
                <c:ptCount val="10"/>
                <c:pt idx="0">
                  <c:v>0.66707268076975046</c:v>
                </c:pt>
                <c:pt idx="1">
                  <c:v>0.73082577679177552</c:v>
                </c:pt>
                <c:pt idx="2">
                  <c:v>0.39993338842346227</c:v>
                </c:pt>
                <c:pt idx="3">
                  <c:v>0.21334411060404357</c:v>
                </c:pt>
                <c:pt idx="4">
                  <c:v>0.66519790237015475</c:v>
                </c:pt>
                <c:pt idx="5">
                  <c:v>0.62484219980587852</c:v>
                </c:pt>
                <c:pt idx="6">
                  <c:v>0.39492809859433781</c:v>
                </c:pt>
                <c:pt idx="7">
                  <c:v>0.20499226737531837</c:v>
                </c:pt>
                <c:pt idx="8">
                  <c:v>0.13422712730524702</c:v>
                </c:pt>
                <c:pt idx="9">
                  <c:v>0.54815624911970906</c:v>
                </c:pt>
              </c:numCache>
            </c:numRef>
          </c:yVal>
          <c:smooth val="0"/>
          <c:extLst>
            <c:ext xmlns:c16="http://schemas.microsoft.com/office/drawing/2014/chart" uri="{C3380CC4-5D6E-409C-BE32-E72D297353CC}">
              <c16:uniqueId val="{00000000-50D4-45AD-9D79-587F9061A364}"/>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v2'!$AQ$143:$AQ$153</c:f>
                <c:numCache>
                  <c:formatCode>General</c:formatCode>
                  <c:ptCount val="11"/>
                  <c:pt idx="0">
                    <c:v>2.7968E-2</c:v>
                  </c:pt>
                  <c:pt idx="1">
                    <c:v>3.3281999999999999E-2</c:v>
                  </c:pt>
                  <c:pt idx="2">
                    <c:v>3.6083999999999998E-2</c:v>
                  </c:pt>
                  <c:pt idx="3">
                    <c:v>3.2298E-2</c:v>
                  </c:pt>
                  <c:pt idx="4">
                    <c:v>2.3532000000000001E-2</c:v>
                  </c:pt>
                  <c:pt idx="5">
                    <c:v>3.5445999999999998E-2</c:v>
                  </c:pt>
                  <c:pt idx="6">
                    <c:v>2.5624000000000001E-2</c:v>
                  </c:pt>
                  <c:pt idx="7">
                    <c:v>3.4312000000000002E-2</c:v>
                  </c:pt>
                  <c:pt idx="8">
                    <c:v>1.4999999999999999E-2</c:v>
                  </c:pt>
                  <c:pt idx="9">
                    <c:v>2.1999999999999999E-2</c:v>
                  </c:pt>
                </c:numCache>
              </c:numRef>
            </c:plus>
            <c:minus>
              <c:numRef>
                <c:f>'Movement graphs v2'!$AQ$143:$AQ$153</c:f>
                <c:numCache>
                  <c:formatCode>General</c:formatCode>
                  <c:ptCount val="11"/>
                  <c:pt idx="0">
                    <c:v>2.7968E-2</c:v>
                  </c:pt>
                  <c:pt idx="1">
                    <c:v>3.3281999999999999E-2</c:v>
                  </c:pt>
                  <c:pt idx="2">
                    <c:v>3.6083999999999998E-2</c:v>
                  </c:pt>
                  <c:pt idx="3">
                    <c:v>3.2298E-2</c:v>
                  </c:pt>
                  <c:pt idx="4">
                    <c:v>2.3532000000000001E-2</c:v>
                  </c:pt>
                  <c:pt idx="5">
                    <c:v>3.5445999999999998E-2</c:v>
                  </c:pt>
                  <c:pt idx="6">
                    <c:v>2.5624000000000001E-2</c:v>
                  </c:pt>
                  <c:pt idx="7">
                    <c:v>3.4312000000000002E-2</c:v>
                  </c:pt>
                  <c:pt idx="8">
                    <c:v>1.4999999999999999E-2</c:v>
                  </c:pt>
                  <c:pt idx="9">
                    <c:v>2.1999999999999999E-2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v2'!$AU$143:$AU$153</c:f>
              <c:numCache>
                <c:formatCode>0.00</c:formatCode>
                <c:ptCount val="11"/>
                <c:pt idx="0">
                  <c:v>1.2939299569780043</c:v>
                </c:pt>
                <c:pt idx="1">
                  <c:v>0.98872136057102245</c:v>
                </c:pt>
                <c:pt idx="2">
                  <c:v>0.78048607074542065</c:v>
                </c:pt>
                <c:pt idx="3">
                  <c:v>0.66981957148303795</c:v>
                </c:pt>
                <c:pt idx="4">
                  <c:v>0.61370714787211145</c:v>
                </c:pt>
                <c:pt idx="5">
                  <c:v>0.51893922753444555</c:v>
                </c:pt>
                <c:pt idx="6">
                  <c:v>0.34090199800071574</c:v>
                </c:pt>
                <c:pt idx="7">
                  <c:v>0.21539060228306317</c:v>
                </c:pt>
                <c:pt idx="8">
                  <c:v>0.15866671459838602</c:v>
                </c:pt>
                <c:pt idx="9">
                  <c:v>0.13366001690864138</c:v>
                </c:pt>
              </c:numCache>
            </c:numRef>
          </c:yVal>
          <c:smooth val="0"/>
          <c:extLst>
            <c:ext xmlns:c16="http://schemas.microsoft.com/office/drawing/2014/chart" uri="{C3380CC4-5D6E-409C-BE32-E72D297353CC}">
              <c16:uniqueId val="{00000001-50D4-45AD-9D79-587F9061A364}"/>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v2'!$AT$157:$AT$168</c:f>
              <c:numCache>
                <c:formatCode>0.000</c:formatCode>
                <c:ptCount val="12"/>
                <c:pt idx="0">
                  <c:v>8.1333977676302325E-3</c:v>
                </c:pt>
                <c:pt idx="1">
                  <c:v>1.8164490868740911E-2</c:v>
                </c:pt>
                <c:pt idx="2">
                  <c:v>1.5229765507483554E-2</c:v>
                </c:pt>
                <c:pt idx="3">
                  <c:v>2.1959182226012928E-2</c:v>
                </c:pt>
                <c:pt idx="4">
                  <c:v>1.9458109759463719E-2</c:v>
                </c:pt>
                <c:pt idx="5">
                  <c:v>2.3666022209616437E-3</c:v>
                </c:pt>
                <c:pt idx="6">
                  <c:v>3.9221669437781222E-2</c:v>
                </c:pt>
                <c:pt idx="7">
                  <c:v>2.3100286236466927E-2</c:v>
                </c:pt>
                <c:pt idx="8">
                  <c:v>1.3139812903489798E-2</c:v>
                </c:pt>
                <c:pt idx="9">
                  <c:v>1.4729278993472136E-2</c:v>
                </c:pt>
                <c:pt idx="10">
                  <c:v>1.9851783990686364E-2</c:v>
                </c:pt>
                <c:pt idx="11">
                  <c:v>1.6014898177572019E-2</c:v>
                </c:pt>
              </c:numCache>
            </c:numRef>
          </c:yVal>
          <c:smooth val="0"/>
          <c:extLst>
            <c:ext xmlns:c16="http://schemas.microsoft.com/office/drawing/2014/chart" uri="{C3380CC4-5D6E-409C-BE32-E72D297353CC}">
              <c16:uniqueId val="{00000000-289E-41CF-B923-5C43E0816A93}"/>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v2'!$AU$157:$AU$168</c:f>
              <c:numCache>
                <c:formatCode>0.00</c:formatCode>
                <c:ptCount val="12"/>
                <c:pt idx="0">
                  <c:v>0.78538503977544805</c:v>
                </c:pt>
                <c:pt idx="1">
                  <c:v>0.6712551033587012</c:v>
                </c:pt>
                <c:pt idx="2">
                  <c:v>0.55640864496279097</c:v>
                </c:pt>
                <c:pt idx="3">
                  <c:v>0.47436442432570214</c:v>
                </c:pt>
                <c:pt idx="4">
                  <c:v>0.40069490976101363</c:v>
                </c:pt>
                <c:pt idx="5">
                  <c:v>0.33729913280276086</c:v>
                </c:pt>
                <c:pt idx="6">
                  <c:v>0.32997030011849254</c:v>
                </c:pt>
                <c:pt idx="7">
                  <c:v>0.26417911267447242</c:v>
                </c:pt>
                <c:pt idx="8">
                  <c:v>0.18668137820374467</c:v>
                </c:pt>
                <c:pt idx="9">
                  <c:v>0.13751304604875059</c:v>
                </c:pt>
                <c:pt idx="10">
                  <c:v>8.9524104811954275E-2</c:v>
                </c:pt>
                <c:pt idx="11">
                  <c:v>4.5978256058190635E-2</c:v>
                </c:pt>
              </c:numCache>
            </c:numRef>
          </c:yVal>
          <c:smooth val="0"/>
          <c:extLst>
            <c:ext xmlns:c16="http://schemas.microsoft.com/office/drawing/2014/chart" uri="{C3380CC4-5D6E-409C-BE32-E72D297353CC}">
              <c16:uniqueId val="{00000001-289E-41CF-B923-5C43E0816A93}"/>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v2'!$AQ$189:$AQ$201</c:f>
                <c:numCache>
                  <c:formatCode>General</c:formatCode>
                  <c:ptCount val="13"/>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numCache>
              </c:numRef>
            </c:plus>
            <c:minus>
              <c:numRef>
                <c:f>'Movement graphs v2'!$AQ$189:$AQ$201</c:f>
                <c:numCache>
                  <c:formatCode>General</c:formatCode>
                  <c:ptCount val="13"/>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v2'!$AT$189:$AT$200</c:f>
              <c:numCache>
                <c:formatCode>0.000</c:formatCode>
                <c:ptCount val="12"/>
                <c:pt idx="0">
                  <c:v>0.12628966090266447</c:v>
                </c:pt>
                <c:pt idx="1">
                  <c:v>0.33746158403500459</c:v>
                </c:pt>
                <c:pt idx="2">
                  <c:v>0.17192877031043621</c:v>
                </c:pt>
                <c:pt idx="3">
                  <c:v>0.44456583578301984</c:v>
                </c:pt>
                <c:pt idx="4">
                  <c:v>0.28776307599558348</c:v>
                </c:pt>
                <c:pt idx="5">
                  <c:v>0.1463051898968413</c:v>
                </c:pt>
                <c:pt idx="6">
                  <c:v>0.41632722642583248</c:v>
                </c:pt>
                <c:pt idx="7">
                  <c:v>0.32050967003269126</c:v>
                </c:pt>
                <c:pt idx="8">
                  <c:v>0.12425368841758469</c:v>
                </c:pt>
                <c:pt idx="9">
                  <c:v>0.1361966386105575</c:v>
                </c:pt>
              </c:numCache>
            </c:numRef>
          </c:yVal>
          <c:smooth val="0"/>
          <c:extLst>
            <c:ext xmlns:c16="http://schemas.microsoft.com/office/drawing/2014/chart" uri="{C3380CC4-5D6E-409C-BE32-E72D297353CC}">
              <c16:uniqueId val="{00000000-8014-472F-89FA-B94CFB5F2AD6}"/>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v2'!$AQ$189:$AQ$201</c:f>
                <c:numCache>
                  <c:formatCode>General</c:formatCode>
                  <c:ptCount val="13"/>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numCache>
              </c:numRef>
            </c:plus>
            <c:minus>
              <c:numRef>
                <c:f>'Movement graphs v2'!$AQ$189:$AQ$201</c:f>
                <c:numCache>
                  <c:formatCode>General</c:formatCode>
                  <c:ptCount val="13"/>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v2'!$AU$189:$AU$200</c:f>
              <c:numCache>
                <c:formatCode>0.00</c:formatCode>
                <c:ptCount val="12"/>
                <c:pt idx="0">
                  <c:v>0.88297562533177232</c:v>
                </c:pt>
                <c:pt idx="1">
                  <c:v>0.73246602946147354</c:v>
                </c:pt>
                <c:pt idx="2">
                  <c:v>0.55125378159610117</c:v>
                </c:pt>
                <c:pt idx="3">
                  <c:v>0.47259048120749064</c:v>
                </c:pt>
                <c:pt idx="4">
                  <c:v>0.34591966772410965</c:v>
                </c:pt>
                <c:pt idx="5">
                  <c:v>0.26629207683218103</c:v>
                </c:pt>
                <c:pt idx="6">
                  <c:v>0.22781180770862824</c:v>
                </c:pt>
                <c:pt idx="7">
                  <c:v>0.16849943572467402</c:v>
                </c:pt>
                <c:pt idx="8">
                  <c:v>7.7176132482482548E-2</c:v>
                </c:pt>
                <c:pt idx="9">
                  <c:v>3.7687289040181662E-2</c:v>
                </c:pt>
              </c:numCache>
            </c:numRef>
          </c:yVal>
          <c:smooth val="0"/>
          <c:extLst>
            <c:ext xmlns:c16="http://schemas.microsoft.com/office/drawing/2014/chart" uri="{C3380CC4-5D6E-409C-BE32-E72D297353CC}">
              <c16:uniqueId val="{00000001-8014-472F-89FA-B94CFB5F2AD6}"/>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1"/>
          <c:order val="0"/>
          <c:tx>
            <c:v>SM1</c:v>
          </c:tx>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v2'!$AT$10:$AT$22</c:f>
              <c:numCache>
                <c:formatCode>0.000</c:formatCode>
                <c:ptCount val="13"/>
                <c:pt idx="0">
                  <c:v>4.7971532445808741E-2</c:v>
                </c:pt>
                <c:pt idx="1">
                  <c:v>0.14130681751307578</c:v>
                </c:pt>
                <c:pt idx="2">
                  <c:v>0.15087982859460214</c:v>
                </c:pt>
                <c:pt idx="3">
                  <c:v>0.25453510821170727</c:v>
                </c:pt>
                <c:pt idx="4">
                  <c:v>0.17515760316331266</c:v>
                </c:pt>
                <c:pt idx="5">
                  <c:v>0.10118463717583631</c:v>
                </c:pt>
                <c:pt idx="6">
                  <c:v>0.31539332838218681</c:v>
                </c:pt>
                <c:pt idx="7">
                  <c:v>0.15412286472269263</c:v>
                </c:pt>
                <c:pt idx="8">
                  <c:v>0.12298326371388538</c:v>
                </c:pt>
                <c:pt idx="9">
                  <c:v>0.17899567225780968</c:v>
                </c:pt>
                <c:pt idx="10">
                  <c:v>0.23459718167239735</c:v>
                </c:pt>
              </c:numCache>
            </c:numRef>
          </c:yVal>
          <c:smooth val="0"/>
          <c:extLst>
            <c:ext xmlns:c16="http://schemas.microsoft.com/office/drawing/2014/chart" uri="{C3380CC4-5D6E-409C-BE32-E72D297353CC}">
              <c16:uniqueId val="{00000000-1A62-44B6-A508-8634CB602AD0}"/>
            </c:ext>
          </c:extLst>
        </c:ser>
        <c:ser>
          <c:idx val="0"/>
          <c:order val="1"/>
          <c:tx>
            <c:v>SM2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v2'!$AT$26:$AT$38</c:f>
              <c:numCache>
                <c:formatCode>0.000</c:formatCode>
                <c:ptCount val="13"/>
                <c:pt idx="0">
                  <c:v>2.6227185918849403E-2</c:v>
                </c:pt>
                <c:pt idx="1">
                  <c:v>0.17804070682020628</c:v>
                </c:pt>
                <c:pt idx="2">
                  <c:v>8.99481020500177E-2</c:v>
                </c:pt>
                <c:pt idx="3">
                  <c:v>0.20955194710100977</c:v>
                </c:pt>
                <c:pt idx="4">
                  <c:v>0.22075148380178047</c:v>
                </c:pt>
                <c:pt idx="5">
                  <c:v>0.10117460217302927</c:v>
                </c:pt>
                <c:pt idx="6">
                  <c:v>0.25923975418009015</c:v>
                </c:pt>
                <c:pt idx="7">
                  <c:v>0.14622167237771658</c:v>
                </c:pt>
                <c:pt idx="8">
                  <c:v>0.13934069979930688</c:v>
                </c:pt>
                <c:pt idx="9">
                  <c:v>0.20374582874293393</c:v>
                </c:pt>
                <c:pt idx="10">
                  <c:v>0.26430977236065845</c:v>
                </c:pt>
                <c:pt idx="11">
                  <c:v>0.11585220735575386</c:v>
                </c:pt>
              </c:numCache>
            </c:numRef>
          </c:yVal>
          <c:smooth val="0"/>
          <c:extLst>
            <c:ext xmlns:c16="http://schemas.microsoft.com/office/drawing/2014/chart" uri="{C3380CC4-5D6E-409C-BE32-E72D297353CC}">
              <c16:uniqueId val="{00000001-1A62-44B6-A508-8634CB602AD0}"/>
            </c:ext>
          </c:extLst>
        </c:ser>
        <c:ser>
          <c:idx val="2"/>
          <c:order val="2"/>
          <c:tx>
            <c:v>SM3</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v2'!$AT$44:$AT$56</c:f>
              <c:numCache>
                <c:formatCode>0.000</c:formatCode>
                <c:ptCount val="13"/>
                <c:pt idx="0">
                  <c:v>3.5111135864108495E-2</c:v>
                </c:pt>
                <c:pt idx="1">
                  <c:v>0.10800671694773169</c:v>
                </c:pt>
                <c:pt idx="3">
                  <c:v>0.30916414789885732</c:v>
                </c:pt>
                <c:pt idx="4">
                  <c:v>0.32084971953546215</c:v>
                </c:pt>
                <c:pt idx="5">
                  <c:v>0.1340039676094725</c:v>
                </c:pt>
                <c:pt idx="6">
                  <c:v>0.29518529287005907</c:v>
                </c:pt>
                <c:pt idx="7">
                  <c:v>0.19131042642512636</c:v>
                </c:pt>
                <c:pt idx="8">
                  <c:v>0.14963752936333508</c:v>
                </c:pt>
                <c:pt idx="9">
                  <c:v>0.22881564718812536</c:v>
                </c:pt>
                <c:pt idx="10">
                  <c:v>0.21758907525653598</c:v>
                </c:pt>
              </c:numCache>
            </c:numRef>
          </c:yVal>
          <c:smooth val="0"/>
          <c:extLst>
            <c:ext xmlns:c16="http://schemas.microsoft.com/office/drawing/2014/chart" uri="{C3380CC4-5D6E-409C-BE32-E72D297353CC}">
              <c16:uniqueId val="{00000002-1A62-44B6-A508-8634CB602AD0}"/>
            </c:ext>
          </c:extLst>
        </c:ser>
        <c:ser>
          <c:idx val="3"/>
          <c:order val="3"/>
          <c:tx>
            <c:v>SM4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v2'!$AT$60:$AT$72</c:f>
              <c:numCache>
                <c:formatCode>0.000</c:formatCode>
                <c:ptCount val="13"/>
                <c:pt idx="0">
                  <c:v>6.0621480901535893E-2</c:v>
                </c:pt>
                <c:pt idx="1">
                  <c:v>0.19507807576140049</c:v>
                </c:pt>
                <c:pt idx="2">
                  <c:v>0.11587651518205369</c:v>
                </c:pt>
                <c:pt idx="3">
                  <c:v>0.34115099196659354</c:v>
                </c:pt>
                <c:pt idx="4">
                  <c:v>0.27254952423451712</c:v>
                </c:pt>
                <c:pt idx="5">
                  <c:v>7.9864033341002644E-2</c:v>
                </c:pt>
                <c:pt idx="6">
                  <c:v>0.3590306548130287</c:v>
                </c:pt>
                <c:pt idx="7">
                  <c:v>0.22692310206076619</c:v>
                </c:pt>
                <c:pt idx="8">
                  <c:v>7.32591192534775E-2</c:v>
                </c:pt>
                <c:pt idx="9">
                  <c:v>9.6782515627120688E-2</c:v>
                </c:pt>
                <c:pt idx="10">
                  <c:v>0.14499523168189549</c:v>
                </c:pt>
                <c:pt idx="11">
                  <c:v>0.27277867912735926</c:v>
                </c:pt>
              </c:numCache>
            </c:numRef>
          </c:yVal>
          <c:smooth val="0"/>
          <c:extLst>
            <c:ext xmlns:c16="http://schemas.microsoft.com/office/drawing/2014/chart" uri="{C3380CC4-5D6E-409C-BE32-E72D297353CC}">
              <c16:uniqueId val="{00000003-1A62-44B6-A508-8634CB602AD0}"/>
            </c:ext>
          </c:extLst>
        </c:ser>
        <c:ser>
          <c:idx val="4"/>
          <c:order val="4"/>
          <c:tx>
            <c:v>SM5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v2'!$AT$77:$AT$88</c:f>
              <c:numCache>
                <c:formatCode>0.000</c:formatCode>
                <c:ptCount val="12"/>
                <c:pt idx="0">
                  <c:v>0.15485288328977007</c:v>
                </c:pt>
                <c:pt idx="1">
                  <c:v>0.30994469042148975</c:v>
                </c:pt>
                <c:pt idx="2">
                  <c:v>0.17905539219308692</c:v>
                </c:pt>
                <c:pt idx="3">
                  <c:v>0.36579873865845414</c:v>
                </c:pt>
                <c:pt idx="4">
                  <c:v>0.29291563930637743</c:v>
                </c:pt>
                <c:pt idx="5">
                  <c:v>0.12030692480551791</c:v>
                </c:pt>
                <c:pt idx="6">
                  <c:v>0.46804651178684148</c:v>
                </c:pt>
                <c:pt idx="7">
                  <c:v>0.33586313273075075</c:v>
                </c:pt>
                <c:pt idx="8">
                  <c:v>0.26369753254183276</c:v>
                </c:pt>
                <c:pt idx="9">
                  <c:v>0.14973305966720515</c:v>
                </c:pt>
                <c:pt idx="10">
                  <c:v>9.8403178897886009E-2</c:v>
                </c:pt>
                <c:pt idx="11">
                  <c:v>0.29233274278320082</c:v>
                </c:pt>
              </c:numCache>
            </c:numRef>
          </c:yVal>
          <c:smooth val="0"/>
          <c:extLst>
            <c:ext xmlns:c16="http://schemas.microsoft.com/office/drawing/2014/chart" uri="{C3380CC4-5D6E-409C-BE32-E72D297353CC}">
              <c16:uniqueId val="{00000004-1A62-44B6-A508-8634CB602AD0}"/>
            </c:ext>
          </c:extLst>
        </c:ser>
        <c:ser>
          <c:idx val="5"/>
          <c:order val="5"/>
          <c:tx>
            <c:v>SM6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v2'!$AT$93:$AT$104</c:f>
              <c:numCache>
                <c:formatCode>0.000</c:formatCode>
                <c:ptCount val="12"/>
                <c:pt idx="0">
                  <c:v>8.084367917565588E-2</c:v>
                </c:pt>
                <c:pt idx="1">
                  <c:v>0.25399838910459871</c:v>
                </c:pt>
                <c:pt idx="2">
                  <c:v>0.26539350700124081</c:v>
                </c:pt>
                <c:pt idx="3">
                  <c:v>0.21285334696944799</c:v>
                </c:pt>
                <c:pt idx="4">
                  <c:v>0.23899926502850313</c:v>
                </c:pt>
                <c:pt idx="5">
                  <c:v>5.3552878202847425E-2</c:v>
                </c:pt>
                <c:pt idx="6">
                  <c:v>0.30525989410597254</c:v>
                </c:pt>
                <c:pt idx="7">
                  <c:v>0.29190600760848279</c:v>
                </c:pt>
                <c:pt idx="8">
                  <c:v>0.15213041977893205</c:v>
                </c:pt>
                <c:pt idx="9">
                  <c:v>0.14181704387961439</c:v>
                </c:pt>
                <c:pt idx="10">
                  <c:v>0.39032952057557069</c:v>
                </c:pt>
                <c:pt idx="11">
                  <c:v>0.33982455955308283</c:v>
                </c:pt>
              </c:numCache>
            </c:numRef>
          </c:yVal>
          <c:smooth val="0"/>
          <c:extLst>
            <c:ext xmlns:c16="http://schemas.microsoft.com/office/drawing/2014/chart" uri="{C3380CC4-5D6E-409C-BE32-E72D297353CC}">
              <c16:uniqueId val="{00000005-1A62-44B6-A508-8634CB602AD0}"/>
            </c:ext>
          </c:extLst>
        </c:ser>
        <c:ser>
          <c:idx val="6"/>
          <c:order val="6"/>
          <c:tx>
            <c:v>SM7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v2'!$AT$109:$AT$121</c:f>
              <c:numCache>
                <c:formatCode>0.000</c:formatCode>
                <c:ptCount val="13"/>
                <c:pt idx="0">
                  <c:v>4.4027213655820248E-2</c:v>
                </c:pt>
                <c:pt idx="1">
                  <c:v>0.17479218276955724</c:v>
                </c:pt>
                <c:pt idx="2">
                  <c:v>0.10224825877949256</c:v>
                </c:pt>
                <c:pt idx="3">
                  <c:v>0.20306581829396428</c:v>
                </c:pt>
                <c:pt idx="4">
                  <c:v>0.25198731665054053</c:v>
                </c:pt>
                <c:pt idx="5">
                  <c:v>0.10620423391402736</c:v>
                </c:pt>
                <c:pt idx="6">
                  <c:v>0.30302676382692567</c:v>
                </c:pt>
                <c:pt idx="7">
                  <c:v>0.14031468329269853</c:v>
                </c:pt>
                <c:pt idx="8">
                  <c:v>0.17410941437911162</c:v>
                </c:pt>
                <c:pt idx="9">
                  <c:v>0.11744259682326172</c:v>
                </c:pt>
              </c:numCache>
            </c:numRef>
          </c:yVal>
          <c:smooth val="0"/>
          <c:extLst>
            <c:ext xmlns:c16="http://schemas.microsoft.com/office/drawing/2014/chart" uri="{C3380CC4-5D6E-409C-BE32-E72D297353CC}">
              <c16:uniqueId val="{00000006-1A62-44B6-A508-8634CB602AD0}"/>
            </c:ext>
          </c:extLst>
        </c:ser>
        <c:ser>
          <c:idx val="8"/>
          <c:order val="7"/>
          <c:tx>
            <c:v>SM15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v2'!$AT$189:$AT$201</c:f>
              <c:numCache>
                <c:formatCode>0.000</c:formatCode>
                <c:ptCount val="13"/>
                <c:pt idx="0">
                  <c:v>0.12628966090266447</c:v>
                </c:pt>
                <c:pt idx="1">
                  <c:v>0.33746158403500459</c:v>
                </c:pt>
                <c:pt idx="2">
                  <c:v>0.17192877031043621</c:v>
                </c:pt>
                <c:pt idx="3">
                  <c:v>0.44456583578301984</c:v>
                </c:pt>
                <c:pt idx="4">
                  <c:v>0.28776307599558348</c:v>
                </c:pt>
                <c:pt idx="5">
                  <c:v>0.1463051898968413</c:v>
                </c:pt>
                <c:pt idx="6">
                  <c:v>0.41632722642583248</c:v>
                </c:pt>
                <c:pt idx="7">
                  <c:v>0.32050967003269126</c:v>
                </c:pt>
                <c:pt idx="8">
                  <c:v>0.12425368841758469</c:v>
                </c:pt>
                <c:pt idx="9">
                  <c:v>0.1361966386105575</c:v>
                </c:pt>
              </c:numCache>
            </c:numRef>
          </c:yVal>
          <c:smooth val="0"/>
          <c:extLst>
            <c:ext xmlns:c16="http://schemas.microsoft.com/office/drawing/2014/chart" uri="{C3380CC4-5D6E-409C-BE32-E72D297353CC}">
              <c16:uniqueId val="{00000008-1A62-44B6-A508-8634CB602AD0}"/>
            </c:ext>
          </c:extLst>
        </c:ser>
        <c:ser>
          <c:idx val="7"/>
          <c:order val="8"/>
          <c:tx>
            <c:v>TBM1</c:v>
          </c:tx>
          <c:xVal>
            <c:numRef>
              <c:f>('Movement graphs v2'!$AL$173:$AL$175,'Movement graphs v2'!$AL$178,'Movement graphs v2'!$AL$181:$AL$185)</c:f>
              <c:numCache>
                <c:formatCode>m/d/yyyy</c:formatCode>
                <c:ptCount val="9"/>
                <c:pt idx="0">
                  <c:v>43817</c:v>
                </c:pt>
                <c:pt idx="1">
                  <c:v>43382</c:v>
                </c:pt>
                <c:pt idx="2">
                  <c:v>43186</c:v>
                </c:pt>
                <c:pt idx="3">
                  <c:v>42814</c:v>
                </c:pt>
                <c:pt idx="4">
                  <c:v>42562</c:v>
                </c:pt>
                <c:pt idx="5">
                  <c:v>42446</c:v>
                </c:pt>
                <c:pt idx="6">
                  <c:v>42345</c:v>
                </c:pt>
                <c:pt idx="7">
                  <c:v>42277</c:v>
                </c:pt>
                <c:pt idx="8">
                  <c:v>42188</c:v>
                </c:pt>
              </c:numCache>
            </c:numRef>
          </c:xVal>
          <c:yVal>
            <c:numRef>
              <c:f>('Movement graphs v2'!$AT$173:$AT$175,'Movement graphs v2'!$AT$178,'Movement graphs v2'!$AT$181:$AT$184)</c:f>
              <c:numCache>
                <c:formatCode>0.000</c:formatCode>
                <c:ptCount val="8"/>
                <c:pt idx="0">
                  <c:v>2.4794039947999478E-2</c:v>
                </c:pt>
                <c:pt idx="1">
                  <c:v>0.1027017649810148</c:v>
                </c:pt>
                <c:pt idx="2">
                  <c:v>0.1000379335174558</c:v>
                </c:pt>
                <c:pt idx="3">
                  <c:v>0.133557997234583</c:v>
                </c:pt>
                <c:pt idx="4">
                  <c:v>4.9804697867579073E-2</c:v>
                </c:pt>
                <c:pt idx="5">
                  <c:v>0.11932783639823717</c:v>
                </c:pt>
                <c:pt idx="6">
                  <c:v>0.18898462497971458</c:v>
                </c:pt>
                <c:pt idx="7">
                  <c:v>0.22244579253253247</c:v>
                </c:pt>
              </c:numCache>
            </c:numRef>
          </c:yVal>
          <c:smooth val="0"/>
          <c:extLst>
            <c:ext xmlns:c16="http://schemas.microsoft.com/office/drawing/2014/chart" uri="{C3380CC4-5D6E-409C-BE32-E72D297353CC}">
              <c16:uniqueId val="{00000007-1A62-44B6-A508-8634CB602AD0}"/>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displacement (m)</a:t>
                </a:r>
              </a:p>
            </c:rich>
          </c:tx>
          <c:overlay val="0"/>
        </c:title>
        <c:numFmt formatCode="0.00" sourceLinked="0"/>
        <c:majorTickMark val="out"/>
        <c:minorTickMark val="none"/>
        <c:tickLblPos val="nextTo"/>
        <c:crossAx val="181592448"/>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1"/>
          <c:order val="0"/>
          <c:tx>
            <c:v>SM1</c:v>
          </c:tx>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v2'!$AP$10:$AP$22</c:f>
              <c:numCache>
                <c:formatCode>General</c:formatCode>
                <c:ptCount val="13"/>
                <c:pt idx="0">
                  <c:v>5.1870227983338374E-2</c:v>
                </c:pt>
                <c:pt idx="1">
                  <c:v>7.4110178941575885E-2</c:v>
                </c:pt>
                <c:pt idx="2">
                  <c:v>5.6076412047098512E-2</c:v>
                </c:pt>
                <c:pt idx="3">
                  <c:v>3.2971406540832533E-2</c:v>
                </c:pt>
                <c:pt idx="4">
                  <c:v>1.9455676943815427E-2</c:v>
                </c:pt>
                <c:pt idx="5">
                  <c:v>2.474958157499418E-2</c:v>
                </c:pt>
                <c:pt idx="6">
                  <c:v>4.2207991845013261E-2</c:v>
                </c:pt>
                <c:pt idx="7">
                  <c:v>3.9365371947797899E-2</c:v>
                </c:pt>
                <c:pt idx="8">
                  <c:v>3.8993634081748454E-2</c:v>
                </c:pt>
                <c:pt idx="9">
                  <c:v>3.0154143961738468E-2</c:v>
                </c:pt>
                <c:pt idx="10">
                  <c:v>3.9347009806936555E-2</c:v>
                </c:pt>
              </c:numCache>
            </c:numRef>
          </c:yVal>
          <c:smooth val="0"/>
          <c:extLst>
            <c:ext xmlns:c16="http://schemas.microsoft.com/office/drawing/2014/chart" uri="{C3380CC4-5D6E-409C-BE32-E72D297353CC}">
              <c16:uniqueId val="{00000000-425D-4F9C-AF63-B34AD4F7A2E3}"/>
            </c:ext>
          </c:extLst>
        </c:ser>
        <c:ser>
          <c:idx val="0"/>
          <c:order val="1"/>
          <c:tx>
            <c:v>SM2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v2'!$AP$26:$AP$38</c:f>
              <c:numCache>
                <c:formatCode>General</c:formatCode>
                <c:ptCount val="13"/>
                <c:pt idx="0">
                  <c:v>2.9896061533904485E-2</c:v>
                </c:pt>
                <c:pt idx="1">
                  <c:v>8.480651588412505E-2</c:v>
                </c:pt>
                <c:pt idx="2">
                  <c:v>1.6798052337444917E-2</c:v>
                </c:pt>
                <c:pt idx="3">
                  <c:v>3.8343684970121035E-2</c:v>
                </c:pt>
                <c:pt idx="4">
                  <c:v>4.5022763704009296E-2</c:v>
                </c:pt>
                <c:pt idx="5">
                  <c:v>2.6058708769006567E-2</c:v>
                </c:pt>
                <c:pt idx="6">
                  <c:v>3.603787156548053E-2</c:v>
                </c:pt>
                <c:pt idx="7">
                  <c:v>3.8765555143189981E-2</c:v>
                </c:pt>
                <c:pt idx="8">
                  <c:v>4.3712081308584554E-2</c:v>
                </c:pt>
                <c:pt idx="9">
                  <c:v>4.7868713012302354E-2</c:v>
                </c:pt>
                <c:pt idx="10">
                  <c:v>4.3525661750564514E-2</c:v>
                </c:pt>
                <c:pt idx="11">
                  <c:v>2.2561029112507215E-2</c:v>
                </c:pt>
              </c:numCache>
            </c:numRef>
          </c:yVal>
          <c:smooth val="0"/>
          <c:extLst>
            <c:ext xmlns:c16="http://schemas.microsoft.com/office/drawing/2014/chart" uri="{C3380CC4-5D6E-409C-BE32-E72D297353CC}">
              <c16:uniqueId val="{00000001-425D-4F9C-AF63-B34AD4F7A2E3}"/>
            </c:ext>
          </c:extLst>
        </c:ser>
        <c:ser>
          <c:idx val="2"/>
          <c:order val="2"/>
          <c:tx>
            <c:v>SM3</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v2'!$AP$44:$AP$56</c:f>
              <c:numCache>
                <c:formatCode>General</c:formatCode>
                <c:ptCount val="13"/>
                <c:pt idx="0">
                  <c:v>4.1665993086451435E-2</c:v>
                </c:pt>
                <c:pt idx="1">
                  <c:v>0.10095446743983998</c:v>
                </c:pt>
                <c:pt idx="3">
                  <c:v>5.524806253497775E-2</c:v>
                </c:pt>
                <c:pt idx="4">
                  <c:v>3.3025691831951982E-2</c:v>
                </c:pt>
                <c:pt idx="5">
                  <c:v>1.5392565427688418E-2</c:v>
                </c:pt>
                <c:pt idx="6">
                  <c:v>4.0758994852700216E-2</c:v>
                </c:pt>
                <c:pt idx="7">
                  <c:v>5.3963358113839059E-2</c:v>
                </c:pt>
                <c:pt idx="8">
                  <c:v>4.6534642137052384E-2</c:v>
                </c:pt>
                <c:pt idx="9">
                  <c:v>3.5810152027272724E-2</c:v>
                </c:pt>
                <c:pt idx="10">
                  <c:v>1.8583628362680876E-2</c:v>
                </c:pt>
              </c:numCache>
            </c:numRef>
          </c:yVal>
          <c:smooth val="0"/>
          <c:extLst>
            <c:ext xmlns:c16="http://schemas.microsoft.com/office/drawing/2014/chart" uri="{C3380CC4-5D6E-409C-BE32-E72D297353CC}">
              <c16:uniqueId val="{00000002-425D-4F9C-AF63-B34AD4F7A2E3}"/>
            </c:ext>
          </c:extLst>
        </c:ser>
        <c:ser>
          <c:idx val="3"/>
          <c:order val="3"/>
          <c:tx>
            <c:v>SM4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v2'!$AP$60:$AP$72</c:f>
              <c:numCache>
                <c:formatCode>General</c:formatCode>
                <c:ptCount val="13"/>
                <c:pt idx="0">
                  <c:v>7.2187918307179022E-2</c:v>
                </c:pt>
                <c:pt idx="1">
                  <c:v>0.10161970997309339</c:v>
                </c:pt>
                <c:pt idx="2">
                  <c:v>3.5960072201290084E-2</c:v>
                </c:pt>
                <c:pt idx="3">
                  <c:v>8.7383901279735457E-2</c:v>
                </c:pt>
                <c:pt idx="4">
                  <c:v>5.0733340048333374E-2</c:v>
                </c:pt>
                <c:pt idx="5">
                  <c:v>3.8633509952401986E-3</c:v>
                </c:pt>
                <c:pt idx="6">
                  <c:v>4.3678531368796798E-2</c:v>
                </c:pt>
                <c:pt idx="7">
                  <c:v>6.4160343297626279E-2</c:v>
                </c:pt>
                <c:pt idx="8">
                  <c:v>2.0776309154910095E-2</c:v>
                </c:pt>
                <c:pt idx="9">
                  <c:v>1.2064544465038555E-2</c:v>
                </c:pt>
                <c:pt idx="10">
                  <c:v>2.1744958433903179E-2</c:v>
                </c:pt>
                <c:pt idx="11">
                  <c:v>6.6483081337729205E-2</c:v>
                </c:pt>
              </c:numCache>
            </c:numRef>
          </c:yVal>
          <c:smooth val="0"/>
          <c:extLst>
            <c:ext xmlns:c16="http://schemas.microsoft.com/office/drawing/2014/chart" uri="{C3380CC4-5D6E-409C-BE32-E72D297353CC}">
              <c16:uniqueId val="{00000003-425D-4F9C-AF63-B34AD4F7A2E3}"/>
            </c:ext>
          </c:extLst>
        </c:ser>
        <c:ser>
          <c:idx val="4"/>
          <c:order val="4"/>
          <c:tx>
            <c:v>SM5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v2'!$AP$77:$AP$89</c:f>
              <c:numCache>
                <c:formatCode>General</c:formatCode>
                <c:ptCount val="13"/>
                <c:pt idx="0">
                  <c:v>0.17924743181223213</c:v>
                </c:pt>
                <c:pt idx="1">
                  <c:v>0.16493210342986675</c:v>
                </c:pt>
                <c:pt idx="2">
                  <c:v>7.5002930434600074E-2</c:v>
                </c:pt>
                <c:pt idx="3">
                  <c:v>8.7925313094064303E-2</c:v>
                </c:pt>
                <c:pt idx="4">
                  <c:v>7.1037917580352036E-2</c:v>
                </c:pt>
                <c:pt idx="5">
                  <c:v>3.1432075474489167E-2</c:v>
                </c:pt>
                <c:pt idx="6">
                  <c:v>6.6678085109950436E-2</c:v>
                </c:pt>
                <c:pt idx="7">
                  <c:v>9.5569416251915187E-2</c:v>
                </c:pt>
                <c:pt idx="8">
                  <c:v>7.0807499351364184E-2</c:v>
                </c:pt>
                <c:pt idx="9">
                  <c:v>3.4076648024120096E-2</c:v>
                </c:pt>
                <c:pt idx="10">
                  <c:v>3.3363520177135575E-3</c:v>
                </c:pt>
                <c:pt idx="11">
                  <c:v>7.0830785267044241E-2</c:v>
                </c:pt>
              </c:numCache>
            </c:numRef>
          </c:yVal>
          <c:smooth val="0"/>
          <c:extLst>
            <c:ext xmlns:c16="http://schemas.microsoft.com/office/drawing/2014/chart" uri="{C3380CC4-5D6E-409C-BE32-E72D297353CC}">
              <c16:uniqueId val="{00000004-425D-4F9C-AF63-B34AD4F7A2E3}"/>
            </c:ext>
          </c:extLst>
        </c:ser>
        <c:ser>
          <c:idx val="5"/>
          <c:order val="5"/>
          <c:tx>
            <c:v>SM6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v2'!$AP$93:$AP$105</c:f>
              <c:numCache>
                <c:formatCode>General</c:formatCode>
                <c:ptCount val="13"/>
                <c:pt idx="0">
                  <c:v>8.8575859337390817E-2</c:v>
                </c:pt>
                <c:pt idx="1">
                  <c:v>0.13454153434863572</c:v>
                </c:pt>
                <c:pt idx="2">
                  <c:v>4.7642077252396685E-2</c:v>
                </c:pt>
                <c:pt idx="3">
                  <c:v>5.5086453117246491E-2</c:v>
                </c:pt>
                <c:pt idx="4">
                  <c:v>5.5582561122518914E-2</c:v>
                </c:pt>
                <c:pt idx="5">
                  <c:v>1.3067733117561998E-2</c:v>
                </c:pt>
                <c:pt idx="6">
                  <c:v>4.3488223925436012E-2</c:v>
                </c:pt>
                <c:pt idx="7">
                  <c:v>8.2844532253635014E-2</c:v>
                </c:pt>
                <c:pt idx="8">
                  <c:v>3.9495405731489019E-2</c:v>
                </c:pt>
                <c:pt idx="9">
                  <c:v>3.9220199828546264E-2</c:v>
                </c:pt>
                <c:pt idx="10">
                  <c:v>6.4266937541058999E-2</c:v>
                </c:pt>
                <c:pt idx="11">
                  <c:v>7.7620874565951153E-2</c:v>
                </c:pt>
              </c:numCache>
            </c:numRef>
          </c:yVal>
          <c:smooth val="0"/>
          <c:extLst>
            <c:ext xmlns:c16="http://schemas.microsoft.com/office/drawing/2014/chart" uri="{C3380CC4-5D6E-409C-BE32-E72D297353CC}">
              <c16:uniqueId val="{00000005-425D-4F9C-AF63-B34AD4F7A2E3}"/>
            </c:ext>
          </c:extLst>
        </c:ser>
        <c:ser>
          <c:idx val="6"/>
          <c:order val="6"/>
          <c:tx>
            <c:v>SM7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v2'!$AP$109:$AP$121</c:f>
              <c:numCache>
                <c:formatCode>General</c:formatCode>
                <c:ptCount val="13"/>
                <c:pt idx="0">
                  <c:v>5.2437026626473149E-2</c:v>
                </c:pt>
                <c:pt idx="1">
                  <c:v>9.0786883126380599E-2</c:v>
                </c:pt>
                <c:pt idx="2">
                  <c:v>3.8027746571070095E-2</c:v>
                </c:pt>
                <c:pt idx="3">
                  <c:v>3.4442069207321388E-2</c:v>
                </c:pt>
                <c:pt idx="4">
                  <c:v>3.5627375344534327E-2</c:v>
                </c:pt>
                <c:pt idx="5">
                  <c:v>2.7341241656030035E-2</c:v>
                </c:pt>
                <c:pt idx="6">
                  <c:v>3.9368877413554437E-2</c:v>
                </c:pt>
                <c:pt idx="7">
                  <c:v>3.9629486995586764E-2</c:v>
                </c:pt>
                <c:pt idx="8">
                  <c:v>3.3387178172189759E-2</c:v>
                </c:pt>
                <c:pt idx="9">
                  <c:v>2.8271173351114516E-2</c:v>
                </c:pt>
              </c:numCache>
            </c:numRef>
          </c:yVal>
          <c:smooth val="0"/>
          <c:extLst>
            <c:ext xmlns:c16="http://schemas.microsoft.com/office/drawing/2014/chart" uri="{C3380CC4-5D6E-409C-BE32-E72D297353CC}">
              <c16:uniqueId val="{00000006-425D-4F9C-AF63-B34AD4F7A2E3}"/>
            </c:ext>
          </c:extLst>
        </c:ser>
        <c:ser>
          <c:idx val="7"/>
          <c:order val="7"/>
          <c:tx>
            <c:v>TBM1</c:v>
          </c:tx>
          <c:xVal>
            <c:numRef>
              <c:f>('Movement graphs v2'!$AL$173:$AL$175,'Movement graphs v2'!$AL$178,'Movement graphs v2'!$AL$181:$AL$185)</c:f>
              <c:numCache>
                <c:formatCode>m/d/yyyy</c:formatCode>
                <c:ptCount val="9"/>
                <c:pt idx="0">
                  <c:v>43817</c:v>
                </c:pt>
                <c:pt idx="1">
                  <c:v>43382</c:v>
                </c:pt>
                <c:pt idx="2">
                  <c:v>43186</c:v>
                </c:pt>
                <c:pt idx="3">
                  <c:v>42814</c:v>
                </c:pt>
                <c:pt idx="4">
                  <c:v>42562</c:v>
                </c:pt>
                <c:pt idx="5">
                  <c:v>42446</c:v>
                </c:pt>
                <c:pt idx="6">
                  <c:v>42345</c:v>
                </c:pt>
                <c:pt idx="7">
                  <c:v>42277</c:v>
                </c:pt>
                <c:pt idx="8">
                  <c:v>42188</c:v>
                </c:pt>
              </c:numCache>
            </c:numRef>
          </c:xVal>
          <c:yVal>
            <c:numRef>
              <c:f>('Movement graphs v2'!$AP$173:$AP$175,'Movement graphs v2'!$AP$178,'Movement graphs v2'!$AP$181:$AP$185)</c:f>
              <c:numCache>
                <c:formatCode>General</c:formatCode>
                <c:ptCount val="9"/>
                <c:pt idx="0">
                  <c:v>2.0848583265478698E-2</c:v>
                </c:pt>
                <c:pt idx="1">
                  <c:v>5.4044948977059915E-2</c:v>
                </c:pt>
                <c:pt idx="2">
                  <c:v>9.6691164728691437E-2</c:v>
                </c:pt>
                <c:pt idx="3">
                  <c:v>5.5194932856648733E-2</c:v>
                </c:pt>
                <c:pt idx="4">
                  <c:v>1.5815307017033851E-2</c:v>
                </c:pt>
                <c:pt idx="5">
                  <c:v>1.2074756068989069E-2</c:v>
                </c:pt>
                <c:pt idx="6">
                  <c:v>3.0243267304493324E-2</c:v>
                </c:pt>
                <c:pt idx="7">
                  <c:v>5.4230987908908346E-2</c:v>
                </c:pt>
              </c:numCache>
            </c:numRef>
          </c:yVal>
          <c:smooth val="0"/>
          <c:extLst>
            <c:ext xmlns:c16="http://schemas.microsoft.com/office/drawing/2014/chart" uri="{C3380CC4-5D6E-409C-BE32-E72D297353CC}">
              <c16:uniqueId val="{00000007-425D-4F9C-AF63-B34AD4F7A2E3}"/>
            </c:ext>
          </c:extLst>
        </c:ser>
        <c:ser>
          <c:idx val="8"/>
          <c:order val="8"/>
          <c:tx>
            <c:v>SM15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v2'!$AP$189:$AP$201</c:f>
              <c:numCache>
                <c:formatCode>General</c:formatCode>
                <c:ptCount val="13"/>
                <c:pt idx="0">
                  <c:v>0.12612352870515969</c:v>
                </c:pt>
                <c:pt idx="1">
                  <c:v>0.17560802730063949</c:v>
                </c:pt>
                <c:pt idx="2">
                  <c:v>6.4885715254053664E-2</c:v>
                </c:pt>
                <c:pt idx="3">
                  <c:v>0.11419156870602211</c:v>
                </c:pt>
                <c:pt idx="4">
                  <c:v>3.583978229920378E-2</c:v>
                </c:pt>
                <c:pt idx="5">
                  <c:v>2.0669043224585272E-2</c:v>
                </c:pt>
                <c:pt idx="6">
                  <c:v>5.8746292183958736E-2</c:v>
                </c:pt>
                <c:pt idx="7">
                  <c:v>9.0008279347319142E-2</c:v>
                </c:pt>
                <c:pt idx="8">
                  <c:v>3.9438505433751631E-2</c:v>
                </c:pt>
                <c:pt idx="9">
                  <c:v>2.5810807289725634E-2</c:v>
                </c:pt>
              </c:numCache>
            </c:numRef>
          </c:yVal>
          <c:smooth val="0"/>
          <c:extLst>
            <c:ext xmlns:c16="http://schemas.microsoft.com/office/drawing/2014/chart" uri="{C3380CC4-5D6E-409C-BE32-E72D297353CC}">
              <c16:uniqueId val="{00000008-425D-4F9C-AF63-B34AD4F7A2E3}"/>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Horrizontal displacement (m)</a:t>
                </a:r>
              </a:p>
            </c:rich>
          </c:tx>
          <c:layout>
            <c:manualLayout>
              <c:xMode val="edge"/>
              <c:yMode val="edge"/>
              <c:x val="0.97342920833617863"/>
              <c:y val="0.45963252471438354"/>
            </c:manualLayout>
          </c:layout>
          <c:overlay val="0"/>
        </c:title>
        <c:numFmt formatCode="General"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1"/>
          <c:order val="0"/>
          <c:tx>
            <c:v>SM1</c:v>
          </c:tx>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plus>
            <c:minus>
              <c:numRef>
                <c:f>'Movement graphs v2'!$AQ$10:$AQ$22</c:f>
                <c:numCache>
                  <c:formatCode>General</c:formatCode>
                  <c:ptCount val="13"/>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v2'!$AV$10:$AV$22</c:f>
              <c:numCache>
                <c:formatCode>0.00</c:formatCode>
                <c:ptCount val="13"/>
                <c:pt idx="0">
                  <c:v>-0.14348575000002484</c:v>
                </c:pt>
                <c:pt idx="1">
                  <c:v>-0.1194427500000188</c:v>
                </c:pt>
                <c:pt idx="2">
                  <c:v>-0.10315074999999752</c:v>
                </c:pt>
                <c:pt idx="3">
                  <c:v>-6.2889750000010736E-2</c:v>
                </c:pt>
                <c:pt idx="4">
                  <c:v>1.7072499999812862E-3</c:v>
                </c:pt>
                <c:pt idx="5">
                  <c:v>-4.268475000003491E-2</c:v>
                </c:pt>
                <c:pt idx="6">
                  <c:v>-5.2467750000005253E-2</c:v>
                </c:pt>
                <c:pt idx="7">
                  <c:v>-3.705875000002834E-2</c:v>
                </c:pt>
                <c:pt idx="8">
                  <c:v>-1.7594750000000658E-2</c:v>
                </c:pt>
                <c:pt idx="9">
                  <c:v>-2.0266999999989821E-2</c:v>
                </c:pt>
                <c:pt idx="10">
                  <c:v>1.9026499999995394E-2</c:v>
                </c:pt>
                <c:pt idx="11">
                  <c:v>0</c:v>
                </c:pt>
                <c:pt idx="12" formatCode="General">
                  <c:v>0</c:v>
                </c:pt>
              </c:numCache>
            </c:numRef>
          </c:yVal>
          <c:smooth val="0"/>
          <c:extLst>
            <c:ext xmlns:c16="http://schemas.microsoft.com/office/drawing/2014/chart" uri="{C3380CC4-5D6E-409C-BE32-E72D297353CC}">
              <c16:uniqueId val="{00000000-8F3A-4EA9-8FC4-CC56AD923D09}"/>
            </c:ext>
          </c:extLst>
        </c:ser>
        <c:ser>
          <c:idx val="0"/>
          <c:order val="1"/>
          <c:tx>
            <c:v>SM2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v2'!$AV$26:$AV$38</c:f>
              <c:numCache>
                <c:formatCode>0.00</c:formatCode>
                <c:ptCount val="13"/>
                <c:pt idx="0">
                  <c:v>-0.14412575000000061</c:v>
                </c:pt>
                <c:pt idx="1">
                  <c:v>-0.13500275000001238</c:v>
                </c:pt>
                <c:pt idx="2">
                  <c:v>-9.0863749999982701E-2</c:v>
                </c:pt>
                <c:pt idx="3">
                  <c:v>-5.3293749999966167E-2</c:v>
                </c:pt>
                <c:pt idx="4">
                  <c:v>-7.5247499999591128E-3</c:v>
                </c:pt>
                <c:pt idx="5">
                  <c:v>-4.8807749999980388E-2</c:v>
                </c:pt>
                <c:pt idx="6">
                  <c:v>-5.4197750000014366E-2</c:v>
                </c:pt>
                <c:pt idx="7">
                  <c:v>-4.6116749999953299E-2</c:v>
                </c:pt>
                <c:pt idx="8">
                  <c:v>-3.0850749999956406E-2</c:v>
                </c:pt>
                <c:pt idx="9">
                  <c:v>-2.3758999999984098E-2</c:v>
                </c:pt>
                <c:pt idx="10">
                  <c:v>6.0265000000185864E-3</c:v>
                </c:pt>
                <c:pt idx="11">
                  <c:v>-1.6999999999995907E-2</c:v>
                </c:pt>
                <c:pt idx="12" formatCode="General">
                  <c:v>0</c:v>
                </c:pt>
              </c:numCache>
            </c:numRef>
          </c:yVal>
          <c:smooth val="0"/>
          <c:extLst>
            <c:ext xmlns:c16="http://schemas.microsoft.com/office/drawing/2014/chart" uri="{C3380CC4-5D6E-409C-BE32-E72D297353CC}">
              <c16:uniqueId val="{00000001-8F3A-4EA9-8FC4-CC56AD923D09}"/>
            </c:ext>
          </c:extLst>
        </c:ser>
        <c:ser>
          <c:idx val="2"/>
          <c:order val="2"/>
          <c:tx>
            <c:v>SM3</c:v>
          </c:tx>
          <c:xVal>
            <c:numRef>
              <c:f>('Movement graphs v2'!$AL$44:$AL$45,'Movement graphs v2'!$AL$47:$AL$54)</c:f>
              <c:numCache>
                <c:formatCode>m/d/yyyy</c:formatCode>
                <c:ptCount val="10"/>
                <c:pt idx="0">
                  <c:v>43817</c:v>
                </c:pt>
                <c:pt idx="1">
                  <c:v>43382</c:v>
                </c:pt>
                <c:pt idx="2">
                  <c:v>43019</c:v>
                </c:pt>
                <c:pt idx="3">
                  <c:v>42915</c:v>
                </c:pt>
                <c:pt idx="4">
                  <c:v>42814</c:v>
                </c:pt>
                <c:pt idx="5">
                  <c:v>42718</c:v>
                </c:pt>
                <c:pt idx="6">
                  <c:v>42666</c:v>
                </c:pt>
                <c:pt idx="7">
                  <c:v>42562</c:v>
                </c:pt>
                <c:pt idx="8">
                  <c:v>42446</c:v>
                </c:pt>
                <c:pt idx="9">
                  <c:v>42345</c:v>
                </c:pt>
              </c:numCache>
            </c:numRef>
          </c:xVal>
          <c:yVal>
            <c:numRef>
              <c:f>('Movement graphs v2'!$AV$44:$AV$45,'Movement graphs v2'!$AV$47:$AV$54)</c:f>
              <c:numCache>
                <c:formatCode>0.00</c:formatCode>
                <c:ptCount val="10"/>
                <c:pt idx="0">
                  <c:v>-5.4466750000017328E-2</c:v>
                </c:pt>
                <c:pt idx="1">
                  <c:v>-5.833074999998189E-2</c:v>
                </c:pt>
                <c:pt idx="2">
                  <c:v>-2.1640750000017306E-2</c:v>
                </c:pt>
                <c:pt idx="3">
                  <c:v>4.6971250000012787E-2</c:v>
                </c:pt>
                <c:pt idx="4">
                  <c:v>-3.5440750000020671E-2</c:v>
                </c:pt>
                <c:pt idx="5">
                  <c:v>-3.7347500000350919E-3</c:v>
                </c:pt>
                <c:pt idx="6">
                  <c:v>-1.4089749999982359E-2</c:v>
                </c:pt>
                <c:pt idx="7">
                  <c:v>-6.3867499999901156E-3</c:v>
                </c:pt>
                <c:pt idx="8">
                  <c:v>-1.6189999999994598E-2</c:v>
                </c:pt>
                <c:pt idx="9">
                  <c:v>3.6026500000048145E-2</c:v>
                </c:pt>
              </c:numCache>
            </c:numRef>
          </c:yVal>
          <c:smooth val="0"/>
          <c:extLst>
            <c:ext xmlns:c16="http://schemas.microsoft.com/office/drawing/2014/chart" uri="{C3380CC4-5D6E-409C-BE32-E72D297353CC}">
              <c16:uniqueId val="{00000002-8F3A-4EA9-8FC4-CC56AD923D09}"/>
            </c:ext>
          </c:extLst>
        </c:ser>
        <c:ser>
          <c:idx val="3"/>
          <c:order val="3"/>
          <c:tx>
            <c:v>SM4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v2'!$AV$60:$AV$72</c:f>
              <c:numCache>
                <c:formatCode>0.00</c:formatCode>
                <c:ptCount val="13"/>
                <c:pt idx="0">
                  <c:v>-7.065575000001445E-2</c:v>
                </c:pt>
                <c:pt idx="1">
                  <c:v>-7.3589749999996457E-2</c:v>
                </c:pt>
                <c:pt idx="2">
                  <c:v>-4.815574999997807E-2</c:v>
                </c:pt>
                <c:pt idx="3">
                  <c:v>-9.1977499999984502E-3</c:v>
                </c:pt>
                <c:pt idx="4">
                  <c:v>3.3379249999995864E-2</c:v>
                </c:pt>
                <c:pt idx="5">
                  <c:v>-2.2423750000029941E-2</c:v>
                </c:pt>
                <c:pt idx="6">
                  <c:v>-1.7767499999763459E-3</c:v>
                </c:pt>
                <c:pt idx="7">
                  <c:v>-2.8393749999963802E-2</c:v>
                </c:pt>
                <c:pt idx="8">
                  <c:v>-2.0390749999990021E-2</c:v>
                </c:pt>
                <c:pt idx="9">
                  <c:v>-9.8830000000020846E-3</c:v>
                </c:pt>
                <c:pt idx="10">
                  <c:v>1.4026500000056785E-2</c:v>
                </c:pt>
                <c:pt idx="11">
                  <c:v>-2.0000000000095497E-3</c:v>
                </c:pt>
                <c:pt idx="12" formatCode="General">
                  <c:v>0</c:v>
                </c:pt>
              </c:numCache>
            </c:numRef>
          </c:yVal>
          <c:smooth val="0"/>
          <c:extLst>
            <c:ext xmlns:c16="http://schemas.microsoft.com/office/drawing/2014/chart" uri="{C3380CC4-5D6E-409C-BE32-E72D297353CC}">
              <c16:uniqueId val="{00000003-8F3A-4EA9-8FC4-CC56AD923D09}"/>
            </c:ext>
          </c:extLst>
        </c:ser>
        <c:ser>
          <c:idx val="4"/>
          <c:order val="4"/>
          <c:tx>
            <c:v>SM5</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v2'!$AV$77:$AV$89</c:f>
              <c:numCache>
                <c:formatCode>0.00</c:formatCode>
                <c:ptCount val="13"/>
                <c:pt idx="0">
                  <c:v>-0.17641075000000228</c:v>
                </c:pt>
                <c:pt idx="1">
                  <c:v>-0.13248674999999821</c:v>
                </c:pt>
                <c:pt idx="2">
                  <c:v>-0.11016274999997222</c:v>
                </c:pt>
                <c:pt idx="3">
                  <c:v>-7.7206749999959357E-2</c:v>
                </c:pt>
                <c:pt idx="4">
                  <c:v>-2.1237750000011602E-2</c:v>
                </c:pt>
                <c:pt idx="5">
                  <c:v>-6.0266749999982494E-2</c:v>
                </c:pt>
                <c:pt idx="6">
                  <c:v>-6.3908749999995962E-2</c:v>
                </c:pt>
                <c:pt idx="7">
                  <c:v>-6.3329749999979867E-2</c:v>
                </c:pt>
                <c:pt idx="8">
                  <c:v>-5.8370749999994587E-2</c:v>
                </c:pt>
                <c:pt idx="9">
                  <c:v>-1.3541999999972631E-2</c:v>
                </c:pt>
                <c:pt idx="10">
                  <c:v>1.0026500000037686E-2</c:v>
                </c:pt>
                <c:pt idx="11">
                  <c:v>-7.9999999999813554E-3</c:v>
                </c:pt>
                <c:pt idx="12" formatCode="General">
                  <c:v>0</c:v>
                </c:pt>
              </c:numCache>
            </c:numRef>
          </c:yVal>
          <c:smooth val="0"/>
          <c:extLst>
            <c:ext xmlns:c16="http://schemas.microsoft.com/office/drawing/2014/chart" uri="{C3380CC4-5D6E-409C-BE32-E72D297353CC}">
              <c16:uniqueId val="{00000004-8F3A-4EA9-8FC4-CC56AD923D09}"/>
            </c:ext>
          </c:extLst>
        </c:ser>
        <c:ser>
          <c:idx val="5"/>
          <c:order val="5"/>
          <c:tx>
            <c:v>SM6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v2'!$AV$93:$AV$105</c:f>
              <c:numCache>
                <c:formatCode>0.00</c:formatCode>
                <c:ptCount val="13"/>
                <c:pt idx="0">
                  <c:v>-0.13738074999997707</c:v>
                </c:pt>
                <c:pt idx="1">
                  <c:v>-9.946975000002567E-2</c:v>
                </c:pt>
                <c:pt idx="2">
                  <c:v>-7.7068750000023556E-2</c:v>
                </c:pt>
                <c:pt idx="3">
                  <c:v>3.4621249999986503E-2</c:v>
                </c:pt>
                <c:pt idx="4">
                  <c:v>9.2492499999821121E-3</c:v>
                </c:pt>
                <c:pt idx="5">
                  <c:v>-2.658774999997604E-2</c:v>
                </c:pt>
                <c:pt idx="6">
                  <c:v>-3.1843750000007276E-2</c:v>
                </c:pt>
                <c:pt idx="7">
                  <c:v>-3.157074999995757E-2</c:v>
                </c:pt>
                <c:pt idx="8">
                  <c:v>-2.4183749999963311E-2</c:v>
                </c:pt>
                <c:pt idx="9">
                  <c:v>3.7030000000299879E-3</c:v>
                </c:pt>
                <c:pt idx="10">
                  <c:v>5.0265000000422333E-3</c:v>
                </c:pt>
                <c:pt idx="11">
                  <c:v>-2.8999999999996362E-2</c:v>
                </c:pt>
                <c:pt idx="12" formatCode="General">
                  <c:v>0</c:v>
                </c:pt>
              </c:numCache>
            </c:numRef>
          </c:yVal>
          <c:smooth val="0"/>
          <c:extLst>
            <c:ext xmlns:c16="http://schemas.microsoft.com/office/drawing/2014/chart" uri="{C3380CC4-5D6E-409C-BE32-E72D297353CC}">
              <c16:uniqueId val="{00000005-8F3A-4EA9-8FC4-CC56AD923D09}"/>
            </c:ext>
          </c:extLst>
        </c:ser>
        <c:ser>
          <c:idx val="6"/>
          <c:order val="6"/>
          <c:tx>
            <c:v>SM7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v2'!$AV$109:$AV$121</c:f>
              <c:numCache>
                <c:formatCode>0.00</c:formatCode>
                <c:ptCount val="13"/>
                <c:pt idx="0">
                  <c:v>-8.5759250000023712E-2</c:v>
                </c:pt>
                <c:pt idx="1">
                  <c:v>-8.3877250000000458E-2</c:v>
                </c:pt>
                <c:pt idx="2">
                  <c:v>-6.0052250000012464E-2</c:v>
                </c:pt>
                <c:pt idx="3">
                  <c:v>-3.2804250000026514E-2</c:v>
                </c:pt>
                <c:pt idx="4">
                  <c:v>1.368774999997413E-2</c:v>
                </c:pt>
                <c:pt idx="5">
                  <c:v>-4.6251250000011623E-2</c:v>
                </c:pt>
                <c:pt idx="6">
                  <c:v>-4.0531250000015007E-2</c:v>
                </c:pt>
                <c:pt idx="7">
                  <c:v>-2.2816250000005311E-2</c:v>
                </c:pt>
                <c:pt idx="8">
                  <c:v>-2.8099250000025222E-2</c:v>
                </c:pt>
                <c:pt idx="9">
                  <c:v>1.6026500000009491E-2</c:v>
                </c:pt>
                <c:pt idx="10">
                  <c:v>0</c:v>
                </c:pt>
                <c:pt idx="11">
                  <c:v>0</c:v>
                </c:pt>
                <c:pt idx="12" formatCode="General">
                  <c:v>0</c:v>
                </c:pt>
              </c:numCache>
            </c:numRef>
          </c:yVal>
          <c:smooth val="0"/>
          <c:extLst>
            <c:ext xmlns:c16="http://schemas.microsoft.com/office/drawing/2014/chart" uri="{C3380CC4-5D6E-409C-BE32-E72D297353CC}">
              <c16:uniqueId val="{00000006-8F3A-4EA9-8FC4-CC56AD923D09}"/>
            </c:ext>
          </c:extLst>
        </c:ser>
        <c:ser>
          <c:idx val="7"/>
          <c:order val="7"/>
          <c:tx>
            <c:v>TBM1</c:v>
          </c:tx>
          <c:marker>
            <c:symbol val="diamond"/>
            <c:size val="7"/>
          </c:marker>
          <c:xVal>
            <c:numRef>
              <c:f>('Movement graphs v2'!$AL$173:$AL$175,'Movement graphs v2'!$AL$178,'Movement graphs v2'!$AL$181:$AL$185)</c:f>
              <c:numCache>
                <c:formatCode>m/d/yyyy</c:formatCode>
                <c:ptCount val="9"/>
                <c:pt idx="0">
                  <c:v>43817</c:v>
                </c:pt>
                <c:pt idx="1">
                  <c:v>43382</c:v>
                </c:pt>
                <c:pt idx="2">
                  <c:v>43186</c:v>
                </c:pt>
                <c:pt idx="3">
                  <c:v>42814</c:v>
                </c:pt>
                <c:pt idx="4">
                  <c:v>42562</c:v>
                </c:pt>
                <c:pt idx="5">
                  <c:v>42446</c:v>
                </c:pt>
                <c:pt idx="6">
                  <c:v>42345</c:v>
                </c:pt>
                <c:pt idx="7">
                  <c:v>42277</c:v>
                </c:pt>
                <c:pt idx="8">
                  <c:v>42188</c:v>
                </c:pt>
              </c:numCache>
            </c:numRef>
          </c:xVal>
          <c:yVal>
            <c:numRef>
              <c:f>('Movement graphs v2'!$AV$173:$AV$175,'Movement graphs v2'!$AV$178,'Movement graphs v2'!$AV$181:$AV$184)</c:f>
              <c:numCache>
                <c:formatCode>0.00</c:formatCode>
                <c:ptCount val="8"/>
                <c:pt idx="0">
                  <c:v>-3.4607500000447544E-3</c:v>
                </c:pt>
                <c:pt idx="1">
                  <c:v>1.7479249999951207E-2</c:v>
                </c:pt>
                <c:pt idx="2">
                  <c:v>2.8461249999963911E-2</c:v>
                </c:pt>
                <c:pt idx="3">
                  <c:v>6.0802249999994729E-2</c:v>
                </c:pt>
                <c:pt idx="4">
                  <c:v>-1.3063750000014807E-2</c:v>
                </c:pt>
                <c:pt idx="5">
                  <c:v>-1.3706000000013319E-2</c:v>
                </c:pt>
                <c:pt idx="6">
                  <c:v>1.7026499999985845E-2</c:v>
                </c:pt>
                <c:pt idx="7">
                  <c:v>-1.0000000000331966E-3</c:v>
                </c:pt>
              </c:numCache>
            </c:numRef>
          </c:yVal>
          <c:smooth val="0"/>
          <c:extLst>
            <c:ext xmlns:c16="http://schemas.microsoft.com/office/drawing/2014/chart" uri="{C3380CC4-5D6E-409C-BE32-E72D297353CC}">
              <c16:uniqueId val="{00000007-8F3A-4EA9-8FC4-CC56AD923D09}"/>
            </c:ext>
          </c:extLst>
        </c:ser>
        <c:ser>
          <c:idx val="8"/>
          <c:order val="8"/>
          <c:tx>
            <c:v>SM15</c:v>
          </c:tx>
          <c:marker>
            <c:symbol val="triangle"/>
            <c:size val="7"/>
          </c:marker>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v2'!$AV$189:$AV$200</c:f>
              <c:numCache>
                <c:formatCode>0.00</c:formatCode>
                <c:ptCount val="12"/>
                <c:pt idx="0">
                  <c:v>-0.22023625000002767</c:v>
                </c:pt>
                <c:pt idx="1">
                  <c:v>-0.13810225000003129</c:v>
                </c:pt>
                <c:pt idx="2">
                  <c:v>-9.3384250000042357E-2</c:v>
                </c:pt>
                <c:pt idx="3">
                  <c:v>-4.8912250000057611E-2</c:v>
                </c:pt>
                <c:pt idx="4">
                  <c:v>5.9127499999362954E-3</c:v>
                </c:pt>
                <c:pt idx="5">
                  <c:v>-6.5193250000049829E-2</c:v>
                </c:pt>
                <c:pt idx="6">
                  <c:v>-3.2735250000030192E-2</c:v>
                </c:pt>
                <c:pt idx="7">
                  <c:v>-4.0910250000024462E-2</c:v>
                </c:pt>
                <c:pt idx="8">
                  <c:v>-2.5468250000017179E-2</c:v>
                </c:pt>
                <c:pt idx="9">
                  <c:v>-2.7461500000015349E-2</c:v>
                </c:pt>
                <c:pt idx="10">
                  <c:v>0</c:v>
                </c:pt>
                <c:pt idx="11">
                  <c:v>0</c:v>
                </c:pt>
              </c:numCache>
            </c:numRef>
          </c:yVal>
          <c:smooth val="0"/>
          <c:extLst>
            <c:ext xmlns:c16="http://schemas.microsoft.com/office/drawing/2014/chart" uri="{C3380CC4-5D6E-409C-BE32-E72D297353CC}">
              <c16:uniqueId val="{00000008-8F3A-4EA9-8FC4-CC56AD923D09}"/>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0.25"/>
        <c:crossBetween val="midCat"/>
        <c:majorUnit val="182.5"/>
      </c:valAx>
      <c:valAx>
        <c:axId val="181594368"/>
        <c:scaling>
          <c:orientation val="minMax"/>
        </c:scaling>
        <c:delete val="0"/>
        <c:axPos val="l"/>
        <c:title>
          <c:tx>
            <c:rich>
              <a:bodyPr rot="-5400000" vert="horz"/>
              <a:lstStyle/>
              <a:p>
                <a:pPr>
                  <a:defRPr/>
                </a:pPr>
                <a:r>
                  <a:rPr lang="en-NZ" b="0"/>
                  <a:t>Cumulative v</a:t>
                </a:r>
                <a:r>
                  <a:rPr lang="en-NZ" sz="1000" b="1" i="0" u="none" strike="noStrike" baseline="0">
                    <a:effectLst/>
                  </a:rPr>
                  <a:t>cum V disp</a:t>
                </a:r>
                <a:r>
                  <a:rPr lang="en-NZ" sz="1000" b="1" i="0" u="none" strike="noStrike" baseline="0"/>
                  <a:t> </a:t>
                </a:r>
                <a:r>
                  <a:rPr lang="en-NZ" b="0"/>
                  <a:t>ertical displacement (m)</a:t>
                </a:r>
              </a:p>
            </c:rich>
          </c:tx>
          <c:overlay val="0"/>
        </c:title>
        <c:numFmt formatCode="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v2'!$AQ$205:$AQ$216</c:f>
                <c:numCache>
                  <c:formatCode>General</c:formatCode>
                  <c:ptCount val="12"/>
                  <c:pt idx="0">
                    <c:v>2.0982000000000001E-2</c:v>
                  </c:pt>
                  <c:pt idx="1">
                    <c:v>2.6064999999999998E-2</c:v>
                  </c:pt>
                  <c:pt idx="2">
                    <c:v>3.3488999999999998E-2</c:v>
                  </c:pt>
                  <c:pt idx="3">
                    <c:v>4.0834000000000002E-2</c:v>
                  </c:pt>
                  <c:pt idx="5">
                    <c:v>2.3490999999999998E-2</c:v>
                  </c:pt>
                  <c:pt idx="6">
                    <c:v>2.9884000000000001E-2</c:v>
                  </c:pt>
                  <c:pt idx="7">
                    <c:v>4.3029000000000005E-2</c:v>
                  </c:pt>
                  <c:pt idx="8">
                    <c:v>3.7111999999999999E-2</c:v>
                  </c:pt>
                  <c:pt idx="9">
                    <c:v>3.9140000000000001E-2</c:v>
                  </c:pt>
                  <c:pt idx="10">
                    <c:v>1.8000000000000002E-2</c:v>
                  </c:pt>
                </c:numCache>
              </c:numRef>
            </c:plus>
            <c:minus>
              <c:numRef>
                <c:f>'Movement graphs v2'!$AQ$205:$AQ$216</c:f>
                <c:numCache>
                  <c:formatCode>General</c:formatCode>
                  <c:ptCount val="12"/>
                  <c:pt idx="0">
                    <c:v>2.0982000000000001E-2</c:v>
                  </c:pt>
                  <c:pt idx="1">
                    <c:v>2.6064999999999998E-2</c:v>
                  </c:pt>
                  <c:pt idx="2">
                    <c:v>3.3488999999999998E-2</c:v>
                  </c:pt>
                  <c:pt idx="3">
                    <c:v>4.0834000000000002E-2</c:v>
                  </c:pt>
                  <c:pt idx="5">
                    <c:v>2.3490999999999998E-2</c:v>
                  </c:pt>
                  <c:pt idx="6">
                    <c:v>2.9884000000000001E-2</c:v>
                  </c:pt>
                  <c:pt idx="7">
                    <c:v>4.3029000000000005E-2</c:v>
                  </c:pt>
                  <c:pt idx="8">
                    <c:v>3.7111999999999999E-2</c:v>
                  </c:pt>
                  <c:pt idx="9">
                    <c:v>3.9140000000000001E-2</c:v>
                  </c:pt>
                  <c:pt idx="10">
                    <c:v>1.8000000000000002E-2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v2'!$AT$205:$AT$216</c:f>
              <c:numCache>
                <c:formatCode>0.000</c:formatCode>
                <c:ptCount val="12"/>
                <c:pt idx="0">
                  <c:v>4.9946274923065147E-3</c:v>
                </c:pt>
                <c:pt idx="1">
                  <c:v>8.245260433949915E-3</c:v>
                </c:pt>
                <c:pt idx="2">
                  <c:v>4.8211115369365997E-3</c:v>
                </c:pt>
                <c:pt idx="3">
                  <c:v>5.3948616575613664E-3</c:v>
                </c:pt>
                <c:pt idx="5">
                  <c:v>4.646111204552209E-3</c:v>
                </c:pt>
                <c:pt idx="6">
                  <c:v>2.0429699200518764E-2</c:v>
                </c:pt>
                <c:pt idx="7">
                  <c:v>8.336019747291144E-3</c:v>
                </c:pt>
                <c:pt idx="8">
                  <c:v>1.1783695653590782E-3</c:v>
                </c:pt>
                <c:pt idx="9">
                  <c:v>3.8495532546120058E-2</c:v>
                </c:pt>
                <c:pt idx="10">
                  <c:v>4.2238760704444496E-2</c:v>
                </c:pt>
              </c:numCache>
            </c:numRef>
          </c:yVal>
          <c:smooth val="0"/>
          <c:extLst>
            <c:ext xmlns:c16="http://schemas.microsoft.com/office/drawing/2014/chart" uri="{C3380CC4-5D6E-409C-BE32-E72D297353CC}">
              <c16:uniqueId val="{00000000-816A-4367-8012-1E14188458F8}"/>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v2'!$AQ$205:$AQ$216</c:f>
                <c:numCache>
                  <c:formatCode>General</c:formatCode>
                  <c:ptCount val="12"/>
                  <c:pt idx="0">
                    <c:v>2.0982000000000001E-2</c:v>
                  </c:pt>
                  <c:pt idx="1">
                    <c:v>2.6064999999999998E-2</c:v>
                  </c:pt>
                  <c:pt idx="2">
                    <c:v>3.3488999999999998E-2</c:v>
                  </c:pt>
                  <c:pt idx="3">
                    <c:v>4.0834000000000002E-2</c:v>
                  </c:pt>
                  <c:pt idx="5">
                    <c:v>2.3490999999999998E-2</c:v>
                  </c:pt>
                  <c:pt idx="6">
                    <c:v>2.9884000000000001E-2</c:v>
                  </c:pt>
                  <c:pt idx="7">
                    <c:v>4.3029000000000005E-2</c:v>
                  </c:pt>
                  <c:pt idx="8">
                    <c:v>3.7111999999999999E-2</c:v>
                  </c:pt>
                  <c:pt idx="9">
                    <c:v>3.9140000000000001E-2</c:v>
                  </c:pt>
                  <c:pt idx="10">
                    <c:v>1.8000000000000002E-2</c:v>
                  </c:pt>
                </c:numCache>
              </c:numRef>
            </c:plus>
            <c:minus>
              <c:numRef>
                <c:f>'Movement graphs v2'!$AQ$205:$AQ$216</c:f>
                <c:numCache>
                  <c:formatCode>General</c:formatCode>
                  <c:ptCount val="12"/>
                  <c:pt idx="0">
                    <c:v>2.0982000000000001E-2</c:v>
                  </c:pt>
                  <c:pt idx="1">
                    <c:v>2.6064999999999998E-2</c:v>
                  </c:pt>
                  <c:pt idx="2">
                    <c:v>3.3488999999999998E-2</c:v>
                  </c:pt>
                  <c:pt idx="3">
                    <c:v>4.0834000000000002E-2</c:v>
                  </c:pt>
                  <c:pt idx="5">
                    <c:v>2.3490999999999998E-2</c:v>
                  </c:pt>
                  <c:pt idx="6">
                    <c:v>2.9884000000000001E-2</c:v>
                  </c:pt>
                  <c:pt idx="7">
                    <c:v>4.3029000000000005E-2</c:v>
                  </c:pt>
                  <c:pt idx="8">
                    <c:v>3.7111999999999999E-2</c:v>
                  </c:pt>
                  <c:pt idx="9">
                    <c:v>3.9140000000000001E-2</c:v>
                  </c:pt>
                  <c:pt idx="10">
                    <c:v>1.8000000000000002E-2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v2'!$AU$205:$AU$216</c:f>
              <c:numCache>
                <c:formatCode>0.00</c:formatCode>
                <c:ptCount val="12"/>
                <c:pt idx="0">
                  <c:v>0.4829709271967832</c:v>
                </c:pt>
                <c:pt idx="1">
                  <c:v>0.41288502528861115</c:v>
                </c:pt>
                <c:pt idx="2">
                  <c:v>0.36075370125460526</c:v>
                </c:pt>
                <c:pt idx="3">
                  <c:v>0.33478190684594683</c:v>
                </c:pt>
                <c:pt idx="5">
                  <c:v>0.29910620878787975</c:v>
                </c:pt>
                <c:pt idx="6">
                  <c:v>0.28471825150926644</c:v>
                </c:pt>
                <c:pt idx="7">
                  <c:v>0.25044907865678334</c:v>
                </c:pt>
                <c:pt idx="8">
                  <c:v>0.22248307692393565</c:v>
                </c:pt>
                <c:pt idx="9">
                  <c:v>0.2180736940342049</c:v>
                </c:pt>
                <c:pt idx="10">
                  <c:v>9.2652765416200822E-2</c:v>
                </c:pt>
                <c:pt idx="11">
                  <c:v>0</c:v>
                </c:pt>
              </c:numCache>
            </c:numRef>
          </c:yVal>
          <c:smooth val="0"/>
          <c:extLst>
            <c:ext xmlns:c16="http://schemas.microsoft.com/office/drawing/2014/chart" uri="{C3380CC4-5D6E-409C-BE32-E72D297353CC}">
              <c16:uniqueId val="{00000001-816A-4367-8012-1E14188458F8}"/>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v2'!$AQ$222:$AQ$233</c:f>
                <c:numCache>
                  <c:formatCode>General</c:formatCode>
                  <c:ptCount val="12"/>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pt idx="11">
                    <c:v>0.01</c:v>
                  </c:pt>
                </c:numCache>
              </c:numRef>
            </c:plus>
            <c:minus>
              <c:numRef>
                <c:f>'Movement graphs v2'!$AQ$222:$AQ$233</c:f>
                <c:numCache>
                  <c:formatCode>General</c:formatCode>
                  <c:ptCount val="12"/>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pt idx="11">
                    <c:v>0.01</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v2'!$AT$222:$AT$233</c:f>
              <c:numCache>
                <c:formatCode>0.000</c:formatCode>
                <c:ptCount val="12"/>
                <c:pt idx="0">
                  <c:v>3.0428939595505619E-3</c:v>
                </c:pt>
                <c:pt idx="1">
                  <c:v>7.9446212998904846E-3</c:v>
                </c:pt>
                <c:pt idx="2">
                  <c:v>8.7959529838935908E-3</c:v>
                </c:pt>
                <c:pt idx="3">
                  <c:v>1.6119353411566093E-2</c:v>
                </c:pt>
                <c:pt idx="4">
                  <c:v>1.141736285464302E-2</c:v>
                </c:pt>
                <c:pt idx="5">
                  <c:v>1.7120158037960041E-2</c:v>
                </c:pt>
                <c:pt idx="6">
                  <c:v>4.7422381122004288E-3</c:v>
                </c:pt>
                <c:pt idx="7">
                  <c:v>3.7201249554521484E-3</c:v>
                </c:pt>
                <c:pt idx="8">
                  <c:v>1.0890751900994502E-2</c:v>
                </c:pt>
                <c:pt idx="9">
                  <c:v>4.125173065163884E-2</c:v>
                </c:pt>
                <c:pt idx="10">
                  <c:v>2.3370845964372187E-2</c:v>
                </c:pt>
              </c:numCache>
            </c:numRef>
          </c:yVal>
          <c:smooth val="0"/>
          <c:extLst>
            <c:ext xmlns:c16="http://schemas.microsoft.com/office/drawing/2014/chart" uri="{C3380CC4-5D6E-409C-BE32-E72D297353CC}">
              <c16:uniqueId val="{00000000-BC28-45B3-9A42-24ADDEE26887}"/>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v2'!$AQ$222:$AQ$232</c:f>
                <c:numCache>
                  <c:formatCode>General</c:formatCode>
                  <c:ptCount val="11"/>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numCache>
              </c:numRef>
            </c:plus>
            <c:minus>
              <c:numRef>
                <c:f>'Movement graphs v2'!$AQ$222:$AQ$232</c:f>
                <c:numCache>
                  <c:formatCode>General</c:formatCode>
                  <c:ptCount val="11"/>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v2'!$AU$222:$AU$233</c:f>
              <c:numCache>
                <c:formatCode>0.00</c:formatCode>
                <c:ptCount val="12"/>
                <c:pt idx="0">
                  <c:v>0.43103625824866737</c:v>
                </c:pt>
                <c:pt idx="1">
                  <c:v>0.41179731579473478</c:v>
                </c:pt>
                <c:pt idx="2">
                  <c:v>0.36899887201790538</c:v>
                </c:pt>
                <c:pt idx="3">
                  <c:v>0.33948986845903656</c:v>
                </c:pt>
                <c:pt idx="4">
                  <c:v>0.28697197508586958</c:v>
                </c:pt>
                <c:pt idx="5">
                  <c:v>0.25161498043923314</c:v>
                </c:pt>
                <c:pt idx="6">
                  <c:v>0.22289729598846145</c:v>
                </c:pt>
                <c:pt idx="7">
                  <c:v>0.20698785199914388</c:v>
                </c:pt>
                <c:pt idx="8">
                  <c:v>0.19306738442390359</c:v>
                </c:pt>
                <c:pt idx="9">
                  <c:v>0.15758461210130859</c:v>
                </c:pt>
                <c:pt idx="10">
                  <c:v>6.7096944865455629E-2</c:v>
                </c:pt>
                <c:pt idx="11" formatCode="0.0">
                  <c:v>0</c:v>
                </c:pt>
              </c:numCache>
            </c:numRef>
          </c:yVal>
          <c:smooth val="0"/>
          <c:extLst>
            <c:ext xmlns:c16="http://schemas.microsoft.com/office/drawing/2014/chart" uri="{C3380CC4-5D6E-409C-BE32-E72D297353CC}">
              <c16:uniqueId val="{00000001-BC28-45B3-9A42-24ADDEE26887}"/>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v2'!$AQ$222:$AQ$233</c:f>
                <c:numCache>
                  <c:formatCode>General</c:formatCode>
                  <c:ptCount val="12"/>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pt idx="11">
                    <c:v>0.01</c:v>
                  </c:pt>
                </c:numCache>
              </c:numRef>
            </c:plus>
            <c:minus>
              <c:numRef>
                <c:f>'Movement graphs v2'!$AQ$222:$AQ$233</c:f>
                <c:numCache>
                  <c:formatCode>General</c:formatCode>
                  <c:ptCount val="12"/>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pt idx="11">
                    <c:v>0.01</c:v>
                  </c:pt>
                </c:numCache>
              </c:numRef>
            </c:minus>
          </c:errBars>
          <c:errBars>
            <c:errDir val="x"/>
            <c:errBarType val="both"/>
            <c:errValType val="fixedVal"/>
            <c:noEndCap val="0"/>
            <c:val val="1"/>
          </c:errBars>
          <c:xVal>
            <c:numRef>
              <c:f>('Movement graphs v2'!$AL$237:$AL$239,'Movement graphs v2'!$AL$242:$AL$243,'Movement graphs v2'!$AL$245,'Movement graphs v2'!$AL$247,'Movement graphs v2'!$AL$249)</c:f>
              <c:numCache>
                <c:formatCode>m/d/yyyy</c:formatCode>
                <c:ptCount val="8"/>
                <c:pt idx="0">
                  <c:v>43817</c:v>
                </c:pt>
                <c:pt idx="1">
                  <c:v>43382</c:v>
                </c:pt>
                <c:pt idx="2">
                  <c:v>43186</c:v>
                </c:pt>
                <c:pt idx="3">
                  <c:v>42814</c:v>
                </c:pt>
                <c:pt idx="4">
                  <c:v>42718</c:v>
                </c:pt>
                <c:pt idx="5">
                  <c:v>42562</c:v>
                </c:pt>
                <c:pt idx="6">
                  <c:v>42345</c:v>
                </c:pt>
                <c:pt idx="7">
                  <c:v>42188</c:v>
                </c:pt>
              </c:numCache>
            </c:numRef>
          </c:xVal>
          <c:yVal>
            <c:numRef>
              <c:f>('Movement graphs v2'!$AT$237:$AT$239,'Movement graphs v2'!$AT$242:$AT$243,'Movement graphs v2'!$AT$245,'Movement graphs v2'!$AT$247,'Movement graphs v2'!$AT$249)</c:f>
              <c:numCache>
                <c:formatCode>0.000</c:formatCode>
                <c:ptCount val="8"/>
                <c:pt idx="0">
                  <c:v>6.6659790697847299E-3</c:v>
                </c:pt>
                <c:pt idx="1">
                  <c:v>1.376962493646924E-2</c:v>
                </c:pt>
                <c:pt idx="2">
                  <c:v>1.1381239368295094E-2</c:v>
                </c:pt>
                <c:pt idx="3">
                  <c:v>1.1776410260507044E-2</c:v>
                </c:pt>
                <c:pt idx="4">
                  <c:v>1.430701598766697E-2</c:v>
                </c:pt>
                <c:pt idx="5">
                  <c:v>8.3168334060126255E-3</c:v>
                </c:pt>
                <c:pt idx="6">
                  <c:v>5.6328866993983042E-3</c:v>
                </c:pt>
              </c:numCache>
            </c:numRef>
          </c:yVal>
          <c:smooth val="0"/>
          <c:extLst>
            <c:ext xmlns:c16="http://schemas.microsoft.com/office/drawing/2014/chart" uri="{C3380CC4-5D6E-409C-BE32-E72D297353CC}">
              <c16:uniqueId val="{00000000-7784-4E70-B8F1-C9F9E08865FE}"/>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v2'!$AQ$222:$AQ$232</c:f>
                <c:numCache>
                  <c:formatCode>General</c:formatCode>
                  <c:ptCount val="11"/>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numCache>
              </c:numRef>
            </c:plus>
            <c:minus>
              <c:numRef>
                <c:f>'Movement graphs v2'!$AQ$222:$AQ$232</c:f>
                <c:numCache>
                  <c:formatCode>General</c:formatCode>
                  <c:ptCount val="11"/>
                  <c:pt idx="0">
                    <c:v>2.6064999999999998E-2</c:v>
                  </c:pt>
                  <c:pt idx="1">
                    <c:v>3.3488999999999998E-2</c:v>
                  </c:pt>
                  <c:pt idx="2">
                    <c:v>4.0834000000000002E-2</c:v>
                  </c:pt>
                  <c:pt idx="3">
                    <c:v>0.01</c:v>
                  </c:pt>
                  <c:pt idx="4">
                    <c:v>2.3490999999999998E-2</c:v>
                  </c:pt>
                  <c:pt idx="5">
                    <c:v>2.9884000000000001E-2</c:v>
                  </c:pt>
                  <c:pt idx="6">
                    <c:v>4.3029000000000005E-2</c:v>
                  </c:pt>
                  <c:pt idx="7">
                    <c:v>3.7111999999999999E-2</c:v>
                  </c:pt>
                  <c:pt idx="8">
                    <c:v>3.9140000000000001E-2</c:v>
                  </c:pt>
                  <c:pt idx="9">
                    <c:v>1.8000000000000002E-2</c:v>
                  </c:pt>
                  <c:pt idx="10">
                    <c:v>1.7000000000000001E-2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v2'!$AL$237:$AL$239,'Movement graphs v2'!$AL$242:$AL$243,'Movement graphs v2'!$AL$245,'Movement graphs v2'!$AL$247,'Movement graphs v2'!$AL$249)</c:f>
              <c:numCache>
                <c:formatCode>m/d/yyyy</c:formatCode>
                <c:ptCount val="8"/>
                <c:pt idx="0">
                  <c:v>43817</c:v>
                </c:pt>
                <c:pt idx="1">
                  <c:v>43382</c:v>
                </c:pt>
                <c:pt idx="2">
                  <c:v>43186</c:v>
                </c:pt>
                <c:pt idx="3">
                  <c:v>42814</c:v>
                </c:pt>
                <c:pt idx="4">
                  <c:v>42718</c:v>
                </c:pt>
                <c:pt idx="5">
                  <c:v>42562</c:v>
                </c:pt>
                <c:pt idx="6">
                  <c:v>42345</c:v>
                </c:pt>
                <c:pt idx="7">
                  <c:v>42188</c:v>
                </c:pt>
              </c:numCache>
            </c:numRef>
          </c:xVal>
          <c:yVal>
            <c:numRef>
              <c:f>('Movement graphs v2'!$AU$237:$AU$239,'Movement graphs v2'!$AU$242:$AU$243,'Movement graphs v2'!$AU$245,'Movement graphs v2'!$AU$247,'Movement graphs v2'!$AU$249)</c:f>
              <c:numCache>
                <c:formatCode>0.00</c:formatCode>
                <c:ptCount val="8"/>
                <c:pt idx="0">
                  <c:v>0.51238433444855158</c:v>
                </c:pt>
                <c:pt idx="1">
                  <c:v>0.4188455958886691</c:v>
                </c:pt>
                <c:pt idx="2">
                  <c:v>0.33178603177421839</c:v>
                </c:pt>
                <c:pt idx="3">
                  <c:v>0.19521115935467731</c:v>
                </c:pt>
                <c:pt idx="4">
                  <c:v>0.15874227596730067</c:v>
                </c:pt>
                <c:pt idx="5">
                  <c:v>8.674567938420237E-2</c:v>
                </c:pt>
                <c:pt idx="6">
                  <c:v>2.8527845542113989E-2</c:v>
                </c:pt>
              </c:numCache>
            </c:numRef>
          </c:yVal>
          <c:smooth val="0"/>
          <c:extLst>
            <c:ext xmlns:c16="http://schemas.microsoft.com/office/drawing/2014/chart" uri="{C3380CC4-5D6E-409C-BE32-E72D297353CC}">
              <c16:uniqueId val="{00000001-7784-4E70-B8F1-C9F9E08865FE}"/>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SM17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v2'!$BU$92:$BU$104</c:f>
              <c:numCache>
                <c:formatCode>0.00</c:formatCode>
                <c:ptCount val="13"/>
                <c:pt idx="0">
                  <c:v>16.029335382562415</c:v>
                </c:pt>
                <c:pt idx="1">
                  <c:v>11.720995512156351</c:v>
                </c:pt>
                <c:pt idx="2">
                  <c:v>8.9034805102409429</c:v>
                </c:pt>
                <c:pt idx="3">
                  <c:v>7.0342122516929821</c:v>
                </c:pt>
                <c:pt idx="4">
                  <c:v>5.2421361878117594</c:v>
                </c:pt>
                <c:pt idx="5">
                  <c:v>4.0300701830311123</c:v>
                </c:pt>
                <c:pt idx="6">
                  <c:v>3.3937512997843013</c:v>
                </c:pt>
                <c:pt idx="8">
                  <c:v>1.3082544212246527</c:v>
                </c:pt>
                <c:pt idx="9">
                  <c:v>0.61447842736681402</c:v>
                </c:pt>
              </c:numCache>
            </c:numRef>
          </c:yVal>
          <c:smooth val="0"/>
          <c:extLst>
            <c:ext xmlns:c16="http://schemas.microsoft.com/office/drawing/2014/chart" uri="{C3380CC4-5D6E-409C-BE32-E72D297353CC}">
              <c16:uniqueId val="{0000000E-19D6-4DB2-B917-427589325E11}"/>
            </c:ext>
          </c:extLst>
        </c:ser>
        <c:ser>
          <c:idx val="3"/>
          <c:order val="1"/>
          <c:tx>
            <c:v>SM14</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v2'!$BU$60:$BU$72</c:f>
              <c:numCache>
                <c:formatCode>0.00</c:formatCode>
                <c:ptCount val="13"/>
                <c:pt idx="0">
                  <c:v>11.301810814016338</c:v>
                </c:pt>
                <c:pt idx="1">
                  <c:v>8.8397149828587764</c:v>
                </c:pt>
                <c:pt idx="2">
                  <c:v>6.9764109712121503</c:v>
                </c:pt>
                <c:pt idx="3">
                  <c:v>5.6533370642183254</c:v>
                </c:pt>
                <c:pt idx="4">
                  <c:v>4.2436158384122811</c:v>
                </c:pt>
                <c:pt idx="5">
                  <c:v>3.4437394279202134</c:v>
                </c:pt>
                <c:pt idx="6">
                  <c:v>3.0585732299737449</c:v>
                </c:pt>
                <c:pt idx="7">
                  <c:v>2.6387359838278401</c:v>
                </c:pt>
                <c:pt idx="8">
                  <c:v>1.6378131210438625</c:v>
                </c:pt>
                <c:pt idx="9">
                  <c:v>1.2707433208890866</c:v>
                </c:pt>
                <c:pt idx="10">
                  <c:v>0.93254985844862981</c:v>
                </c:pt>
                <c:pt idx="11">
                  <c:v>0.60135347365124425</c:v>
                </c:pt>
              </c:numCache>
            </c:numRef>
          </c:yVal>
          <c:smooth val="0"/>
          <c:extLst>
            <c:ext xmlns:c16="http://schemas.microsoft.com/office/drawing/2014/chart" uri="{C3380CC4-5D6E-409C-BE32-E72D297353CC}">
              <c16:uniqueId val="{0000000C-19D6-4DB2-B917-427589325E11}"/>
            </c:ext>
          </c:extLst>
        </c:ser>
        <c:ser>
          <c:idx val="0"/>
          <c:order val="2"/>
          <c:tx>
            <c:v>SM11</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v2'!$BU$10:$BU$22</c:f>
              <c:numCache>
                <c:formatCode>0.00</c:formatCode>
                <c:ptCount val="13"/>
                <c:pt idx="0">
                  <c:v>4.7020347896129557</c:v>
                </c:pt>
                <c:pt idx="1">
                  <c:v>3.5546421773123975</c:v>
                </c:pt>
                <c:pt idx="2">
                  <c:v>2.775936462671841</c:v>
                </c:pt>
                <c:pt idx="3">
                  <c:v>2.2583289323352993</c:v>
                </c:pt>
                <c:pt idx="4">
                  <c:v>1.7241617985320503</c:v>
                </c:pt>
                <c:pt idx="5">
                  <c:v>1.4415982496834223</c:v>
                </c:pt>
                <c:pt idx="7">
                  <c:v>1.1760224750746437</c:v>
                </c:pt>
                <c:pt idx="8">
                  <c:v>0.69192479802188989</c:v>
                </c:pt>
                <c:pt idx="9">
                  <c:v>0.473877847581612</c:v>
                </c:pt>
                <c:pt idx="10">
                  <c:v>0.34863932867597214</c:v>
                </c:pt>
                <c:pt idx="12" formatCode="0.0">
                  <c:v>0</c:v>
                </c:pt>
              </c:numCache>
            </c:numRef>
          </c:yVal>
          <c:smooth val="0"/>
          <c:extLst>
            <c:ext xmlns:c16="http://schemas.microsoft.com/office/drawing/2014/chart" uri="{C3380CC4-5D6E-409C-BE32-E72D297353CC}">
              <c16:uniqueId val="{00000009-19D6-4DB2-B917-427589325E11}"/>
            </c:ext>
          </c:extLst>
        </c:ser>
        <c:ser>
          <c:idx val="1"/>
          <c:order val="3"/>
          <c:tx>
            <c:v>SM12</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v2'!$BU$27:$BU$39</c:f>
              <c:numCache>
                <c:formatCode>0.00</c:formatCode>
                <c:ptCount val="13"/>
                <c:pt idx="0">
                  <c:v>3.9342536488857904</c:v>
                </c:pt>
                <c:pt idx="1">
                  <c:v>2.9304284538201086</c:v>
                </c:pt>
                <c:pt idx="2">
                  <c:v>2.2626109421203524</c:v>
                </c:pt>
                <c:pt idx="3">
                  <c:v>1.8592581070189949</c:v>
                </c:pt>
                <c:pt idx="4">
                  <c:v>1.439227419349864</c:v>
                </c:pt>
                <c:pt idx="5">
                  <c:v>1.1779855065018525</c:v>
                </c:pt>
                <c:pt idx="6">
                  <c:v>1.0666590832466714</c:v>
                </c:pt>
                <c:pt idx="7">
                  <c:v>0.96691024553817251</c:v>
                </c:pt>
                <c:pt idx="8">
                  <c:v>0.56026062699251666</c:v>
                </c:pt>
                <c:pt idx="9">
                  <c:v>0.41930397822949306</c:v>
                </c:pt>
                <c:pt idx="10">
                  <c:v>0.29320474225511062</c:v>
                </c:pt>
                <c:pt idx="11">
                  <c:v>0.22084610158363646</c:v>
                </c:pt>
              </c:numCache>
            </c:numRef>
          </c:yVal>
          <c:smooth val="0"/>
          <c:extLst>
            <c:ext xmlns:c16="http://schemas.microsoft.com/office/drawing/2014/chart" uri="{C3380CC4-5D6E-409C-BE32-E72D297353CC}">
              <c16:uniqueId val="{0000000A-19D6-4DB2-B917-427589325E11}"/>
            </c:ext>
          </c:extLst>
        </c:ser>
        <c:ser>
          <c:idx val="2"/>
          <c:order val="4"/>
          <c:tx>
            <c:v>SM13</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v2'!$BU$44:$BU$56</c:f>
              <c:numCache>
                <c:formatCode>0.00</c:formatCode>
                <c:ptCount val="13"/>
                <c:pt idx="0">
                  <c:v>2.6074783706815556</c:v>
                </c:pt>
                <c:pt idx="1">
                  <c:v>1.9657370587061882</c:v>
                </c:pt>
                <c:pt idx="2">
                  <c:v>1.5541537672991188</c:v>
                </c:pt>
                <c:pt idx="3">
                  <c:v>1.2982446314711413</c:v>
                </c:pt>
                <c:pt idx="4">
                  <c:v>1.0636508730570391</c:v>
                </c:pt>
                <c:pt idx="5">
                  <c:v>0.90900548595152619</c:v>
                </c:pt>
                <c:pt idx="6">
                  <c:v>0.83234038283450928</c:v>
                </c:pt>
                <c:pt idx="7">
                  <c:v>0.74716116872074512</c:v>
                </c:pt>
                <c:pt idx="8">
                  <c:v>0.51769901566541665</c:v>
                </c:pt>
                <c:pt idx="9">
                  <c:v>0.39250556355564936</c:v>
                </c:pt>
                <c:pt idx="10">
                  <c:v>0.32429512626402335</c:v>
                </c:pt>
                <c:pt idx="11">
                  <c:v>0.27345749309506373</c:v>
                </c:pt>
              </c:numCache>
            </c:numRef>
          </c:yVal>
          <c:smooth val="0"/>
          <c:extLst>
            <c:ext xmlns:c16="http://schemas.microsoft.com/office/drawing/2014/chart" uri="{C3380CC4-5D6E-409C-BE32-E72D297353CC}">
              <c16:uniqueId val="{0000000B-19D6-4DB2-B917-427589325E11}"/>
            </c:ext>
          </c:extLst>
        </c:ser>
        <c:ser>
          <c:idx val="5"/>
          <c:order val="5"/>
          <c:tx>
            <c:v>SM18</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v2'!$BU$108:$BU$120</c:f>
              <c:numCache>
                <c:formatCode>0.00</c:formatCode>
                <c:ptCount val="13"/>
                <c:pt idx="0">
                  <c:v>2.375196806897665</c:v>
                </c:pt>
                <c:pt idx="1">
                  <c:v>1.7825781521650954</c:v>
                </c:pt>
                <c:pt idx="2">
                  <c:v>1.4085674352746851</c:v>
                </c:pt>
                <c:pt idx="3">
                  <c:v>1.1524053632473517</c:v>
                </c:pt>
                <c:pt idx="4">
                  <c:v>0.93482384849690758</c:v>
                </c:pt>
                <c:pt idx="5">
                  <c:v>0.78532223127157119</c:v>
                </c:pt>
                <c:pt idx="6">
                  <c:v>0.71834144991020144</c:v>
                </c:pt>
                <c:pt idx="8">
                  <c:v>0.3937656271486713</c:v>
                </c:pt>
                <c:pt idx="9">
                  <c:v>0.27739173807586598</c:v>
                </c:pt>
                <c:pt idx="10">
                  <c:v>0.22142861775774039</c:v>
                </c:pt>
                <c:pt idx="11">
                  <c:v>0.18081205764754266</c:v>
                </c:pt>
              </c:numCache>
            </c:numRef>
          </c:yVal>
          <c:smooth val="0"/>
          <c:extLst>
            <c:ext xmlns:c16="http://schemas.microsoft.com/office/drawing/2014/chart" uri="{C3380CC4-5D6E-409C-BE32-E72D297353CC}">
              <c16:uniqueId val="{0000000F-19D6-4DB2-B917-427589325E11}"/>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SM22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v2'!$BU$174:$BU$186</c:f>
              <c:numCache>
                <c:formatCode>0.00</c:formatCode>
                <c:ptCount val="13"/>
                <c:pt idx="2">
                  <c:v>50.252885768358425</c:v>
                </c:pt>
                <c:pt idx="3">
                  <c:v>39.747128945027818</c:v>
                </c:pt>
                <c:pt idx="4">
                  <c:v>29.872781703150803</c:v>
                </c:pt>
                <c:pt idx="5">
                  <c:v>23.266477622223984</c:v>
                </c:pt>
                <c:pt idx="6">
                  <c:v>21.598643931868658</c:v>
                </c:pt>
                <c:pt idx="7">
                  <c:v>19.113984053400713</c:v>
                </c:pt>
                <c:pt idx="8">
                  <c:v>12.646445586277196</c:v>
                </c:pt>
                <c:pt idx="9">
                  <c:v>10.32796243255525</c:v>
                </c:pt>
                <c:pt idx="10">
                  <c:v>9.1094740954956137</c:v>
                </c:pt>
                <c:pt idx="11">
                  <c:v>4.6278783483729384</c:v>
                </c:pt>
              </c:numCache>
            </c:numRef>
          </c:yVal>
          <c:smooth val="0"/>
          <c:extLst>
            <c:ext xmlns:c16="http://schemas.microsoft.com/office/drawing/2014/chart" uri="{C3380CC4-5D6E-409C-BE32-E72D297353CC}">
              <c16:uniqueId val="{00000000-C5F8-4D93-B24B-5BA592137E88}"/>
            </c:ext>
          </c:extLst>
        </c:ser>
        <c:ser>
          <c:idx val="3"/>
          <c:order val="1"/>
          <c:tx>
            <c:v>SM21</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v2'!$BU$158:$BU$170</c:f>
              <c:numCache>
                <c:formatCode>0.00</c:formatCode>
                <c:ptCount val="13"/>
                <c:pt idx="0">
                  <c:v>47.26645915860172</c:v>
                </c:pt>
                <c:pt idx="1">
                  <c:v>31.899807244602997</c:v>
                </c:pt>
                <c:pt idx="2">
                  <c:v>24.925227176145871</c:v>
                </c:pt>
                <c:pt idx="3">
                  <c:v>21.87099362125014</c:v>
                </c:pt>
                <c:pt idx="4">
                  <c:v>17.025930835436604</c:v>
                </c:pt>
                <c:pt idx="5">
                  <c:v>13.842859710707893</c:v>
                </c:pt>
                <c:pt idx="6">
                  <c:v>13.127562170069893</c:v>
                </c:pt>
                <c:pt idx="7">
                  <c:v>12.036609250340254</c:v>
                </c:pt>
                <c:pt idx="8">
                  <c:v>8.8103884506280732</c:v>
                </c:pt>
                <c:pt idx="9">
                  <c:v>7.7347395061242299</c:v>
                </c:pt>
                <c:pt idx="10">
                  <c:v>6.2952918519248264</c:v>
                </c:pt>
                <c:pt idx="11">
                  <c:v>3.3566463933167312</c:v>
                </c:pt>
              </c:numCache>
            </c:numRef>
          </c:yVal>
          <c:smooth val="0"/>
          <c:extLst>
            <c:ext xmlns:c16="http://schemas.microsoft.com/office/drawing/2014/chart" uri="{C3380CC4-5D6E-409C-BE32-E72D297353CC}">
              <c16:uniqueId val="{00000001-C5F8-4D93-B24B-5BA592137E88}"/>
            </c:ext>
          </c:extLst>
        </c:ser>
        <c:ser>
          <c:idx val="0"/>
          <c:order val="2"/>
          <c:tx>
            <c:v>SM24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v2'!$BU$206:$BU$218</c:f>
              <c:numCache>
                <c:formatCode>0.00</c:formatCode>
                <c:ptCount val="13"/>
                <c:pt idx="0">
                  <c:v>26.205872217523332</c:v>
                </c:pt>
                <c:pt idx="1">
                  <c:v>20.943800016986362</c:v>
                </c:pt>
                <c:pt idx="2">
                  <c:v>17.06368711390742</c:v>
                </c:pt>
                <c:pt idx="3">
                  <c:v>14.493469736431472</c:v>
                </c:pt>
                <c:pt idx="4">
                  <c:v>11.792475133695511</c:v>
                </c:pt>
                <c:pt idx="5">
                  <c:v>9.8741431786599634</c:v>
                </c:pt>
                <c:pt idx="6">
                  <c:v>9.0158881616010085</c:v>
                </c:pt>
                <c:pt idx="7">
                  <c:v>8.0602417276749936</c:v>
                </c:pt>
                <c:pt idx="9">
                  <c:v>4.4352177250264404</c:v>
                </c:pt>
                <c:pt idx="10">
                  <c:v>3.4014953021851806</c:v>
                </c:pt>
                <c:pt idx="11">
                  <c:v>2.0669361399707213</c:v>
                </c:pt>
                <c:pt idx="12" formatCode="General">
                  <c:v>0</c:v>
                </c:pt>
              </c:numCache>
            </c:numRef>
          </c:yVal>
          <c:smooth val="0"/>
          <c:extLst>
            <c:ext xmlns:c16="http://schemas.microsoft.com/office/drawing/2014/chart" uri="{C3380CC4-5D6E-409C-BE32-E72D297353CC}">
              <c16:uniqueId val="{00000002-C5F8-4D93-B24B-5BA592137E88}"/>
            </c:ext>
          </c:extLst>
        </c:ser>
        <c:ser>
          <c:idx val="1"/>
          <c:order val="3"/>
          <c:tx>
            <c:v>SM25</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v2'!$BU$222:$BU$233</c:f>
              <c:numCache>
                <c:formatCode>0.00</c:formatCode>
                <c:ptCount val="12"/>
                <c:pt idx="0">
                  <c:v>28.073632861401233</c:v>
                </c:pt>
                <c:pt idx="1">
                  <c:v>22.02253287576097</c:v>
                </c:pt>
                <c:pt idx="2">
                  <c:v>17.476458012918773</c:v>
                </c:pt>
                <c:pt idx="3">
                  <c:v>14.479599215946152</c:v>
                </c:pt>
                <c:pt idx="4">
                  <c:v>11.259530953370485</c:v>
                </c:pt>
                <c:pt idx="5">
                  <c:v>9.017225186744346</c:v>
                </c:pt>
                <c:pt idx="6">
                  <c:v>8.1072689590121847</c:v>
                </c:pt>
                <c:pt idx="7">
                  <c:v>6.9744658377968225</c:v>
                </c:pt>
                <c:pt idx="8">
                  <c:v>4.0283425545753078</c:v>
                </c:pt>
                <c:pt idx="9">
                  <c:v>2.7398893104561912</c:v>
                </c:pt>
                <c:pt idx="10">
                  <c:v>1.5239380070915212</c:v>
                </c:pt>
                <c:pt idx="11">
                  <c:v>0</c:v>
                </c:pt>
              </c:numCache>
            </c:numRef>
          </c:yVal>
          <c:smooth val="0"/>
          <c:extLst>
            <c:ext xmlns:c16="http://schemas.microsoft.com/office/drawing/2014/chart" uri="{C3380CC4-5D6E-409C-BE32-E72D297353CC}">
              <c16:uniqueId val="{00000003-C5F8-4D93-B24B-5BA592137E88}"/>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SM19</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v2'!$BU$124:$BU$136</c:f>
              <c:numCache>
                <c:formatCode>0.00</c:formatCode>
                <c:ptCount val="13"/>
                <c:pt idx="0">
                  <c:v>7.8405091506071987</c:v>
                </c:pt>
                <c:pt idx="1">
                  <c:v>5.9896298077158399</c:v>
                </c:pt>
                <c:pt idx="2">
                  <c:v>4.7797096090894904</c:v>
                </c:pt>
                <c:pt idx="3">
                  <c:v>4.0202210636308902</c:v>
                </c:pt>
                <c:pt idx="4">
                  <c:v>3.2197046242572895</c:v>
                </c:pt>
                <c:pt idx="5">
                  <c:v>2.7638111069349667</c:v>
                </c:pt>
                <c:pt idx="6">
                  <c:v>2.539408852778859</c:v>
                </c:pt>
                <c:pt idx="8">
                  <c:v>1.5726075110357223</c:v>
                </c:pt>
                <c:pt idx="9">
                  <c:v>1.2346398216006984</c:v>
                </c:pt>
                <c:pt idx="10">
                  <c:v>0.96130536913039299</c:v>
                </c:pt>
                <c:pt idx="11">
                  <c:v>0.6158806708877711</c:v>
                </c:pt>
              </c:numCache>
            </c:numRef>
          </c:yVal>
          <c:smooth val="0"/>
          <c:extLst>
            <c:ext xmlns:c16="http://schemas.microsoft.com/office/drawing/2014/chart" uri="{C3380CC4-5D6E-409C-BE32-E72D297353CC}">
              <c16:uniqueId val="{00000000-B666-4EFD-818F-3AB194DBFFC8}"/>
            </c:ext>
          </c:extLst>
        </c:ser>
        <c:ser>
          <c:idx val="3"/>
          <c:order val="1"/>
          <c:tx>
            <c:v>SM20</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v2'!$BU$142:$BU$154</c:f>
              <c:numCache>
                <c:formatCode>0.00</c:formatCode>
                <c:ptCount val="13"/>
                <c:pt idx="0">
                  <c:v>12.793317805636217</c:v>
                </c:pt>
                <c:pt idx="1">
                  <c:v>9.6774646057499361</c:v>
                </c:pt>
                <c:pt idx="2">
                  <c:v>7.7044355129650386</c:v>
                </c:pt>
                <c:pt idx="4">
                  <c:v>5.3910359089632296</c:v>
                </c:pt>
                <c:pt idx="5">
                  <c:v>4.5291343899621141</c:v>
                </c:pt>
                <c:pt idx="6">
                  <c:v>4.2189455739376198</c:v>
                </c:pt>
                <c:pt idx="8">
                  <c:v>2.6763069640936061</c:v>
                </c:pt>
                <c:pt idx="9">
                  <c:v>2.0806133184231976</c:v>
                </c:pt>
                <c:pt idx="10">
                  <c:v>1.651799685603041</c:v>
                </c:pt>
                <c:pt idx="11">
                  <c:v>1.0629985897259655</c:v>
                </c:pt>
              </c:numCache>
            </c:numRef>
          </c:yVal>
          <c:smooth val="0"/>
          <c:extLst>
            <c:ext xmlns:c16="http://schemas.microsoft.com/office/drawing/2014/chart" uri="{C3380CC4-5D6E-409C-BE32-E72D297353CC}">
              <c16:uniqueId val="{00000001-B666-4EFD-818F-3AB194DBFFC8}"/>
            </c:ext>
          </c:extLst>
        </c:ser>
        <c:ser>
          <c:idx val="0"/>
          <c:order val="2"/>
          <c:tx>
            <c:v>SM29</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v2'!$BU$256:$BU$267</c:f>
              <c:numCache>
                <c:formatCode>0.00</c:formatCode>
                <c:ptCount val="12"/>
                <c:pt idx="0">
                  <c:v>12.097955657454968</c:v>
                </c:pt>
                <c:pt idx="1">
                  <c:v>8.6658615271497883</c:v>
                </c:pt>
                <c:pt idx="2">
                  <c:v>6.3838718373235253</c:v>
                </c:pt>
                <c:pt idx="3">
                  <c:v>2.5998928218713089</c:v>
                </c:pt>
                <c:pt idx="4">
                  <c:v>0</c:v>
                </c:pt>
              </c:numCache>
            </c:numRef>
          </c:yVal>
          <c:smooth val="0"/>
          <c:extLst>
            <c:ext xmlns:c16="http://schemas.microsoft.com/office/drawing/2014/chart" uri="{C3380CC4-5D6E-409C-BE32-E72D297353CC}">
              <c16:uniqueId val="{00000002-B666-4EFD-818F-3AB194DBFFC8}"/>
            </c:ext>
          </c:extLst>
        </c:ser>
        <c:ser>
          <c:idx val="1"/>
          <c:order val="3"/>
          <c:tx>
            <c:v>SM28</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v2'!$BU$238:$BU$250</c:f>
              <c:numCache>
                <c:formatCode>0.00</c:formatCode>
                <c:ptCount val="13"/>
                <c:pt idx="0">
                  <c:v>4.5952102907853254</c:v>
                </c:pt>
                <c:pt idx="1">
                  <c:v>3.6634280368050822</c:v>
                </c:pt>
                <c:pt idx="3">
                  <c:v>2.2532889668049267</c:v>
                </c:pt>
                <c:pt idx="4">
                  <c:v>1.6549457804198149</c:v>
                </c:pt>
                <c:pt idx="5">
                  <c:v>1.4268792673504884</c:v>
                </c:pt>
                <c:pt idx="6">
                  <c:v>1.3436900056350511</c:v>
                </c:pt>
                <c:pt idx="8">
                  <c:v>0.77305234862966621</c:v>
                </c:pt>
                <c:pt idx="12" formatCode="General">
                  <c:v>0</c:v>
                </c:pt>
              </c:numCache>
            </c:numRef>
          </c:yVal>
          <c:smooth val="0"/>
          <c:extLst>
            <c:ext xmlns:c16="http://schemas.microsoft.com/office/drawing/2014/chart" uri="{C3380CC4-5D6E-409C-BE32-E72D297353CC}">
              <c16:uniqueId val="{00000003-B666-4EFD-818F-3AB194DBFFC8}"/>
            </c:ext>
          </c:extLst>
        </c:ser>
        <c:ser>
          <c:idx val="2"/>
          <c:order val="4"/>
          <c:tx>
            <c:v>SM16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v2'!$BU$76:$BU$88</c:f>
              <c:numCache>
                <c:formatCode>0.00</c:formatCode>
                <c:ptCount val="13"/>
                <c:pt idx="8">
                  <c:v>13.640615176499303</c:v>
                </c:pt>
                <c:pt idx="9">
                  <c:v>12.254373718375339</c:v>
                </c:pt>
                <c:pt idx="10">
                  <c:v>11.020049078163698</c:v>
                </c:pt>
                <c:pt idx="11">
                  <c:v>6.0751762120401711</c:v>
                </c:pt>
              </c:numCache>
            </c:numRef>
          </c:yVal>
          <c:smooth val="0"/>
          <c:extLst>
            <c:ext xmlns:c16="http://schemas.microsoft.com/office/drawing/2014/chart" uri="{C3380CC4-5D6E-409C-BE32-E72D297353CC}">
              <c16:uniqueId val="{00000004-B666-4EFD-818F-3AB194DBFFC8}"/>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SM17</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v2'!$BT$92:$BT$104</c:f>
              <c:numCache>
                <c:formatCode>0.000</c:formatCode>
                <c:ptCount val="13"/>
                <c:pt idx="0">
                  <c:v>0.30703111720135157</c:v>
                </c:pt>
                <c:pt idx="1">
                  <c:v>0.44562737275192688</c:v>
                </c:pt>
                <c:pt idx="2">
                  <c:v>0.34698991625740605</c:v>
                </c:pt>
                <c:pt idx="3">
                  <c:v>0.53417651904151831</c:v>
                </c:pt>
                <c:pt idx="4">
                  <c:v>0.37202025889306983</c:v>
                </c:pt>
                <c:pt idx="5">
                  <c:v>0.20547797271511609</c:v>
                </c:pt>
                <c:pt idx="6">
                  <c:v>0.41442566176505835</c:v>
                </c:pt>
                <c:pt idx="8">
                  <c:v>0.1854056535309741</c:v>
                </c:pt>
                <c:pt idx="9">
                  <c:v>0.18860228958783401</c:v>
                </c:pt>
              </c:numCache>
            </c:numRef>
          </c:yVal>
          <c:smooth val="0"/>
          <c:extLst>
            <c:ext xmlns:c16="http://schemas.microsoft.com/office/drawing/2014/chart" uri="{C3380CC4-5D6E-409C-BE32-E72D297353CC}">
              <c16:uniqueId val="{00000000-4B71-4431-97AF-98C6BDC38957}"/>
            </c:ext>
          </c:extLst>
        </c:ser>
        <c:ser>
          <c:idx val="3"/>
          <c:order val="1"/>
          <c:tx>
            <c:v>SM14</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v2'!$BT$60:$BT$72</c:f>
              <c:numCache>
                <c:formatCode>0.000</c:formatCode>
                <c:ptCount val="13"/>
                <c:pt idx="0">
                  <c:v>0.17545970291007909</c:v>
                </c:pt>
                <c:pt idx="1">
                  <c:v>0.29470624674002766</c:v>
                </c:pt>
                <c:pt idx="2">
                  <c:v>0.2456005456096321</c:v>
                </c:pt>
                <c:pt idx="3">
                  <c:v>0.42020536538449405</c:v>
                </c:pt>
                <c:pt idx="4">
                  <c:v>0.2455066210421197</c:v>
                </c:pt>
                <c:pt idx="5">
                  <c:v>0.12437658475354715</c:v>
                </c:pt>
                <c:pt idx="6">
                  <c:v>0.25028758904852011</c:v>
                </c:pt>
                <c:pt idx="7">
                  <c:v>0.29835200717599342</c:v>
                </c:pt>
                <c:pt idx="8">
                  <c:v>9.8096239696534915E-2</c:v>
                </c:pt>
                <c:pt idx="9">
                  <c:v>0.10380195381835802</c:v>
                </c:pt>
                <c:pt idx="10">
                  <c:v>0.15098658718704344</c:v>
                </c:pt>
                <c:pt idx="11">
                  <c:v>0.20946019868751203</c:v>
                </c:pt>
              </c:numCache>
            </c:numRef>
          </c:yVal>
          <c:smooth val="0"/>
          <c:extLst>
            <c:ext xmlns:c16="http://schemas.microsoft.com/office/drawing/2014/chart" uri="{C3380CC4-5D6E-409C-BE32-E72D297353CC}">
              <c16:uniqueId val="{00000001-4B71-4431-97AF-98C6BDC38957}"/>
            </c:ext>
          </c:extLst>
        </c:ser>
        <c:ser>
          <c:idx val="0"/>
          <c:order val="2"/>
          <c:tx>
            <c:v>SM11</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v2'!$BT$10:$BT$22</c:f>
              <c:numCache>
                <c:formatCode>0.000</c:formatCode>
                <c:ptCount val="13"/>
                <c:pt idx="0">
                  <c:v>8.17682091524536E-2</c:v>
                </c:pt>
                <c:pt idx="1">
                  <c:v>0.12316263854008802</c:v>
                </c:pt>
                <c:pt idx="2">
                  <c:v>9.6082834972651437E-2</c:v>
                </c:pt>
                <c:pt idx="3">
                  <c:v>0.15922289565289147</c:v>
                </c:pt>
                <c:pt idx="4">
                  <c:v>8.6727425884232351E-2</c:v>
                </c:pt>
                <c:pt idx="5">
                  <c:v>5.5627358195082001E-2</c:v>
                </c:pt>
                <c:pt idx="7">
                  <c:v>0.14429834604457084</c:v>
                </c:pt>
                <c:pt idx="8">
                  <c:v>5.8271167790074248E-2</c:v>
                </c:pt>
                <c:pt idx="9">
                  <c:v>3.8439545406681548E-2</c:v>
                </c:pt>
                <c:pt idx="10">
                  <c:v>0.15893851748463436</c:v>
                </c:pt>
              </c:numCache>
            </c:numRef>
          </c:yVal>
          <c:smooth val="0"/>
          <c:extLst>
            <c:ext xmlns:c16="http://schemas.microsoft.com/office/drawing/2014/chart" uri="{C3380CC4-5D6E-409C-BE32-E72D297353CC}">
              <c16:uniqueId val="{00000002-4B71-4431-97AF-98C6BDC38957}"/>
            </c:ext>
          </c:extLst>
        </c:ser>
        <c:ser>
          <c:idx val="1"/>
          <c:order val="3"/>
          <c:tx>
            <c:v>SM12</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v2'!$BT$27:$BT$39</c:f>
              <c:numCache>
                <c:formatCode>0.000</c:formatCode>
                <c:ptCount val="13"/>
                <c:pt idx="0">
                  <c:v>7.1536967924220984E-2</c:v>
                </c:pt>
                <c:pt idx="1">
                  <c:v>0.1056241982790431</c:v>
                </c:pt>
                <c:pt idx="2">
                  <c:v>7.48738795697131E-2</c:v>
                </c:pt>
                <c:pt idx="3">
                  <c:v>0.12520145497829863</c:v>
                </c:pt>
                <c:pt idx="4">
                  <c:v>8.0183161369191652E-2</c:v>
                </c:pt>
                <c:pt idx="5">
                  <c:v>3.5949157509485602E-2</c:v>
                </c:pt>
                <c:pt idx="6">
                  <c:v>5.9465653249297402E-2</c:v>
                </c:pt>
                <c:pt idx="7">
                  <c:v>0.12121286706649356</c:v>
                </c:pt>
                <c:pt idx="8">
                  <c:v>3.7669449238394236E-2</c:v>
                </c:pt>
                <c:pt idx="9">
                  <c:v>3.8703725893127275E-2</c:v>
                </c:pt>
                <c:pt idx="10">
                  <c:v>3.2987027364936743E-2</c:v>
                </c:pt>
                <c:pt idx="11">
                  <c:v>7.6923923023513835E-2</c:v>
                </c:pt>
              </c:numCache>
            </c:numRef>
          </c:yVal>
          <c:smooth val="0"/>
          <c:extLst>
            <c:ext xmlns:c16="http://schemas.microsoft.com/office/drawing/2014/chart" uri="{C3380CC4-5D6E-409C-BE32-E72D297353CC}">
              <c16:uniqueId val="{00000003-4B71-4431-97AF-98C6BDC38957}"/>
            </c:ext>
          </c:extLst>
        </c:ser>
        <c:ser>
          <c:idx val="2"/>
          <c:order val="4"/>
          <c:tx>
            <c:v>SM13</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v2'!$BT$44:$BT$56</c:f>
              <c:numCache>
                <c:formatCode>0.000</c:formatCode>
                <c:ptCount val="13"/>
                <c:pt idx="0">
                  <c:v>4.5733288899394008E-2</c:v>
                </c:pt>
                <c:pt idx="1">
                  <c:v>6.5097357314383431E-2</c:v>
                </c:pt>
                <c:pt idx="2">
                  <c:v>4.750409108184013E-2</c:v>
                </c:pt>
                <c:pt idx="3">
                  <c:v>6.9926985681126638E-2</c:v>
                </c:pt>
                <c:pt idx="4">
                  <c:v>4.7465415844266341E-2</c:v>
                </c:pt>
                <c:pt idx="5">
                  <c:v>2.4756439548203363E-2</c:v>
                </c:pt>
                <c:pt idx="6">
                  <c:v>5.0779916106282463E-2</c:v>
                </c:pt>
                <c:pt idx="7">
                  <c:v>6.8397372545338286E-2</c:v>
                </c:pt>
                <c:pt idx="8">
                  <c:v>3.3456870822437791E-2</c:v>
                </c:pt>
                <c:pt idx="9">
                  <c:v>2.0935876792479262E-2</c:v>
                </c:pt>
                <c:pt idx="10">
                  <c:v>2.3175979827025704E-2</c:v>
                </c:pt>
                <c:pt idx="11">
                  <c:v>9.5249239167943547E-2</c:v>
                </c:pt>
              </c:numCache>
            </c:numRef>
          </c:yVal>
          <c:smooth val="0"/>
          <c:extLst>
            <c:ext xmlns:c16="http://schemas.microsoft.com/office/drawing/2014/chart" uri="{C3380CC4-5D6E-409C-BE32-E72D297353CC}">
              <c16:uniqueId val="{00000004-4B71-4431-97AF-98C6BDC38957}"/>
            </c:ext>
          </c:extLst>
        </c:ser>
        <c:ser>
          <c:idx val="5"/>
          <c:order val="5"/>
          <c:tx>
            <c:v>SM18</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v2'!$BT$108:$BT$120</c:f>
              <c:numCache>
                <c:formatCode>0.000</c:formatCode>
                <c:ptCount val="13"/>
                <c:pt idx="0">
                  <c:v>4.2232593785539424E-2</c:v>
                </c:pt>
                <c:pt idx="1">
                  <c:v>5.9154756242871011E-2</c:v>
                </c:pt>
                <c:pt idx="2">
                  <c:v>4.7551043310463101E-2</c:v>
                </c:pt>
                <c:pt idx="3">
                  <c:v>6.4856028435228516E-2</c:v>
                </c:pt>
                <c:pt idx="4">
                  <c:v>4.5886634989954732E-2</c:v>
                </c:pt>
                <c:pt idx="5">
                  <c:v>2.1629210647942328E-2</c:v>
                </c:pt>
                <c:pt idx="6">
                  <c:v>6.4499041702611767E-2</c:v>
                </c:pt>
                <c:pt idx="8">
                  <c:v>3.1099918631525565E-2</c:v>
                </c:pt>
                <c:pt idx="9">
                  <c:v>1.71767993055633E-2</c:v>
                </c:pt>
                <c:pt idx="10">
                  <c:v>1.8516372991413677E-2</c:v>
                </c:pt>
                <c:pt idx="11">
                  <c:v>6.2979480753638448E-2</c:v>
                </c:pt>
              </c:numCache>
            </c:numRef>
          </c:yVal>
          <c:smooth val="0"/>
          <c:extLst>
            <c:ext xmlns:c16="http://schemas.microsoft.com/office/drawing/2014/chart" uri="{C3380CC4-5D6E-409C-BE32-E72D297353CC}">
              <c16:uniqueId val="{00000005-4B71-4431-97AF-98C6BDC38957}"/>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SM19</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v2'!$BT$124:$BT$136</c:f>
              <c:numCache>
                <c:formatCode>0.000</c:formatCode>
                <c:ptCount val="13"/>
                <c:pt idx="0">
                  <c:v>0.13190174627501636</c:v>
                </c:pt>
                <c:pt idx="1">
                  <c:v>0.19136492937457572</c:v>
                </c:pt>
                <c:pt idx="2">
                  <c:v>0.14098290364800373</c:v>
                </c:pt>
                <c:pt idx="3">
                  <c:v>0.23861547712097697</c:v>
                </c:pt>
                <c:pt idx="4">
                  <c:v>0.1399277132375446</c:v>
                </c:pt>
                <c:pt idx="5">
                  <c:v>7.2463227904576488E-2</c:v>
                </c:pt>
                <c:pt idx="6">
                  <c:v>0.1921207794489567</c:v>
                </c:pt>
                <c:pt idx="8">
                  <c:v>9.0318951486946047E-2</c:v>
                </c:pt>
                <c:pt idx="9">
                  <c:v>8.3894732936430377E-2</c:v>
                </c:pt>
                <c:pt idx="10">
                  <c:v>0.15747302419884229</c:v>
                </c:pt>
                <c:pt idx="11">
                  <c:v>0.21452023368001016</c:v>
                </c:pt>
              </c:numCache>
            </c:numRef>
          </c:yVal>
          <c:smooth val="0"/>
          <c:extLst>
            <c:ext xmlns:c16="http://schemas.microsoft.com/office/drawing/2014/chart" uri="{C3380CC4-5D6E-409C-BE32-E72D297353CC}">
              <c16:uniqueId val="{00000000-5EB2-4389-AA87-E5A4CFF15B47}"/>
            </c:ext>
          </c:extLst>
        </c:ser>
        <c:ser>
          <c:idx val="3"/>
          <c:order val="1"/>
          <c:tx>
            <c:v>SM20</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v2'!$BT$142:$BT$154</c:f>
              <c:numCache>
                <c:formatCode>0.000</c:formatCode>
                <c:ptCount val="13"/>
                <c:pt idx="0">
                  <c:v>0.22204930849764309</c:v>
                </c:pt>
                <c:pt idx="1">
                  <c:v>0.31206072385883571</c:v>
                </c:pt>
                <c:pt idx="2">
                  <c:v>0.26463242702603718</c:v>
                </c:pt>
                <c:pt idx="4">
                  <c:v>0.26454403058450066</c:v>
                </c:pt>
                <c:pt idx="5">
                  <c:v>0.10016513850790976</c:v>
                </c:pt>
                <c:pt idx="6">
                  <c:v>0.30654998016131046</c:v>
                </c:pt>
                <c:pt idx="8">
                  <c:v>0.15919399151536776</c:v>
                </c:pt>
                <c:pt idx="9">
                  <c:v>0.13161606551905805</c:v>
                </c:pt>
                <c:pt idx="10">
                  <c:v>0.2684240290027845</c:v>
                </c:pt>
                <c:pt idx="11">
                  <c:v>0.37025793574724641</c:v>
                </c:pt>
              </c:numCache>
            </c:numRef>
          </c:yVal>
          <c:smooth val="0"/>
          <c:extLst>
            <c:ext xmlns:c16="http://schemas.microsoft.com/office/drawing/2014/chart" uri="{C3380CC4-5D6E-409C-BE32-E72D297353CC}">
              <c16:uniqueId val="{00000001-5EB2-4389-AA87-E5A4CFF15B47}"/>
            </c:ext>
          </c:extLst>
        </c:ser>
        <c:ser>
          <c:idx val="0"/>
          <c:order val="2"/>
          <c:tx>
            <c:v>SM29</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v2'!$BT$256:$BT$267</c:f>
              <c:numCache>
                <c:formatCode>0.000</c:formatCode>
                <c:ptCount val="12"/>
                <c:pt idx="0">
                  <c:v>0.54283121448704363</c:v>
                </c:pt>
                <c:pt idx="1">
                  <c:v>0.42360287655457585</c:v>
                </c:pt>
                <c:pt idx="2">
                  <c:v>1.1279168219136415</c:v>
                </c:pt>
                <c:pt idx="3">
                  <c:v>0.79798690572287689</c:v>
                </c:pt>
              </c:numCache>
            </c:numRef>
          </c:yVal>
          <c:smooth val="0"/>
          <c:extLst>
            <c:ext xmlns:c16="http://schemas.microsoft.com/office/drawing/2014/chart" uri="{C3380CC4-5D6E-409C-BE32-E72D297353CC}">
              <c16:uniqueId val="{00000002-5EB2-4389-AA87-E5A4CFF15B47}"/>
            </c:ext>
          </c:extLst>
        </c:ser>
        <c:ser>
          <c:idx val="1"/>
          <c:order val="3"/>
          <c:tx>
            <c:v>SM28</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v2'!$BT$238:$BT$250</c:f>
              <c:numCache>
                <c:formatCode>0.000</c:formatCode>
                <c:ptCount val="13"/>
                <c:pt idx="0">
                  <c:v>6.6402873272155244E-2</c:v>
                </c:pt>
                <c:pt idx="1">
                  <c:v>0.12042509964188652</c:v>
                </c:pt>
                <c:pt idx="3">
                  <c:v>0.17835229594171598</c:v>
                </c:pt>
                <c:pt idx="4">
                  <c:v>7.0000612922268488E-2</c:v>
                </c:pt>
                <c:pt idx="5">
                  <c:v>2.6863199095609955E-2</c:v>
                </c:pt>
                <c:pt idx="6">
                  <c:v>0.11339594466132649</c:v>
                </c:pt>
                <c:pt idx="8">
                  <c:v>6.407653157090816E-2</c:v>
                </c:pt>
              </c:numCache>
            </c:numRef>
          </c:yVal>
          <c:smooth val="0"/>
          <c:extLst>
            <c:ext xmlns:c16="http://schemas.microsoft.com/office/drawing/2014/chart" uri="{C3380CC4-5D6E-409C-BE32-E72D297353CC}">
              <c16:uniqueId val="{00000003-5EB2-4389-AA87-E5A4CFF15B47}"/>
            </c:ext>
          </c:extLst>
        </c:ser>
        <c:ser>
          <c:idx val="2"/>
          <c:order val="4"/>
          <c:tx>
            <c:v>SM16</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v2'!$BT$76:$BT$88</c:f>
              <c:numCache>
                <c:formatCode>0.000</c:formatCode>
                <c:ptCount val="13"/>
                <c:pt idx="8">
                  <c:v>0.37046107932623151</c:v>
                </c:pt>
                <c:pt idx="9">
                  <c:v>0.37885211729268187</c:v>
                </c:pt>
                <c:pt idx="10">
                  <c:v>2.2542802772033732</c:v>
                </c:pt>
                <c:pt idx="11">
                  <c:v>2.1160726131825318</c:v>
                </c:pt>
              </c:numCache>
            </c:numRef>
          </c:yVal>
          <c:smooth val="0"/>
          <c:extLst>
            <c:ext xmlns:c16="http://schemas.microsoft.com/office/drawing/2014/chart" uri="{C3380CC4-5D6E-409C-BE32-E72D297353CC}">
              <c16:uniqueId val="{00000004-5EB2-4389-AA87-E5A4CFF15B47}"/>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883721058419211E-2"/>
          <c:y val="4.7731774252898311E-2"/>
          <c:w val="0.79898551164002063"/>
          <c:h val="0.6296073626402271"/>
        </c:manualLayout>
      </c:layout>
      <c:scatterChart>
        <c:scatterStyle val="lineMarker"/>
        <c:varyColors val="0"/>
        <c:ser>
          <c:idx val="4"/>
          <c:order val="0"/>
          <c:tx>
            <c:v>SM22</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v2'!$BT$174:$BT$186</c:f>
              <c:numCache>
                <c:formatCode>0.000</c:formatCode>
                <c:ptCount val="13"/>
                <c:pt idx="2">
                  <c:v>1.9501704282829264</c:v>
                </c:pt>
                <c:pt idx="3">
                  <c:v>2.9433150432518018</c:v>
                </c:pt>
                <c:pt idx="4">
                  <c:v>2.0276774901854595</c:v>
                </c:pt>
                <c:pt idx="5">
                  <c:v>0.53857129584390717</c:v>
                </c:pt>
                <c:pt idx="6">
                  <c:v>1.481239542932812</c:v>
                </c:pt>
                <c:pt idx="7">
                  <c:v>1.9278239661618175</c:v>
                </c:pt>
                <c:pt idx="8">
                  <c:v>0.61959463590845121</c:v>
                </c:pt>
                <c:pt idx="9">
                  <c:v>0.3739914697905814</c:v>
                </c:pt>
                <c:pt idx="10">
                  <c:v>2.0430804141294554</c:v>
                </c:pt>
                <c:pt idx="11">
                  <c:v>1.6119576269613607</c:v>
                </c:pt>
              </c:numCache>
            </c:numRef>
          </c:yVal>
          <c:smooth val="0"/>
          <c:extLst>
            <c:ext xmlns:c16="http://schemas.microsoft.com/office/drawing/2014/chart" uri="{C3380CC4-5D6E-409C-BE32-E72D297353CC}">
              <c16:uniqueId val="{00000000-022E-4D90-8DA0-22BB6738BD27}"/>
            </c:ext>
          </c:extLst>
        </c:ser>
        <c:ser>
          <c:idx val="3"/>
          <c:order val="1"/>
          <c:tx>
            <c:v>SM21</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v2'!$BT$158:$BT$170</c:f>
              <c:numCache>
                <c:formatCode>0.000</c:formatCode>
                <c:ptCount val="13"/>
                <c:pt idx="0">
                  <c:v>1.0950947341010584</c:v>
                </c:pt>
                <c:pt idx="1">
                  <c:v>1.1031223577661782</c:v>
                </c:pt>
                <c:pt idx="2">
                  <c:v>0.5669535341423213</c:v>
                </c:pt>
                <c:pt idx="3">
                  <c:v>1.4442014073098035</c:v>
                </c:pt>
                <c:pt idx="4">
                  <c:v>0.97698222640188181</c:v>
                </c:pt>
                <c:pt idx="5">
                  <c:v>0.2309814974976872</c:v>
                </c:pt>
                <c:pt idx="6">
                  <c:v>0.65037577906959265</c:v>
                </c:pt>
                <c:pt idx="7">
                  <c:v>0.96166196914497692</c:v>
                </c:pt>
                <c:pt idx="8">
                  <c:v>0.2874579075829235</c:v>
                </c:pt>
                <c:pt idx="9">
                  <c:v>0.44181066614041098</c:v>
                </c:pt>
                <c:pt idx="10">
                  <c:v>1.3396766061301613</c:v>
                </c:pt>
                <c:pt idx="11">
                  <c:v>1.1691689684586368</c:v>
                </c:pt>
              </c:numCache>
            </c:numRef>
          </c:yVal>
          <c:smooth val="0"/>
          <c:extLst>
            <c:ext xmlns:c16="http://schemas.microsoft.com/office/drawing/2014/chart" uri="{C3380CC4-5D6E-409C-BE32-E72D297353CC}">
              <c16:uniqueId val="{00000001-022E-4D90-8DA0-22BB6738BD27}"/>
            </c:ext>
          </c:extLst>
        </c:ser>
        <c:ser>
          <c:idx val="0"/>
          <c:order val="2"/>
          <c:tx>
            <c:v>SM24</c:v>
          </c:tx>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v2'!$BT$206:$BT$218</c:f>
              <c:numCache>
                <c:formatCode>0.000</c:formatCode>
                <c:ptCount val="13"/>
                <c:pt idx="0">
                  <c:v>0.37499824877389898</c:v>
                </c:pt>
                <c:pt idx="1">
                  <c:v>0.61369132650738367</c:v>
                </c:pt>
                <c:pt idx="2">
                  <c:v>0.47710621977098444</c:v>
                </c:pt>
                <c:pt idx="3">
                  <c:v>0.80510416043091115</c:v>
                </c:pt>
                <c:pt idx="4">
                  <c:v>0.58879495649605906</c:v>
                </c:pt>
                <c:pt idx="5">
                  <c:v>0.27714484925862076</c:v>
                </c:pt>
                <c:pt idx="6">
                  <c:v>0.56971229714820093</c:v>
                </c:pt>
                <c:pt idx="7">
                  <c:v>0.51079883673684157</c:v>
                </c:pt>
                <c:pt idx="9">
                  <c:v>0.31728113968395094</c:v>
                </c:pt>
                <c:pt idx="10">
                  <c:v>0.60840197100953297</c:v>
                </c:pt>
                <c:pt idx="11">
                  <c:v>0.71994404875384677</c:v>
                </c:pt>
              </c:numCache>
            </c:numRef>
          </c:yVal>
          <c:smooth val="0"/>
          <c:extLst>
            <c:ext xmlns:c16="http://schemas.microsoft.com/office/drawing/2014/chart" uri="{C3380CC4-5D6E-409C-BE32-E72D297353CC}">
              <c16:uniqueId val="{00000002-022E-4D90-8DA0-22BB6738BD27}"/>
            </c:ext>
          </c:extLst>
        </c:ser>
        <c:ser>
          <c:idx val="1"/>
          <c:order val="3"/>
          <c:tx>
            <c:v>SM25</c:v>
          </c:tx>
          <c:xVal>
            <c:numRef>
              <c:f>'Movement graphs v2'!$C$27:$C$40</c:f>
              <c:numCache>
                <c:formatCode>m/d/yyyy</c:formatCode>
                <c:ptCount val="14"/>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v2'!$BT$222:$BT$233</c:f>
              <c:numCache>
                <c:formatCode>0.000</c:formatCode>
                <c:ptCount val="12"/>
                <c:pt idx="0">
                  <c:v>0.43122781506861652</c:v>
                </c:pt>
                <c:pt idx="1">
                  <c:v>0.71902204463320463</c:v>
                </c:pt>
                <c:pt idx="2">
                  <c:v>0.55630312997695341</c:v>
                </c:pt>
                <c:pt idx="3">
                  <c:v>0.95982803980620846</c:v>
                </c:pt>
                <c:pt idx="4">
                  <c:v>0.6882324630238642</c:v>
                </c:pt>
                <c:pt idx="5">
                  <c:v>0.29384003187184354</c:v>
                </c:pt>
                <c:pt idx="6">
                  <c:v>0.67532493764761958</c:v>
                </c:pt>
                <c:pt idx="7">
                  <c:v>0.87817136326795153</c:v>
                </c:pt>
                <c:pt idx="8">
                  <c:v>0.34432802213528113</c:v>
                </c:pt>
                <c:pt idx="9">
                  <c:v>0.37321277628024535</c:v>
                </c:pt>
                <c:pt idx="10">
                  <c:v>0.69473644440936999</c:v>
                </c:pt>
              </c:numCache>
            </c:numRef>
          </c:yVal>
          <c:smooth val="0"/>
          <c:extLst>
            <c:ext xmlns:c16="http://schemas.microsoft.com/office/drawing/2014/chart" uri="{C3380CC4-5D6E-409C-BE32-E72D297353CC}">
              <c16:uniqueId val="{00000003-022E-4D90-8DA0-22BB6738BD27}"/>
            </c:ext>
          </c:extLst>
        </c:ser>
        <c:dLbls>
          <c:showLegendKey val="0"/>
          <c:showVal val="0"/>
          <c:showCatName val="0"/>
          <c:showSerName val="0"/>
          <c:showPercent val="0"/>
          <c:showBubbleSize val="0"/>
        </c:dLbls>
        <c:axId val="181592448"/>
        <c:axId val="181594368"/>
      </c:scatterChart>
      <c:valAx>
        <c:axId val="181592448"/>
        <c:scaling>
          <c:orientation val="minMax"/>
        </c:scaling>
        <c:delete val="0"/>
        <c:axPos val="b"/>
        <c:numFmt formatCode="mm/yyyy" sourceLinked="0"/>
        <c:majorTickMark val="out"/>
        <c:minorTickMark val="none"/>
        <c:tickLblPos val="nextTo"/>
        <c:txPr>
          <a:bodyPr rot="5400000" vert="horz"/>
          <a:lstStyle/>
          <a:p>
            <a:pPr>
              <a:defRPr/>
            </a:pPr>
            <a:endParaRPr lang="en-US"/>
          </a:p>
        </c:txPr>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Cumulative net displacement (m)</a:t>
                </a:r>
              </a:p>
            </c:rich>
          </c:tx>
          <c:overlay val="0"/>
        </c:title>
        <c:numFmt formatCode="0.000" sourceLinked="1"/>
        <c:majorTickMark val="out"/>
        <c:minorTickMark val="none"/>
        <c:tickLblPos val="nextTo"/>
        <c:crossAx val="181592448"/>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'Movement graphs v2'!$D$56</c:f>
              <c:strCache>
                <c:ptCount val="1"/>
                <c:pt idx="0">
                  <c:v>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v2'!$D$71:$D$94</c:f>
                <c:numCache>
                  <c:formatCode>General</c:formatCode>
                  <c:ptCount val="24"/>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pt idx="12">
                    <c:v>2.3784E-2</c:v>
                  </c:pt>
                  <c:pt idx="13">
                    <c:v>2.1742000000000001E-2</c:v>
                  </c:pt>
                  <c:pt idx="14">
                    <c:v>3.1878999999999998E-2</c:v>
                  </c:pt>
                  <c:pt idx="15">
                    <c:v>2.7402000000000003E-2</c:v>
                  </c:pt>
                  <c:pt idx="16">
                    <c:v>3.4049999999999997E-2</c:v>
                  </c:pt>
                  <c:pt idx="17">
                    <c:v>3.3175999999999997E-2</c:v>
                  </c:pt>
                  <c:pt idx="18">
                    <c:v>3.3257000000000002E-2</c:v>
                  </c:pt>
                  <c:pt idx="19">
                    <c:v>2.8170000000000001E-2</c:v>
                  </c:pt>
                  <c:pt idx="20">
                    <c:v>2.8059000000000001E-2</c:v>
                  </c:pt>
                  <c:pt idx="21">
                    <c:v>2.3698E-2</c:v>
                  </c:pt>
                  <c:pt idx="22">
                    <c:v>1.7000000000000001E-2</c:v>
                  </c:pt>
                  <c:pt idx="23">
                    <c:v>0</c:v>
                  </c:pt>
                </c:numCache>
              </c:numRef>
            </c:plus>
            <c:minus>
              <c:numRef>
                <c:f>'Movement graphs v2'!$D$83:$D$106</c:f>
                <c:numCache>
                  <c:formatCode>General</c:formatCode>
                  <c:ptCount val="24"/>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pt idx="11">
                    <c:v>0</c:v>
                  </c:pt>
                  <c:pt idx="17">
                    <c:v>43817</c:v>
                  </c:pt>
                  <c:pt idx="18">
                    <c:v>43382</c:v>
                  </c:pt>
                  <c:pt idx="19">
                    <c:v>43186</c:v>
                  </c:pt>
                  <c:pt idx="20">
                    <c:v>43019</c:v>
                  </c:pt>
                  <c:pt idx="21">
                    <c:v>42915</c:v>
                  </c:pt>
                  <c:pt idx="22">
                    <c:v>42814</c:v>
                  </c:pt>
                  <c:pt idx="23">
                    <c:v>42718</c:v>
                  </c:pt>
                </c:numCache>
              </c:numRef>
            </c:minus>
            <c:spPr>
              <a:noFill/>
              <a:ln w="12700" cap="flat" cmpd="sng" algn="ctr">
                <a:solidFill>
                  <a:srgbClr val="FF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v2'!$D$57:$D$68</c:f>
              <c:numCache>
                <c:formatCode>0.00</c:formatCode>
                <c:ptCount val="12"/>
                <c:pt idx="0">
                  <c:v>0.57085873811996413</c:v>
                </c:pt>
                <c:pt idx="1">
                  <c:v>0.5136871857530414</c:v>
                </c:pt>
                <c:pt idx="2">
                  <c:v>0.43780736045834862</c:v>
                </c:pt>
                <c:pt idx="3">
                  <c:v>0.3687746717589005</c:v>
                </c:pt>
                <c:pt idx="4">
                  <c:v>0.29624959983008525</c:v>
                </c:pt>
                <c:pt idx="5">
                  <c:v>0.24778133155749735</c:v>
                </c:pt>
                <c:pt idx="6">
                  <c:v>0.22116838588933219</c:v>
                </c:pt>
                <c:pt idx="7">
                  <c:v>0.17623563773625353</c:v>
                </c:pt>
                <c:pt idx="8">
                  <c:v>0.13232117765088358</c:v>
                </c:pt>
                <c:pt idx="9">
                  <c:v>9.3236085621265202E-2</c:v>
                </c:pt>
                <c:pt idx="10">
                  <c:v>4.3705776311569917E-2</c:v>
                </c:pt>
                <c:pt idx="11">
                  <c:v>0</c:v>
                </c:pt>
              </c:numCache>
            </c:numRef>
          </c:val>
          <c:smooth val="0"/>
          <c:extLst>
            <c:ext xmlns:c16="http://schemas.microsoft.com/office/drawing/2014/chart" uri="{C3380CC4-5D6E-409C-BE32-E72D297353CC}">
              <c16:uniqueId val="{00000000-1BD8-47C9-A259-22ED28141ABC}"/>
            </c:ext>
          </c:extLst>
        </c:ser>
        <c:ser>
          <c:idx val="1"/>
          <c:order val="1"/>
          <c:tx>
            <c:strRef>
              <c:f>'Movement graphs v2'!$E$56</c:f>
              <c:strCache>
                <c:ptCount val="1"/>
                <c:pt idx="0">
                  <c:v>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v2'!$E$71:$E$94</c:f>
                <c:numCache>
                  <c:formatCode>General</c:formatCode>
                  <c:ptCount val="24"/>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pt idx="12">
                    <c:v>2.6347000000000002E-2</c:v>
                  </c:pt>
                  <c:pt idx="13">
                    <c:v>2.9463000000000003E-2</c:v>
                  </c:pt>
                  <c:pt idx="14">
                    <c:v>3.3222000000000002E-2</c:v>
                  </c:pt>
                  <c:pt idx="15">
                    <c:v>2.4635000000000001E-2</c:v>
                  </c:pt>
                  <c:pt idx="16">
                    <c:v>5.3945E-2</c:v>
                  </c:pt>
                  <c:pt idx="17">
                    <c:v>4.2608E-2</c:v>
                  </c:pt>
                  <c:pt idx="18">
                    <c:v>2.4668000000000002E-2</c:v>
                  </c:pt>
                  <c:pt idx="19">
                    <c:v>4.0056000000000001E-2</c:v>
                  </c:pt>
                  <c:pt idx="20">
                    <c:v>3.0275000000000003E-2</c:v>
                  </c:pt>
                  <c:pt idx="21">
                    <c:v>2.3030999999999999E-2</c:v>
                  </c:pt>
                  <c:pt idx="22">
                    <c:v>1.9E-2</c:v>
                  </c:pt>
                  <c:pt idx="23">
                    <c:v>1.8000000000000002E-2</c:v>
                  </c:pt>
                </c:numCache>
              </c:numRef>
            </c:plus>
            <c:minus>
              <c:numRef>
                <c:f>'Movement graphs v2'!$E$83:$E$106</c:f>
                <c:numCache>
                  <c:formatCode>General</c:formatCode>
                  <c:ptCount val="24"/>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pt idx="16">
                    <c:v>11</c:v>
                  </c:pt>
                  <c:pt idx="17">
                    <c:v>4.7020347896129557</c:v>
                  </c:pt>
                  <c:pt idx="18">
                    <c:v>3.5546421773123975</c:v>
                  </c:pt>
                  <c:pt idx="19">
                    <c:v>2.775936462671841</c:v>
                  </c:pt>
                  <c:pt idx="20">
                    <c:v>2.2583289323352993</c:v>
                  </c:pt>
                  <c:pt idx="21">
                    <c:v>1.7241617985320503</c:v>
                  </c:pt>
                  <c:pt idx="22">
                    <c:v>1.4415982496834223</c:v>
                  </c:pt>
                </c:numCache>
              </c:numRef>
            </c:minus>
            <c:spPr>
              <a:noFill/>
              <a:ln w="12700" cap="flat" cmpd="sng" algn="ctr">
                <a:solidFill>
                  <a:srgbClr val="00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v2'!$E$57:$E$68</c:f>
              <c:numCache>
                <c:formatCode>0.00</c:formatCode>
                <c:ptCount val="12"/>
                <c:pt idx="0">
                  <c:v>0.57216844828629732</c:v>
                </c:pt>
                <c:pt idx="1">
                  <c:v>0.54091139109533981</c:v>
                </c:pt>
                <c:pt idx="2">
                  <c:v>0.44530597044668113</c:v>
                </c:pt>
                <c:pt idx="3">
                  <c:v>0.40415163334434429</c:v>
                </c:pt>
                <c:pt idx="4">
                  <c:v>0.34444368129364561</c:v>
                </c:pt>
                <c:pt idx="5">
                  <c:v>0.28335902413205705</c:v>
                </c:pt>
                <c:pt idx="6">
                  <c:v>0.25674871780709591</c:v>
                </c:pt>
                <c:pt idx="7">
                  <c:v>0.21981593091020635</c:v>
                </c:pt>
                <c:pt idx="8">
                  <c:v>0.17815276946559669</c:v>
                </c:pt>
                <c:pt idx="9">
                  <c:v>0.13386914980335121</c:v>
                </c:pt>
                <c:pt idx="10">
                  <c:v>7.749016705530648E-2</c:v>
                </c:pt>
                <c:pt idx="11">
                  <c:v>2.8248894396334503E-2</c:v>
                </c:pt>
              </c:numCache>
            </c:numRef>
          </c:val>
          <c:smooth val="0"/>
          <c:extLst>
            <c:ext xmlns:c16="http://schemas.microsoft.com/office/drawing/2014/chart" uri="{C3380CC4-5D6E-409C-BE32-E72D297353CC}">
              <c16:uniqueId val="{00000001-1BD8-47C9-A259-22ED28141ABC}"/>
            </c:ext>
          </c:extLst>
        </c:ser>
        <c:ser>
          <c:idx val="4"/>
          <c:order val="4"/>
          <c:tx>
            <c:strRef>
              <c:f>'Movement graphs v2'!$H$56</c:f>
              <c:strCache>
                <c:ptCount val="1"/>
                <c:pt idx="0">
                  <c:v>5</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v2'!$H$71:$H$94</c:f>
                <c:numCache>
                  <c:formatCode>General</c:formatCode>
                  <c:ptCount val="24"/>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pt idx="12">
                    <c:v>2.1310000000000003E-2</c:v>
                  </c:pt>
                  <c:pt idx="13">
                    <c:v>2.5517999999999999E-2</c:v>
                  </c:pt>
                  <c:pt idx="14">
                    <c:v>2.7942000000000002E-2</c:v>
                  </c:pt>
                  <c:pt idx="15">
                    <c:v>2.6854999999999997E-2</c:v>
                  </c:pt>
                  <c:pt idx="16">
                    <c:v>3.6638999999999998E-2</c:v>
                  </c:pt>
                  <c:pt idx="17">
                    <c:v>3.1472E-2</c:v>
                  </c:pt>
                  <c:pt idx="18">
                    <c:v>2.6217999999999998E-2</c:v>
                  </c:pt>
                  <c:pt idx="19">
                    <c:v>3.7588000000000003E-2</c:v>
                  </c:pt>
                  <c:pt idx="20">
                    <c:v>2.826E-2</c:v>
                  </c:pt>
                  <c:pt idx="21">
                    <c:v>2.4363000000000003E-2</c:v>
                  </c:pt>
                  <c:pt idx="22">
                    <c:v>1.6E-2</c:v>
                  </c:pt>
                  <c:pt idx="23">
                    <c:v>1.7000000000000001E-2</c:v>
                  </c:pt>
                </c:numCache>
              </c:numRef>
            </c:plus>
            <c:minus>
              <c:numRef>
                <c:f>'Movement graphs v2'!$H$83:$H$106</c:f>
                <c:numCache>
                  <c:formatCode>General</c:formatCode>
                  <c:ptCount val="24"/>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pt idx="16">
                    <c:v>14</c:v>
                  </c:pt>
                  <c:pt idx="17">
                    <c:v>11.301810814016338</c:v>
                  </c:pt>
                  <c:pt idx="18">
                    <c:v>8.8397149828587764</c:v>
                  </c:pt>
                  <c:pt idx="19">
                    <c:v>6.9764109712121503</c:v>
                  </c:pt>
                  <c:pt idx="20">
                    <c:v>5.6533370642183254</c:v>
                  </c:pt>
                  <c:pt idx="21">
                    <c:v>4.2436158384122811</c:v>
                  </c:pt>
                  <c:pt idx="22">
                    <c:v>3.4437394279202134</c:v>
                  </c:pt>
                  <c:pt idx="23">
                    <c:v>3.0585732299737449</c:v>
                  </c:pt>
                </c:numCache>
              </c:numRef>
            </c:minus>
            <c:spPr>
              <a:noFill/>
              <a:ln w="12700" cap="flat" cmpd="sng" algn="ctr">
                <a:solidFill>
                  <a:srgbClr val="00FF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v2'!$H$57:$H$68</c:f>
              <c:numCache>
                <c:formatCode>0.00</c:formatCode>
                <c:ptCount val="12"/>
                <c:pt idx="0">
                  <c:v>1.0270646430481531</c:v>
                </c:pt>
                <c:pt idx="1">
                  <c:v>0.84251394652472844</c:v>
                </c:pt>
                <c:pt idx="2">
                  <c:v>0.6760778935860654</c:v>
                </c:pt>
                <c:pt idx="3">
                  <c:v>0.59415391962374897</c:v>
                </c:pt>
                <c:pt idx="4">
                  <c:v>0.4899263338142168</c:v>
                </c:pt>
                <c:pt idx="5">
                  <c:v>0.40887296512943838</c:v>
                </c:pt>
                <c:pt idx="6">
                  <c:v>0.37723059586552132</c:v>
                </c:pt>
                <c:pt idx="7">
                  <c:v>0.31054999692602608</c:v>
                </c:pt>
                <c:pt idx="8">
                  <c:v>0.21485200842192176</c:v>
                </c:pt>
                <c:pt idx="9">
                  <c:v>0.13104676520314751</c:v>
                </c:pt>
                <c:pt idx="10">
                  <c:v>8.9613781569208545E-2</c:v>
                </c:pt>
                <c:pt idx="11">
                  <c:v>7.1281134541657187E-2</c:v>
                </c:pt>
              </c:numCache>
            </c:numRef>
          </c:val>
          <c:smooth val="0"/>
          <c:extLst>
            <c:ext xmlns:c16="http://schemas.microsoft.com/office/drawing/2014/chart" uri="{C3380CC4-5D6E-409C-BE32-E72D297353CC}">
              <c16:uniqueId val="{00000004-1BD8-47C9-A259-22ED28141ABC}"/>
            </c:ext>
          </c:extLst>
        </c:ser>
        <c:ser>
          <c:idx val="5"/>
          <c:order val="5"/>
          <c:tx>
            <c:strRef>
              <c:f>'Movement graphs v2'!$I$56</c:f>
              <c:strCache>
                <c:ptCount val="1"/>
                <c:pt idx="0">
                  <c:v>6</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v2'!$I$71:$I$94</c:f>
                <c:numCache>
                  <c:formatCode>General</c:formatCode>
                  <c:ptCount val="24"/>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pt idx="12">
                    <c:v>2.1860999999999998E-2</c:v>
                  </c:pt>
                  <c:pt idx="13">
                    <c:v>2.6388000000000002E-2</c:v>
                  </c:pt>
                  <c:pt idx="14">
                    <c:v>3.4676999999999999E-2</c:v>
                  </c:pt>
                  <c:pt idx="15">
                    <c:v>2.2711000000000002E-2</c:v>
                  </c:pt>
                  <c:pt idx="16">
                    <c:v>4.5107000000000001E-2</c:v>
                  </c:pt>
                  <c:pt idx="17">
                    <c:v>2.7666000000000003E-2</c:v>
                  </c:pt>
                  <c:pt idx="18">
                    <c:v>2.3644999999999999E-2</c:v>
                  </c:pt>
                  <c:pt idx="19">
                    <c:v>3.4242000000000002E-2</c:v>
                  </c:pt>
                  <c:pt idx="20">
                    <c:v>4.6240000000000003E-2</c:v>
                  </c:pt>
                  <c:pt idx="21">
                    <c:v>2.5814999999999998E-2</c:v>
                  </c:pt>
                  <c:pt idx="22">
                    <c:v>1.9E-2</c:v>
                  </c:pt>
                  <c:pt idx="23">
                    <c:v>1.9E-2</c:v>
                  </c:pt>
                </c:numCache>
              </c:numRef>
            </c:plus>
            <c:minus>
              <c:numRef>
                <c:f>'Movement graphs v2'!$I$83:$I$106</c:f>
                <c:numCache>
                  <c:formatCode>General</c:formatCode>
                  <c:ptCount val="24"/>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pt idx="16">
                    <c:v>17</c:v>
                  </c:pt>
                  <c:pt idx="17">
                    <c:v>16.029335382562415</c:v>
                  </c:pt>
                  <c:pt idx="18">
                    <c:v>11.720995512156351</c:v>
                  </c:pt>
                  <c:pt idx="19">
                    <c:v>8.9034805102409429</c:v>
                  </c:pt>
                  <c:pt idx="20">
                    <c:v>7.0342122516929821</c:v>
                  </c:pt>
                  <c:pt idx="21">
                    <c:v>5.2421361878117594</c:v>
                  </c:pt>
                  <c:pt idx="22">
                    <c:v>4.0300701830311123</c:v>
                  </c:pt>
                  <c:pt idx="23">
                    <c:v>3.3937512997843013</c:v>
                  </c:pt>
                </c:numCache>
              </c:numRef>
            </c:minus>
            <c:spPr>
              <a:noFill/>
              <a:ln w="12700" cap="flat" cmpd="sng" algn="ctr">
                <a:solidFill>
                  <a:srgbClr val="0000FF"/>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v2'!$I$57:$I$68</c:f>
              <c:numCache>
                <c:formatCode>0.00</c:formatCode>
                <c:ptCount val="12"/>
                <c:pt idx="0">
                  <c:v>0.86486940587848415</c:v>
                </c:pt>
                <c:pt idx="1">
                  <c:v>0.76852145946366135</c:v>
                </c:pt>
                <c:pt idx="2">
                  <c:v>0.63212780394447965</c:v>
                </c:pt>
                <c:pt idx="3">
                  <c:v>0.51070118567267908</c:v>
                </c:pt>
                <c:pt idx="4">
                  <c:v>0.45005256078275419</c:v>
                </c:pt>
                <c:pt idx="5">
                  <c:v>0.38391851758308621</c:v>
                </c:pt>
                <c:pt idx="6">
                  <c:v>0.36983337701466606</c:v>
                </c:pt>
                <c:pt idx="7">
                  <c:v>0.32634429621052752</c:v>
                </c:pt>
                <c:pt idx="8">
                  <c:v>0.24317107760427492</c:v>
                </c:pt>
                <c:pt idx="9">
                  <c:v>0.19482277981151844</c:v>
                </c:pt>
                <c:pt idx="10">
                  <c:v>0.15558025534072104</c:v>
                </c:pt>
                <c:pt idx="11">
                  <c:v>8.2861330959518822E-2</c:v>
                </c:pt>
              </c:numCache>
            </c:numRef>
          </c:val>
          <c:smooth val="0"/>
          <c:extLst>
            <c:ext xmlns:c16="http://schemas.microsoft.com/office/drawing/2014/chart" uri="{C3380CC4-5D6E-409C-BE32-E72D297353CC}">
              <c16:uniqueId val="{00000005-1BD8-47C9-A259-22ED28141ABC}"/>
            </c:ext>
          </c:extLst>
        </c:ser>
        <c:ser>
          <c:idx val="6"/>
          <c:order val="6"/>
          <c:tx>
            <c:strRef>
              <c:f>'Movement graphs v2'!$J$56</c:f>
              <c:strCache>
                <c:ptCount val="1"/>
                <c:pt idx="0">
                  <c:v>7</c:v>
                </c:pt>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v2'!$J$71:$J$94</c:f>
                <c:numCache>
                  <c:formatCode>General</c:formatCode>
                  <c:ptCount val="24"/>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pt idx="12">
                    <c:v>2.2630999999999998E-2</c:v>
                  </c:pt>
                  <c:pt idx="13">
                    <c:v>2.6872E-2</c:v>
                  </c:pt>
                  <c:pt idx="14">
                    <c:v>3.0286E-2</c:v>
                  </c:pt>
                  <c:pt idx="15">
                    <c:v>2.8762000000000003E-2</c:v>
                  </c:pt>
                  <c:pt idx="16">
                    <c:v>3.5730999999999999E-2</c:v>
                  </c:pt>
                  <c:pt idx="17">
                    <c:v>3.1948999999999998E-2</c:v>
                  </c:pt>
                  <c:pt idx="18">
                    <c:v>2.6006000000000001E-2</c:v>
                  </c:pt>
                  <c:pt idx="19">
                    <c:v>4.2099000000000004E-2</c:v>
                  </c:pt>
                  <c:pt idx="20">
                    <c:v>2.8642000000000001E-2</c:v>
                  </c:pt>
                  <c:pt idx="21">
                    <c:v>3.5199000000000001E-2</c:v>
                  </c:pt>
                  <c:pt idx="22">
                    <c:v>0</c:v>
                  </c:pt>
                  <c:pt idx="23">
                    <c:v>0</c:v>
                  </c:pt>
                </c:numCache>
              </c:numRef>
            </c:plus>
            <c:minus>
              <c:numRef>
                <c:f>'Movement graphs v2'!$J$83:$J$106</c:f>
                <c:numCache>
                  <c:formatCode>General</c:formatCode>
                  <c:ptCount val="24"/>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pt idx="10">
                    <c:v>0</c:v>
                  </c:pt>
                  <c:pt idx="11">
                    <c:v>0</c:v>
                  </c:pt>
                  <c:pt idx="16">
                    <c:v>18</c:v>
                  </c:pt>
                  <c:pt idx="17">
                    <c:v>2.375196806897665</c:v>
                  </c:pt>
                  <c:pt idx="18">
                    <c:v>1.7825781521650954</c:v>
                  </c:pt>
                  <c:pt idx="19">
                    <c:v>1.4085674352746851</c:v>
                  </c:pt>
                  <c:pt idx="20">
                    <c:v>1.1524053632473517</c:v>
                  </c:pt>
                  <c:pt idx="21">
                    <c:v>0.93482384849690758</c:v>
                  </c:pt>
                  <c:pt idx="22">
                    <c:v>0.78532223127157119</c:v>
                  </c:pt>
                  <c:pt idx="23">
                    <c:v>0.71834144991020144</c:v>
                  </c:pt>
                </c:numCache>
              </c:numRef>
            </c:minus>
            <c:spPr>
              <a:noFill/>
              <a:ln w="12700" cap="flat" cmpd="sng" algn="ctr">
                <a:solidFill>
                  <a:srgbClr val="80808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v2'!$J$57:$J$68</c:f>
              <c:numCache>
                <c:formatCode>0.00</c:formatCode>
                <c:ptCount val="12"/>
                <c:pt idx="0">
                  <c:v>0.51961711958323553</c:v>
                </c:pt>
                <c:pt idx="1">
                  <c:v>0.46714633070575107</c:v>
                </c:pt>
                <c:pt idx="2">
                  <c:v>0.37328532297196143</c:v>
                </c:pt>
                <c:pt idx="3">
                  <c:v>0.32650324292764565</c:v>
                </c:pt>
                <c:pt idx="4">
                  <c:v>0.26864339333155723</c:v>
                </c:pt>
                <c:pt idx="5">
                  <c:v>0.19891539612140766</c:v>
                </c:pt>
                <c:pt idx="6">
                  <c:v>0.17098222774949909</c:v>
                </c:pt>
                <c:pt idx="7">
                  <c:v>0.12781129153306037</c:v>
                </c:pt>
                <c:pt idx="8">
                  <c:v>8.7831217389387345E-2</c:v>
                </c:pt>
                <c:pt idx="9">
                  <c:v>3.2497814463423105E-2</c:v>
                </c:pt>
                <c:pt idx="10">
                  <c:v>0</c:v>
                </c:pt>
              </c:numCache>
            </c:numRef>
          </c:val>
          <c:smooth val="0"/>
          <c:extLst>
            <c:ext xmlns:c16="http://schemas.microsoft.com/office/drawing/2014/chart" uri="{C3380CC4-5D6E-409C-BE32-E72D297353CC}">
              <c16:uniqueId val="{00000006-1BD8-47C9-A259-22ED28141ABC}"/>
            </c:ext>
          </c:extLst>
        </c:ser>
        <c:ser>
          <c:idx val="7"/>
          <c:order val="7"/>
          <c:tx>
            <c:strRef>
              <c:f>'Movement graphs v2'!$K$56</c:f>
              <c:strCache>
                <c:ptCount val="1"/>
                <c:pt idx="0">
                  <c:v>15</c:v>
                </c:pt>
              </c:strCache>
            </c:strRef>
          </c:tx>
          <c:spPr>
            <a:ln w="12700" cap="rnd">
              <a:solidFill>
                <a:srgbClr val="000000"/>
              </a:solidFill>
              <a:prstDash val="solid"/>
              <a:round/>
            </a:ln>
            <a:effectLst/>
          </c:spPr>
          <c:marker>
            <c:symbol val="triangle"/>
            <c:size val="7"/>
            <c:spPr>
              <a:solidFill>
                <a:srgbClr val="FFFFFF"/>
              </a:solidFill>
              <a:ln w="12700">
                <a:solidFill>
                  <a:srgbClr val="000000"/>
                </a:solidFill>
                <a:prstDash val="solid"/>
              </a:ln>
              <a:effectLst/>
            </c:spPr>
          </c:marker>
          <c:errBars>
            <c:errDir val="y"/>
            <c:errBarType val="both"/>
            <c:errValType val="cust"/>
            <c:noEndCap val="0"/>
            <c:plus>
              <c:numRef>
                <c:f>'Movement graphs v2'!$K$71:$K$94</c:f>
                <c:numCache>
                  <c:formatCode>General</c:formatCode>
                  <c:ptCount val="24"/>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pt idx="12">
                    <c:v>2.5617000000000001E-2</c:v>
                  </c:pt>
                  <c:pt idx="13">
                    <c:v>3.6764999999999999E-2</c:v>
                  </c:pt>
                  <c:pt idx="14">
                    <c:v>2.6750000000000003E-2</c:v>
                  </c:pt>
                  <c:pt idx="15">
                    <c:v>3.3741E-2</c:v>
                  </c:pt>
                  <c:pt idx="16">
                    <c:v>3.1212999999999998E-2</c:v>
                  </c:pt>
                  <c:pt idx="17">
                    <c:v>3.3388000000000001E-2</c:v>
                  </c:pt>
                  <c:pt idx="18">
                    <c:v>2.1351999999999999E-2</c:v>
                  </c:pt>
                  <c:pt idx="19">
                    <c:v>3.0643999999999998E-2</c:v>
                  </c:pt>
                  <c:pt idx="20">
                    <c:v>2.264E-2</c:v>
                  </c:pt>
                  <c:pt idx="21">
                    <c:v>3.1572000000000003E-2</c:v>
                  </c:pt>
                  <c:pt idx="22">
                    <c:v>0</c:v>
                  </c:pt>
                  <c:pt idx="23">
                    <c:v>0</c:v>
                  </c:pt>
                </c:numCache>
              </c:numRef>
            </c:plus>
            <c:minus>
              <c:numRef>
                <c:f>'Movement graphs v2'!$K$83:$K$106</c:f>
                <c:numCache>
                  <c:formatCode>General</c:formatCode>
                  <c:ptCount val="24"/>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pt idx="10">
                    <c:v>0</c:v>
                  </c:pt>
                  <c:pt idx="11">
                    <c:v>0</c:v>
                  </c:pt>
                </c:numCache>
              </c:numRef>
            </c:minus>
            <c:spPr>
              <a:noFill/>
              <a:ln w="12700" cap="flat" cmpd="sng" algn="ctr">
                <a:solidFill>
                  <a:srgbClr val="00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v2'!$K$57:$K$68</c:f>
              <c:numCache>
                <c:formatCode>0.00</c:formatCode>
                <c:ptCount val="12"/>
                <c:pt idx="0">
                  <c:v>0.88297562533177232</c:v>
                </c:pt>
                <c:pt idx="1">
                  <c:v>0.73246602946147354</c:v>
                </c:pt>
                <c:pt idx="2">
                  <c:v>0.55125378159610117</c:v>
                </c:pt>
                <c:pt idx="3">
                  <c:v>0.47259048120749064</c:v>
                </c:pt>
                <c:pt idx="4">
                  <c:v>0.34591966772410965</c:v>
                </c:pt>
                <c:pt idx="5">
                  <c:v>0.26629207683218103</c:v>
                </c:pt>
                <c:pt idx="6">
                  <c:v>0.22781180770862824</c:v>
                </c:pt>
                <c:pt idx="7">
                  <c:v>0.16849943572467402</c:v>
                </c:pt>
                <c:pt idx="8">
                  <c:v>7.7176132482482548E-2</c:v>
                </c:pt>
                <c:pt idx="9">
                  <c:v>3.7687289040181662E-2</c:v>
                </c:pt>
                <c:pt idx="10">
                  <c:v>0</c:v>
                </c:pt>
              </c:numCache>
            </c:numRef>
          </c:val>
          <c:smooth val="0"/>
          <c:extLst>
            <c:ext xmlns:c16="http://schemas.microsoft.com/office/drawing/2014/chart" uri="{C3380CC4-5D6E-409C-BE32-E72D297353CC}">
              <c16:uniqueId val="{00000007-1BD8-47C9-A259-22ED28141ABC}"/>
            </c:ext>
          </c:extLst>
        </c:ser>
        <c:dLbls>
          <c:showLegendKey val="0"/>
          <c:showVal val="0"/>
          <c:showCatName val="0"/>
          <c:showSerName val="0"/>
          <c:showPercent val="0"/>
          <c:showBubbleSize val="0"/>
        </c:dLbls>
        <c:marker val="1"/>
        <c:smooth val="0"/>
        <c:axId val="2142526896"/>
        <c:axId val="2004665920"/>
        <c:extLst>
          <c:ext xmlns:c15="http://schemas.microsoft.com/office/drawing/2012/chart" uri="{02D57815-91ED-43cb-92C2-25804820EDAC}">
            <c15:filteredLineSeries>
              <c15:ser>
                <c:idx val="2"/>
                <c:order val="2"/>
                <c:tx>
                  <c:strRef>
                    <c:extLst>
                      <c:ext uri="{02D57815-91ED-43cb-92C2-25804820EDAC}">
                        <c15:formulaRef>
                          <c15:sqref>'Movement graphs v2'!$F$56</c15:sqref>
                        </c15:formulaRef>
                      </c:ext>
                    </c:extLst>
                    <c:strCache>
                      <c:ptCount val="1"/>
                      <c:pt idx="0">
                        <c:v>3</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extLst>
                        <c:ext uri="{02D57815-91ED-43cb-92C2-25804820EDAC}">
                          <c15:formulaRef>
                            <c15:sqref>'Movement graphs v2'!$F$71:$F$94</c15:sqref>
                          </c15:formulaRef>
                        </c:ext>
                      </c:extLst>
                      <c:numCache>
                        <c:formatCode>General</c:formatCode>
                        <c:ptCount val="24"/>
                        <c:pt idx="0">
                          <c:v>2.5562000000000001E-2</c:v>
                        </c:pt>
                        <c:pt idx="1">
                          <c:v>2.5889000000000002E-2</c:v>
                        </c:pt>
                        <c:pt idx="3">
                          <c:v>2.4272999999999999E-2</c:v>
                        </c:pt>
                        <c:pt idx="4">
                          <c:v>2.8097999999999998E-2</c:v>
                        </c:pt>
                        <c:pt idx="5">
                          <c:v>3.1077E-2</c:v>
                        </c:pt>
                        <c:pt idx="6">
                          <c:v>2.4565E-2</c:v>
                        </c:pt>
                        <c:pt idx="7">
                          <c:v>3.1420999999999998E-2</c:v>
                        </c:pt>
                        <c:pt idx="8">
                          <c:v>3.4245999999999999E-2</c:v>
                        </c:pt>
                        <c:pt idx="9">
                          <c:v>2.5852E-2</c:v>
                        </c:pt>
                        <c:pt idx="10">
                          <c:v>1.4999999999999999E-2</c:v>
                        </c:pt>
                        <c:pt idx="12">
                          <c:v>2.5562000000000001E-2</c:v>
                        </c:pt>
                        <c:pt idx="13">
                          <c:v>2.5889000000000002E-2</c:v>
                        </c:pt>
                        <c:pt idx="14">
                          <c:v>0</c:v>
                        </c:pt>
                        <c:pt idx="15">
                          <c:v>2.4272999999999999E-2</c:v>
                        </c:pt>
                        <c:pt idx="16">
                          <c:v>2.8097999999999998E-2</c:v>
                        </c:pt>
                        <c:pt idx="17">
                          <c:v>3.1077E-2</c:v>
                        </c:pt>
                        <c:pt idx="18">
                          <c:v>2.4565E-2</c:v>
                        </c:pt>
                        <c:pt idx="19">
                          <c:v>3.1420999999999998E-2</c:v>
                        </c:pt>
                        <c:pt idx="20">
                          <c:v>3.4245999999999999E-2</c:v>
                        </c:pt>
                        <c:pt idx="21">
                          <c:v>2.5852E-2</c:v>
                        </c:pt>
                        <c:pt idx="22">
                          <c:v>1.4999999999999999E-2</c:v>
                        </c:pt>
                        <c:pt idx="23">
                          <c:v>0</c:v>
                        </c:pt>
                      </c:numCache>
                    </c:numRef>
                  </c:plus>
                  <c:minus>
                    <c:numRef>
                      <c:extLst>
                        <c:ext uri="{02D57815-91ED-43cb-92C2-25804820EDAC}">
                          <c15:formulaRef>
                            <c15:sqref>'Movement graphs v2'!$F$83:$F$106</c15:sqref>
                          </c15:formulaRef>
                        </c:ext>
                      </c:extLst>
                      <c:numCache>
                        <c:formatCode>General</c:formatCode>
                        <c:ptCount val="24"/>
                        <c:pt idx="0">
                          <c:v>2.5562000000000001E-2</c:v>
                        </c:pt>
                        <c:pt idx="1">
                          <c:v>2.5889000000000002E-2</c:v>
                        </c:pt>
                        <c:pt idx="2">
                          <c:v>0</c:v>
                        </c:pt>
                        <c:pt idx="3">
                          <c:v>2.4272999999999999E-2</c:v>
                        </c:pt>
                        <c:pt idx="4">
                          <c:v>2.8097999999999998E-2</c:v>
                        </c:pt>
                        <c:pt idx="5">
                          <c:v>3.1077E-2</c:v>
                        </c:pt>
                        <c:pt idx="6">
                          <c:v>2.4565E-2</c:v>
                        </c:pt>
                        <c:pt idx="7">
                          <c:v>3.1420999999999998E-2</c:v>
                        </c:pt>
                        <c:pt idx="8">
                          <c:v>3.4245999999999999E-2</c:v>
                        </c:pt>
                        <c:pt idx="9">
                          <c:v>2.5852E-2</c:v>
                        </c:pt>
                        <c:pt idx="10">
                          <c:v>1.4999999999999999E-2</c:v>
                        </c:pt>
                        <c:pt idx="11">
                          <c:v>0</c:v>
                        </c:pt>
                        <c:pt idx="16">
                          <c:v>12</c:v>
                        </c:pt>
                        <c:pt idx="17">
                          <c:v>3.9342536488857904</c:v>
                        </c:pt>
                        <c:pt idx="18">
                          <c:v>2.9304284538201086</c:v>
                        </c:pt>
                        <c:pt idx="19">
                          <c:v>2.2626109421203524</c:v>
                        </c:pt>
                        <c:pt idx="20">
                          <c:v>1.8592581070189949</c:v>
                        </c:pt>
                        <c:pt idx="21">
                          <c:v>1.439227419349864</c:v>
                        </c:pt>
                        <c:pt idx="22">
                          <c:v>1.1779855065018525</c:v>
                        </c:pt>
                        <c:pt idx="23">
                          <c:v>1.0666590832466714</c:v>
                        </c:pt>
                      </c:numCache>
                    </c:numRef>
                  </c:minus>
                  <c:spPr>
                    <a:noFill/>
                    <a:ln w="12700" cap="flat" cmpd="sng" algn="ctr">
                      <a:solidFill>
                        <a:srgbClr val="00FF00"/>
                      </a:solidFill>
                      <a:prstDash val="solid"/>
                      <a:round/>
                    </a:ln>
                    <a:effectLst/>
                  </c:spPr>
                </c:errBars>
                <c:cat>
                  <c:numRef>
                    <c:extLst>
                      <c:ex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c:ext uri="{02D57815-91ED-43cb-92C2-25804820EDAC}">
                        <c15:formulaRef>
                          <c15:sqref>'Movement graphs v2'!$F$57:$F$68</c15:sqref>
                        </c15:formulaRef>
                      </c:ext>
                    </c:extLst>
                    <c:numCache>
                      <c:formatCode>0.00</c:formatCode>
                      <c:ptCount val="12"/>
                      <c:pt idx="0">
                        <c:v>0.60935168976721699</c:v>
                      </c:pt>
                      <c:pt idx="1">
                        <c:v>0.56750691140862197</c:v>
                      </c:pt>
                      <c:pt idx="3">
                        <c:v>0.4600920120880011</c:v>
                      </c:pt>
                      <c:pt idx="4">
                        <c:v>0.37200140556339517</c:v>
                      </c:pt>
                      <c:pt idx="5">
                        <c:v>0.28321833248645906</c:v>
                      </c:pt>
                      <c:pt idx="6">
                        <c:v>0.24797345333437862</c:v>
                      </c:pt>
                      <c:pt idx="7">
                        <c:v>0.20591965818576746</c:v>
                      </c:pt>
                      <c:pt idx="8">
                        <c:v>0.15140929010847118</c:v>
                      </c:pt>
                      <c:pt idx="9">
                        <c:v>0.10385325337930167</c:v>
                      </c:pt>
                      <c:pt idx="10">
                        <c:v>4.0537142787519034E-2</c:v>
                      </c:pt>
                      <c:pt idx="11">
                        <c:v>0</c:v>
                      </c:pt>
                    </c:numCache>
                  </c:numRef>
                </c:val>
                <c:smooth val="0"/>
                <c:extLst>
                  <c:ext xmlns:c16="http://schemas.microsoft.com/office/drawing/2014/chart" uri="{C3380CC4-5D6E-409C-BE32-E72D297353CC}">
                    <c16:uniqueId val="{00000002-1BD8-47C9-A259-22ED28141AB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'Movement graphs v2'!$G$56</c15:sqref>
                        </c15:formulaRef>
                      </c:ext>
                    </c:extLst>
                    <c:strCache>
                      <c:ptCount val="1"/>
                      <c:pt idx="0">
                        <c:v>4</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extLst xmlns:c15="http://schemas.microsoft.com/office/drawing/2012/chart">
                        <c:ext xmlns:c15="http://schemas.microsoft.com/office/drawing/2012/chart" uri="{02D57815-91ED-43cb-92C2-25804820EDAC}">
                          <c15:formulaRef>
                            <c15:sqref>'Movement graphs v2'!$G$71:$G$94</c15:sqref>
                          </c15:formulaRef>
                        </c:ext>
                      </c:extLst>
                      <c:numCache>
                        <c:formatCode>General</c:formatCode>
                        <c:ptCount val="24"/>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pt idx="12">
                          <c:v>1.9675999999999999E-2</c:v>
                        </c:pt>
                        <c:pt idx="13">
                          <c:v>2.4307000000000002E-2</c:v>
                        </c:pt>
                        <c:pt idx="14">
                          <c:v>2.7244999999999998E-2</c:v>
                        </c:pt>
                        <c:pt idx="15">
                          <c:v>5.7322000000000005E-2</c:v>
                        </c:pt>
                        <c:pt idx="16">
                          <c:v>3.1106000000000002E-2</c:v>
                        </c:pt>
                        <c:pt idx="17">
                          <c:v>2.5266999999999998E-2</c:v>
                        </c:pt>
                        <c:pt idx="18">
                          <c:v>3.9609999999999999E-2</c:v>
                        </c:pt>
                        <c:pt idx="19">
                          <c:v>3.4242000000000002E-2</c:v>
                        </c:pt>
                        <c:pt idx="20">
                          <c:v>2.8145999999999997E-2</c:v>
                        </c:pt>
                        <c:pt idx="21">
                          <c:v>2.2059000000000002E-2</c:v>
                        </c:pt>
                        <c:pt idx="22">
                          <c:v>1.8000000000000002E-2</c:v>
                        </c:pt>
                        <c:pt idx="23">
                          <c:v>1.6E-2</c:v>
                        </c:pt>
                      </c:numCache>
                    </c:numRef>
                  </c:plus>
                  <c:minus>
                    <c:numRef>
                      <c:extLst xmlns:c15="http://schemas.microsoft.com/office/drawing/2012/chart">
                        <c:ext xmlns:c15="http://schemas.microsoft.com/office/drawing/2012/chart" uri="{02D57815-91ED-43cb-92C2-25804820EDAC}">
                          <c15:formulaRef>
                            <c15:sqref>'Movement graphs v2'!$G$83:$G$106</c15:sqref>
                          </c15:formulaRef>
                        </c:ext>
                      </c:extLst>
                      <c:numCache>
                        <c:formatCode>General</c:formatCode>
                        <c:ptCount val="24"/>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pt idx="16">
                          <c:v>13</c:v>
                        </c:pt>
                        <c:pt idx="17">
                          <c:v>2.6074783706815556</c:v>
                        </c:pt>
                        <c:pt idx="18">
                          <c:v>1.9657370587061882</c:v>
                        </c:pt>
                        <c:pt idx="19">
                          <c:v>1.5541537672991188</c:v>
                        </c:pt>
                        <c:pt idx="20">
                          <c:v>1.2982446314711413</c:v>
                        </c:pt>
                        <c:pt idx="21">
                          <c:v>1.0636508730570391</c:v>
                        </c:pt>
                        <c:pt idx="22">
                          <c:v>0.90900548595152619</c:v>
                        </c:pt>
                        <c:pt idx="23">
                          <c:v>0.83234038283450928</c:v>
                        </c:pt>
                      </c:numCache>
                    </c:numRef>
                  </c:minus>
                  <c:spPr>
                    <a:noFill/>
                    <a:ln w="12700" cap="flat" cmpd="sng" algn="ctr">
                      <a:solidFill>
                        <a:srgbClr val="0000FF"/>
                      </a:solidFill>
                      <a:prstDash val="solid"/>
                      <a:round/>
                    </a:ln>
                    <a:effectLst/>
                  </c:spPr>
                </c:errBars>
                <c:cat>
                  <c:numRef>
                    <c:extLst xmlns:c15="http://schemas.microsoft.com/office/drawing/2012/chart">
                      <c:ext xmlns:c15="http://schemas.microsoft.com/office/drawing/2012/char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xmlns:c15="http://schemas.microsoft.com/office/drawing/2012/chart">
                      <c:ext xmlns:c15="http://schemas.microsoft.com/office/drawing/2012/chart" uri="{02D57815-91ED-43cb-92C2-25804820EDAC}">
                        <c15:formulaRef>
                          <c15:sqref>'Movement graphs v2'!$G$57:$G$68</c15:sqref>
                        </c15:formulaRef>
                      </c:ext>
                    </c:extLst>
                    <c:numCache>
                      <c:formatCode>0.00</c:formatCode>
                      <c:ptCount val="12"/>
                      <c:pt idx="0">
                        <c:v>0.68304340866519841</c:v>
                      </c:pt>
                      <c:pt idx="1">
                        <c:v>0.6107958903304912</c:v>
                      </c:pt>
                      <c:pt idx="2">
                        <c:v>0.50604163594902685</c:v>
                      </c:pt>
                      <c:pt idx="3">
                        <c:v>0.45302416187942968</c:v>
                      </c:pt>
                      <c:pt idx="4">
                        <c:v>0.35581949567524962</c:v>
                      </c:pt>
                      <c:pt idx="5">
                        <c:v>0.28040168211994487</c:v>
                      </c:pt>
                      <c:pt idx="6">
                        <c:v>0.25939634732340722</c:v>
                      </c:pt>
                      <c:pt idx="7">
                        <c:v>0.2082467745829209</c:v>
                      </c:pt>
                      <c:pt idx="8">
                        <c:v>0.14358923317382588</c:v>
                      </c:pt>
                      <c:pt idx="9">
                        <c:v>0.12030688294532343</c:v>
                      </c:pt>
                      <c:pt idx="10">
                        <c:v>9.3525967662202364E-2</c:v>
                      </c:pt>
                      <c:pt idx="11">
                        <c:v>6.6513157376260193E-2</c:v>
                      </c:pt>
                    </c:numCache>
                  </c:numRef>
                </c:val>
                <c:smooth val="0"/>
                <c:extLst xmlns:c15="http://schemas.microsoft.com/office/drawing/2012/chart">
                  <c:ext xmlns:c16="http://schemas.microsoft.com/office/drawing/2014/chart" uri="{C3380CC4-5D6E-409C-BE32-E72D297353CC}">
                    <c16:uniqueId val="{00000003-1BD8-47C9-A259-22ED28141ABC}"/>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'Movement graphs v2'!$L$56</c15:sqref>
                        </c15:formulaRef>
                      </c:ext>
                    </c:extLst>
                    <c:strCache>
                      <c:ptCount val="1"/>
                      <c:pt idx="0">
                        <c:v>TM1</c:v>
                      </c:pt>
                    </c:strCache>
                  </c:strRef>
                </c:tx>
                <c:spPr>
                  <a:ln w="12700" cap="rnd">
                    <a:solidFill>
                      <a:srgbClr val="000000"/>
                    </a:solidFill>
                    <a:prstDash val="solid"/>
                    <a:round/>
                  </a:ln>
                  <a:effectLst/>
                </c:spPr>
                <c:marker>
                  <c:symbol val="plus"/>
                  <c:size val="7"/>
                  <c:spPr>
                    <a:solidFill>
                      <a:srgbClr val="000000"/>
                    </a:solidFill>
                    <a:ln w="12700">
                      <a:solidFill>
                        <a:srgbClr val="000000"/>
                      </a:solidFill>
                      <a:prstDash val="solid"/>
                    </a:ln>
                    <a:effectLst/>
                  </c:spPr>
                </c:marker>
                <c:errBars>
                  <c:errDir val="y"/>
                  <c:errBarType val="both"/>
                  <c:errValType val="cust"/>
                  <c:noEndCap val="0"/>
                  <c:plus>
                    <c:numRef>
                      <c:extLst xmlns:c15="http://schemas.microsoft.com/office/drawing/2012/chart">
                        <c:ext xmlns:c15="http://schemas.microsoft.com/office/drawing/2012/chart" uri="{02D57815-91ED-43cb-92C2-25804820EDAC}">
                          <c15:formulaRef>
                            <c15:sqref>'Movement graphs v2'!$L$71:$L$94</c15:sqref>
                          </c15:formulaRef>
                        </c:ext>
                      </c:extLst>
                      <c:numCache>
                        <c:formatCode>General</c:formatCode>
                        <c:ptCount val="24"/>
                        <c:pt idx="0">
                          <c:v>2.5233999999999999E-2</c:v>
                        </c:pt>
                        <c:pt idx="1">
                          <c:v>2.7025E-2</c:v>
                        </c:pt>
                        <c:pt idx="2">
                          <c:v>2.5958000000000002E-2</c:v>
                        </c:pt>
                        <c:pt idx="5">
                          <c:v>2.1069999999999998E-2</c:v>
                        </c:pt>
                        <c:pt idx="8">
                          <c:v>3.0275000000000003E-2</c:v>
                        </c:pt>
                        <c:pt idx="9">
                          <c:v>2.3694E-2</c:v>
                        </c:pt>
                        <c:pt idx="10">
                          <c:v>2.0999999999999998E-2</c:v>
                        </c:pt>
                        <c:pt idx="11">
                          <c:v>1.6E-2</c:v>
                        </c:pt>
                        <c:pt idx="12">
                          <c:v>2.5233999999999999E-2</c:v>
                        </c:pt>
                        <c:pt idx="13">
                          <c:v>2.7025E-2</c:v>
                        </c:pt>
                        <c:pt idx="14">
                          <c:v>2.5958000000000002E-2</c:v>
                        </c:pt>
                        <c:pt idx="15">
                          <c:v>0</c:v>
                        </c:pt>
                        <c:pt idx="16">
                          <c:v>0</c:v>
                        </c:pt>
                        <c:pt idx="17">
                          <c:v>2.1069999999999998E-2</c:v>
                        </c:pt>
                        <c:pt idx="18">
                          <c:v>0</c:v>
                        </c:pt>
                        <c:pt idx="19">
                          <c:v>0</c:v>
                        </c:pt>
                        <c:pt idx="20">
                          <c:v>3.0275000000000003E-2</c:v>
                        </c:pt>
                        <c:pt idx="21">
                          <c:v>2.3694E-2</c:v>
                        </c:pt>
                        <c:pt idx="22">
                          <c:v>2.0999999999999998E-2</c:v>
                        </c:pt>
                        <c:pt idx="23">
                          <c:v>1.6E-2</c:v>
                        </c:pt>
                      </c:numCache>
                    </c:numRef>
                  </c:plus>
                  <c:minus>
                    <c:numRef>
                      <c:extLst xmlns:c15="http://schemas.microsoft.com/office/drawing/2012/chart">
                        <c:ext xmlns:c15="http://schemas.microsoft.com/office/drawing/2012/chart" uri="{02D57815-91ED-43cb-92C2-25804820EDAC}">
                          <c15:formulaRef>
                            <c15:sqref>'Movement graphs v2'!$L$83:$L$106</c15:sqref>
                          </c15:formulaRef>
                        </c:ext>
                      </c:extLst>
                      <c:numCache>
                        <c:formatCode>General</c:formatCode>
                        <c:ptCount val="24"/>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minus>
                  <c:spPr>
                    <a:noFill/>
                    <a:ln w="12700" cap="flat" cmpd="sng" algn="ctr">
                      <a:solidFill>
                        <a:srgbClr val="000000"/>
                      </a:solidFill>
                      <a:prstDash val="solid"/>
                      <a:round/>
                    </a:ln>
                    <a:effectLst/>
                  </c:spPr>
                </c:errBars>
                <c:cat>
                  <c:numRef>
                    <c:extLst xmlns:c15="http://schemas.microsoft.com/office/drawing/2012/chart">
                      <c:ext xmlns:c15="http://schemas.microsoft.com/office/drawing/2012/char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xmlns:c15="http://schemas.microsoft.com/office/drawing/2012/chart">
                      <c:ext xmlns:c15="http://schemas.microsoft.com/office/drawing/2012/chart" uri="{02D57815-91ED-43cb-92C2-25804820EDAC}">
                        <c15:formulaRef>
                          <c15:sqref>'Movement graphs v2'!$L$57:$L$68</c15:sqref>
                        </c15:formulaRef>
                      </c:ext>
                    </c:extLst>
                    <c:numCache>
                      <c:formatCode>0.00</c:formatCode>
                      <c:ptCount val="12"/>
                      <c:pt idx="0">
                        <c:v>0.41716100369354592</c:v>
                      </c:pt>
                      <c:pt idx="1">
                        <c:v>0.38761194238565611</c:v>
                      </c:pt>
                      <c:pt idx="2">
                        <c:v>0.33246250146434403</c:v>
                      </c:pt>
                      <c:pt idx="5">
                        <c:v>0.23050603223559457</c:v>
                      </c:pt>
                      <c:pt idx="8">
                        <c:v>0.13829612729555371</c:v>
                      </c:pt>
                      <c:pt idx="9">
                        <c:v>0.12246778495955599</c:v>
                      </c:pt>
                      <c:pt idx="10">
                        <c:v>8.9448301463057489E-2</c:v>
                      </c:pt>
                      <c:pt idx="11">
                        <c:v>5.4240206946288741E-2</c:v>
                      </c:pt>
                    </c:numCache>
                  </c:numRef>
                </c:val>
                <c:smooth val="0"/>
                <c:extLst xmlns:c15="http://schemas.microsoft.com/office/drawing/2012/chart">
                  <c:ext xmlns:c16="http://schemas.microsoft.com/office/drawing/2014/chart" uri="{C3380CC4-5D6E-409C-BE32-E72D297353CC}">
                    <c16:uniqueId val="{00000008-1BD8-47C9-A259-22ED28141ABC}"/>
                  </c:ext>
                </c:extLst>
              </c15:ser>
            </c15:filteredLineSeries>
          </c:ext>
        </c:extLst>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Cumulative net displacement</a:t>
                </a:r>
                <a:r>
                  <a:rPr lang="en-NZ" baseline="0">
                    <a:latin typeface="Calibri" panose="020F0502020204030204" pitchFamily="34" charset="0"/>
                  </a:rPr>
                  <a:t> (m)</a:t>
                </a:r>
                <a:endParaRPr lang="en-NZ">
                  <a:latin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0" sourceLinked="1"/>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solidFill>
          <a:srgbClr val="FFFFFF"/>
        </a:solidFill>
        <a:ln w="12700">
          <a:noFill/>
          <a:prstDash val="solid"/>
        </a:ln>
        <a:effectLst/>
      </c:spPr>
    </c:plotArea>
    <c:legend>
      <c:legendPos val="t"/>
      <c:layout>
        <c:manualLayout>
          <c:xMode val="edge"/>
          <c:yMode val="edge"/>
          <c:x val="0.17964496054821824"/>
          <c:y val="4.2677364622328233E-2"/>
          <c:w val="0.63800892755933625"/>
          <c:h val="0.2253477884449126"/>
        </c:manualLayout>
      </c:layout>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solidFill>
        <a:srgbClr val="000000"/>
      </a:solid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41391816721796"/>
          <c:y val="4.3119917235398077E-2"/>
          <c:w val="0.87238093168178099"/>
          <c:h val="0.91864969135802466"/>
        </c:manualLayout>
      </c:layout>
      <c:lineChart>
        <c:grouping val="standard"/>
        <c:varyColors val="0"/>
        <c:ser>
          <c:idx val="0"/>
          <c:order val="0"/>
          <c:tx>
            <c:strRef>
              <c:f>'Movement graphs v2'!$O$56</c:f>
              <c:strCache>
                <c:ptCount val="1"/>
                <c:pt idx="0">
                  <c:v>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v2'!$D$71:$D$94</c:f>
                <c:numCache>
                  <c:formatCode>General</c:formatCode>
                  <c:ptCount val="24"/>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pt idx="12">
                    <c:v>2.3784E-2</c:v>
                  </c:pt>
                  <c:pt idx="13">
                    <c:v>2.1742000000000001E-2</c:v>
                  </c:pt>
                  <c:pt idx="14">
                    <c:v>3.1878999999999998E-2</c:v>
                  </c:pt>
                  <c:pt idx="15">
                    <c:v>2.7402000000000003E-2</c:v>
                  </c:pt>
                  <c:pt idx="16">
                    <c:v>3.4049999999999997E-2</c:v>
                  </c:pt>
                  <c:pt idx="17">
                    <c:v>3.3175999999999997E-2</c:v>
                  </c:pt>
                  <c:pt idx="18">
                    <c:v>3.3257000000000002E-2</c:v>
                  </c:pt>
                  <c:pt idx="19">
                    <c:v>2.8170000000000001E-2</c:v>
                  </c:pt>
                  <c:pt idx="20">
                    <c:v>2.8059000000000001E-2</c:v>
                  </c:pt>
                  <c:pt idx="21">
                    <c:v>2.3698E-2</c:v>
                  </c:pt>
                  <c:pt idx="22">
                    <c:v>1.7000000000000001E-2</c:v>
                  </c:pt>
                  <c:pt idx="23">
                    <c:v>0</c:v>
                  </c:pt>
                </c:numCache>
              </c:numRef>
            </c:plus>
            <c:minus>
              <c:numRef>
                <c:f>'Movement graphs v2'!$D$83:$D$106</c:f>
                <c:numCache>
                  <c:formatCode>General</c:formatCode>
                  <c:ptCount val="24"/>
                  <c:pt idx="0">
                    <c:v>2.3784E-2</c:v>
                  </c:pt>
                  <c:pt idx="1">
                    <c:v>2.1742000000000001E-2</c:v>
                  </c:pt>
                  <c:pt idx="2">
                    <c:v>3.1878999999999998E-2</c:v>
                  </c:pt>
                  <c:pt idx="3">
                    <c:v>2.7402000000000003E-2</c:v>
                  </c:pt>
                  <c:pt idx="4">
                    <c:v>3.4049999999999997E-2</c:v>
                  </c:pt>
                  <c:pt idx="5">
                    <c:v>3.3175999999999997E-2</c:v>
                  </c:pt>
                  <c:pt idx="6">
                    <c:v>3.3257000000000002E-2</c:v>
                  </c:pt>
                  <c:pt idx="7">
                    <c:v>2.8170000000000001E-2</c:v>
                  </c:pt>
                  <c:pt idx="8">
                    <c:v>2.8059000000000001E-2</c:v>
                  </c:pt>
                  <c:pt idx="9">
                    <c:v>2.3698E-2</c:v>
                  </c:pt>
                  <c:pt idx="10">
                    <c:v>1.7000000000000001E-2</c:v>
                  </c:pt>
                  <c:pt idx="11">
                    <c:v>0</c:v>
                  </c:pt>
                  <c:pt idx="17">
                    <c:v>43817</c:v>
                  </c:pt>
                  <c:pt idx="18">
                    <c:v>43382</c:v>
                  </c:pt>
                  <c:pt idx="19">
                    <c:v>43186</c:v>
                  </c:pt>
                  <c:pt idx="20">
                    <c:v>43019</c:v>
                  </c:pt>
                  <c:pt idx="21">
                    <c:v>42915</c:v>
                  </c:pt>
                  <c:pt idx="22">
                    <c:v>42814</c:v>
                  </c:pt>
                  <c:pt idx="23">
                    <c:v>42718</c:v>
                  </c:pt>
                </c:numCache>
              </c:numRef>
            </c:minus>
            <c:spPr>
              <a:noFill/>
              <a:ln w="12700" cap="flat" cmpd="sng" algn="ctr">
                <a:solidFill>
                  <a:srgbClr val="FF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v2'!$O$57:$O$68</c:f>
              <c:numCache>
                <c:formatCode>0.00</c:formatCode>
                <c:ptCount val="12"/>
                <c:pt idx="0">
                  <c:v>4.7971532445808741E-2</c:v>
                </c:pt>
                <c:pt idx="1">
                  <c:v>0.14130681751307578</c:v>
                </c:pt>
                <c:pt idx="2">
                  <c:v>0.15087982859460214</c:v>
                </c:pt>
                <c:pt idx="3">
                  <c:v>0.25453510821170727</c:v>
                </c:pt>
                <c:pt idx="4">
                  <c:v>0.17515760316331266</c:v>
                </c:pt>
                <c:pt idx="5">
                  <c:v>0.10118463717583631</c:v>
                </c:pt>
                <c:pt idx="6">
                  <c:v>0.31539332838218681</c:v>
                </c:pt>
                <c:pt idx="7">
                  <c:v>0.15412286472269263</c:v>
                </c:pt>
                <c:pt idx="8">
                  <c:v>0.12298326371388538</c:v>
                </c:pt>
                <c:pt idx="9">
                  <c:v>0.17899567225780968</c:v>
                </c:pt>
                <c:pt idx="10">
                  <c:v>0.23459718167239735</c:v>
                </c:pt>
              </c:numCache>
            </c:numRef>
          </c:val>
          <c:smooth val="0"/>
          <c:extLst>
            <c:ext xmlns:c16="http://schemas.microsoft.com/office/drawing/2014/chart" uri="{C3380CC4-5D6E-409C-BE32-E72D297353CC}">
              <c16:uniqueId val="{00000000-01B3-44D0-ADDC-3F4421D27DB5}"/>
            </c:ext>
          </c:extLst>
        </c:ser>
        <c:ser>
          <c:idx val="1"/>
          <c:order val="1"/>
          <c:tx>
            <c:strRef>
              <c:f>'Movement graphs v2'!$P$56</c:f>
              <c:strCache>
                <c:ptCount val="1"/>
                <c:pt idx="0">
                  <c:v>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v2'!$E$71:$E$94</c:f>
                <c:numCache>
                  <c:formatCode>General</c:formatCode>
                  <c:ptCount val="24"/>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pt idx="12">
                    <c:v>2.6347000000000002E-2</c:v>
                  </c:pt>
                  <c:pt idx="13">
                    <c:v>2.9463000000000003E-2</c:v>
                  </c:pt>
                  <c:pt idx="14">
                    <c:v>3.3222000000000002E-2</c:v>
                  </c:pt>
                  <c:pt idx="15">
                    <c:v>2.4635000000000001E-2</c:v>
                  </c:pt>
                  <c:pt idx="16">
                    <c:v>5.3945E-2</c:v>
                  </c:pt>
                  <c:pt idx="17">
                    <c:v>4.2608E-2</c:v>
                  </c:pt>
                  <c:pt idx="18">
                    <c:v>2.4668000000000002E-2</c:v>
                  </c:pt>
                  <c:pt idx="19">
                    <c:v>4.0056000000000001E-2</c:v>
                  </c:pt>
                  <c:pt idx="20">
                    <c:v>3.0275000000000003E-2</c:v>
                  </c:pt>
                  <c:pt idx="21">
                    <c:v>2.3030999999999999E-2</c:v>
                  </c:pt>
                  <c:pt idx="22">
                    <c:v>1.9E-2</c:v>
                  </c:pt>
                  <c:pt idx="23">
                    <c:v>1.8000000000000002E-2</c:v>
                  </c:pt>
                </c:numCache>
              </c:numRef>
            </c:plus>
            <c:minus>
              <c:numRef>
                <c:f>'Movement graphs v2'!$E$83:$E$106</c:f>
                <c:numCache>
                  <c:formatCode>General</c:formatCode>
                  <c:ptCount val="24"/>
                  <c:pt idx="0">
                    <c:v>2.6347000000000002E-2</c:v>
                  </c:pt>
                  <c:pt idx="1">
                    <c:v>2.9463000000000003E-2</c:v>
                  </c:pt>
                  <c:pt idx="2">
                    <c:v>3.3222000000000002E-2</c:v>
                  </c:pt>
                  <c:pt idx="3">
                    <c:v>2.4635000000000001E-2</c:v>
                  </c:pt>
                  <c:pt idx="4">
                    <c:v>5.3945E-2</c:v>
                  </c:pt>
                  <c:pt idx="5">
                    <c:v>4.2608E-2</c:v>
                  </c:pt>
                  <c:pt idx="6">
                    <c:v>2.4668000000000002E-2</c:v>
                  </c:pt>
                  <c:pt idx="7">
                    <c:v>4.0056000000000001E-2</c:v>
                  </c:pt>
                  <c:pt idx="8">
                    <c:v>3.0275000000000003E-2</c:v>
                  </c:pt>
                  <c:pt idx="9">
                    <c:v>2.3030999999999999E-2</c:v>
                  </c:pt>
                  <c:pt idx="10">
                    <c:v>1.9E-2</c:v>
                  </c:pt>
                  <c:pt idx="11">
                    <c:v>1.8000000000000002E-2</c:v>
                  </c:pt>
                  <c:pt idx="16">
                    <c:v>11</c:v>
                  </c:pt>
                  <c:pt idx="17">
                    <c:v>4.7020347896129557</c:v>
                  </c:pt>
                  <c:pt idx="18">
                    <c:v>3.5546421773123975</c:v>
                  </c:pt>
                  <c:pt idx="19">
                    <c:v>2.775936462671841</c:v>
                  </c:pt>
                  <c:pt idx="20">
                    <c:v>2.2583289323352993</c:v>
                  </c:pt>
                  <c:pt idx="21">
                    <c:v>1.7241617985320503</c:v>
                  </c:pt>
                  <c:pt idx="22">
                    <c:v>1.4415982496834223</c:v>
                  </c:pt>
                </c:numCache>
              </c:numRef>
            </c:minus>
            <c:spPr>
              <a:noFill/>
              <a:ln w="12700" cap="flat" cmpd="sng" algn="ctr">
                <a:solidFill>
                  <a:srgbClr val="00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v2'!$P$57:$P$68</c:f>
              <c:numCache>
                <c:formatCode>0.00</c:formatCode>
                <c:ptCount val="12"/>
                <c:pt idx="0">
                  <c:v>2.6227185918849403E-2</c:v>
                </c:pt>
                <c:pt idx="1">
                  <c:v>0.17804070682020628</c:v>
                </c:pt>
                <c:pt idx="2">
                  <c:v>8.99481020500177E-2</c:v>
                </c:pt>
                <c:pt idx="3">
                  <c:v>0.20955194710100977</c:v>
                </c:pt>
                <c:pt idx="4">
                  <c:v>0.22075148380178047</c:v>
                </c:pt>
                <c:pt idx="5">
                  <c:v>0.10117460217302927</c:v>
                </c:pt>
                <c:pt idx="6">
                  <c:v>0.25923975418009015</c:v>
                </c:pt>
                <c:pt idx="7">
                  <c:v>0.14622167237771658</c:v>
                </c:pt>
                <c:pt idx="8">
                  <c:v>0.13934069979930688</c:v>
                </c:pt>
                <c:pt idx="9">
                  <c:v>0.20374582874293393</c:v>
                </c:pt>
                <c:pt idx="10">
                  <c:v>0.26430977236065845</c:v>
                </c:pt>
                <c:pt idx="11">
                  <c:v>0.11585220735575386</c:v>
                </c:pt>
              </c:numCache>
            </c:numRef>
          </c:val>
          <c:smooth val="0"/>
          <c:extLst>
            <c:ext xmlns:c16="http://schemas.microsoft.com/office/drawing/2014/chart" uri="{C3380CC4-5D6E-409C-BE32-E72D297353CC}">
              <c16:uniqueId val="{00000001-01B3-44D0-ADDC-3F4421D27DB5}"/>
            </c:ext>
          </c:extLst>
        </c:ser>
        <c:ser>
          <c:idx val="4"/>
          <c:order val="4"/>
          <c:tx>
            <c:strRef>
              <c:f>'Movement graphs v2'!$S$56</c:f>
              <c:strCache>
                <c:ptCount val="1"/>
                <c:pt idx="0">
                  <c:v>5</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v2'!$H$71:$H$94</c:f>
                <c:numCache>
                  <c:formatCode>General</c:formatCode>
                  <c:ptCount val="24"/>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pt idx="12">
                    <c:v>2.1310000000000003E-2</c:v>
                  </c:pt>
                  <c:pt idx="13">
                    <c:v>2.5517999999999999E-2</c:v>
                  </c:pt>
                  <c:pt idx="14">
                    <c:v>2.7942000000000002E-2</c:v>
                  </c:pt>
                  <c:pt idx="15">
                    <c:v>2.6854999999999997E-2</c:v>
                  </c:pt>
                  <c:pt idx="16">
                    <c:v>3.6638999999999998E-2</c:v>
                  </c:pt>
                  <c:pt idx="17">
                    <c:v>3.1472E-2</c:v>
                  </c:pt>
                  <c:pt idx="18">
                    <c:v>2.6217999999999998E-2</c:v>
                  </c:pt>
                  <c:pt idx="19">
                    <c:v>3.7588000000000003E-2</c:v>
                  </c:pt>
                  <c:pt idx="20">
                    <c:v>2.826E-2</c:v>
                  </c:pt>
                  <c:pt idx="21">
                    <c:v>2.4363000000000003E-2</c:v>
                  </c:pt>
                  <c:pt idx="22">
                    <c:v>1.6E-2</c:v>
                  </c:pt>
                  <c:pt idx="23">
                    <c:v>1.7000000000000001E-2</c:v>
                  </c:pt>
                </c:numCache>
              </c:numRef>
            </c:plus>
            <c:minus>
              <c:numRef>
                <c:f>'Movement graphs v2'!$H$83:$H$106</c:f>
                <c:numCache>
                  <c:formatCode>General</c:formatCode>
                  <c:ptCount val="24"/>
                  <c:pt idx="0">
                    <c:v>2.1310000000000003E-2</c:v>
                  </c:pt>
                  <c:pt idx="1">
                    <c:v>2.5517999999999999E-2</c:v>
                  </c:pt>
                  <c:pt idx="2">
                    <c:v>2.7942000000000002E-2</c:v>
                  </c:pt>
                  <c:pt idx="3">
                    <c:v>2.6854999999999997E-2</c:v>
                  </c:pt>
                  <c:pt idx="4">
                    <c:v>3.6638999999999998E-2</c:v>
                  </c:pt>
                  <c:pt idx="5">
                    <c:v>3.1472E-2</c:v>
                  </c:pt>
                  <c:pt idx="6">
                    <c:v>2.6217999999999998E-2</c:v>
                  </c:pt>
                  <c:pt idx="7">
                    <c:v>3.7588000000000003E-2</c:v>
                  </c:pt>
                  <c:pt idx="8">
                    <c:v>2.826E-2</c:v>
                  </c:pt>
                  <c:pt idx="9">
                    <c:v>2.4363000000000003E-2</c:v>
                  </c:pt>
                  <c:pt idx="10">
                    <c:v>1.6E-2</c:v>
                  </c:pt>
                  <c:pt idx="11">
                    <c:v>1.7000000000000001E-2</c:v>
                  </c:pt>
                  <c:pt idx="16">
                    <c:v>14</c:v>
                  </c:pt>
                  <c:pt idx="17">
                    <c:v>11.301810814016338</c:v>
                  </c:pt>
                  <c:pt idx="18">
                    <c:v>8.8397149828587764</c:v>
                  </c:pt>
                  <c:pt idx="19">
                    <c:v>6.9764109712121503</c:v>
                  </c:pt>
                  <c:pt idx="20">
                    <c:v>5.6533370642183254</c:v>
                  </c:pt>
                  <c:pt idx="21">
                    <c:v>4.2436158384122811</c:v>
                  </c:pt>
                  <c:pt idx="22">
                    <c:v>3.4437394279202134</c:v>
                  </c:pt>
                  <c:pt idx="23">
                    <c:v>3.0585732299737449</c:v>
                  </c:pt>
                </c:numCache>
              </c:numRef>
            </c:minus>
            <c:spPr>
              <a:noFill/>
              <a:ln w="12700" cap="flat" cmpd="sng" algn="ctr">
                <a:solidFill>
                  <a:srgbClr val="00FF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v2'!$S$57:$S$68</c:f>
              <c:numCache>
                <c:formatCode>0.00</c:formatCode>
                <c:ptCount val="12"/>
                <c:pt idx="0">
                  <c:v>0.15485288328977007</c:v>
                </c:pt>
                <c:pt idx="1">
                  <c:v>0.30994469042148975</c:v>
                </c:pt>
                <c:pt idx="2">
                  <c:v>0.17905539219308692</c:v>
                </c:pt>
                <c:pt idx="3">
                  <c:v>0.36579873865845414</c:v>
                </c:pt>
                <c:pt idx="4">
                  <c:v>0.29291563930637743</c:v>
                </c:pt>
                <c:pt idx="5">
                  <c:v>0.12030692480551791</c:v>
                </c:pt>
                <c:pt idx="6">
                  <c:v>0.46804651178684148</c:v>
                </c:pt>
                <c:pt idx="7">
                  <c:v>0.33586313273075075</c:v>
                </c:pt>
                <c:pt idx="8">
                  <c:v>0.26369753254183276</c:v>
                </c:pt>
                <c:pt idx="9">
                  <c:v>0.14973305966720515</c:v>
                </c:pt>
                <c:pt idx="10">
                  <c:v>9.8403178897886009E-2</c:v>
                </c:pt>
                <c:pt idx="11">
                  <c:v>0.29233274278320082</c:v>
                </c:pt>
              </c:numCache>
            </c:numRef>
          </c:val>
          <c:smooth val="0"/>
          <c:extLst>
            <c:ext xmlns:c16="http://schemas.microsoft.com/office/drawing/2014/chart" uri="{C3380CC4-5D6E-409C-BE32-E72D297353CC}">
              <c16:uniqueId val="{00000004-01B3-44D0-ADDC-3F4421D27DB5}"/>
            </c:ext>
          </c:extLst>
        </c:ser>
        <c:ser>
          <c:idx val="5"/>
          <c:order val="5"/>
          <c:tx>
            <c:strRef>
              <c:f>'Movement graphs v2'!$T$56</c:f>
              <c:strCache>
                <c:ptCount val="1"/>
                <c:pt idx="0">
                  <c:v>6</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v2'!$I$71:$I$94</c:f>
                <c:numCache>
                  <c:formatCode>General</c:formatCode>
                  <c:ptCount val="24"/>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pt idx="12">
                    <c:v>2.1860999999999998E-2</c:v>
                  </c:pt>
                  <c:pt idx="13">
                    <c:v>2.6388000000000002E-2</c:v>
                  </c:pt>
                  <c:pt idx="14">
                    <c:v>3.4676999999999999E-2</c:v>
                  </c:pt>
                  <c:pt idx="15">
                    <c:v>2.2711000000000002E-2</c:v>
                  </c:pt>
                  <c:pt idx="16">
                    <c:v>4.5107000000000001E-2</c:v>
                  </c:pt>
                  <c:pt idx="17">
                    <c:v>2.7666000000000003E-2</c:v>
                  </c:pt>
                  <c:pt idx="18">
                    <c:v>2.3644999999999999E-2</c:v>
                  </c:pt>
                  <c:pt idx="19">
                    <c:v>3.4242000000000002E-2</c:v>
                  </c:pt>
                  <c:pt idx="20">
                    <c:v>4.6240000000000003E-2</c:v>
                  </c:pt>
                  <c:pt idx="21">
                    <c:v>2.5814999999999998E-2</c:v>
                  </c:pt>
                  <c:pt idx="22">
                    <c:v>1.9E-2</c:v>
                  </c:pt>
                  <c:pt idx="23">
                    <c:v>1.9E-2</c:v>
                  </c:pt>
                </c:numCache>
              </c:numRef>
            </c:plus>
            <c:minus>
              <c:numRef>
                <c:f>'Movement graphs v2'!$I$83:$I$106</c:f>
                <c:numCache>
                  <c:formatCode>General</c:formatCode>
                  <c:ptCount val="24"/>
                  <c:pt idx="0">
                    <c:v>2.1860999999999998E-2</c:v>
                  </c:pt>
                  <c:pt idx="1">
                    <c:v>2.6388000000000002E-2</c:v>
                  </c:pt>
                  <c:pt idx="2">
                    <c:v>3.4676999999999999E-2</c:v>
                  </c:pt>
                  <c:pt idx="3">
                    <c:v>2.2711000000000002E-2</c:v>
                  </c:pt>
                  <c:pt idx="4">
                    <c:v>4.5107000000000001E-2</c:v>
                  </c:pt>
                  <c:pt idx="5">
                    <c:v>2.7666000000000003E-2</c:v>
                  </c:pt>
                  <c:pt idx="6">
                    <c:v>2.3644999999999999E-2</c:v>
                  </c:pt>
                  <c:pt idx="7">
                    <c:v>3.4242000000000002E-2</c:v>
                  </c:pt>
                  <c:pt idx="8">
                    <c:v>4.6240000000000003E-2</c:v>
                  </c:pt>
                  <c:pt idx="9">
                    <c:v>2.5814999999999998E-2</c:v>
                  </c:pt>
                  <c:pt idx="10">
                    <c:v>1.9E-2</c:v>
                  </c:pt>
                  <c:pt idx="11">
                    <c:v>1.9E-2</c:v>
                  </c:pt>
                  <c:pt idx="16">
                    <c:v>17</c:v>
                  </c:pt>
                  <c:pt idx="17">
                    <c:v>16.029335382562415</c:v>
                  </c:pt>
                  <c:pt idx="18">
                    <c:v>11.720995512156351</c:v>
                  </c:pt>
                  <c:pt idx="19">
                    <c:v>8.9034805102409429</c:v>
                  </c:pt>
                  <c:pt idx="20">
                    <c:v>7.0342122516929821</c:v>
                  </c:pt>
                  <c:pt idx="21">
                    <c:v>5.2421361878117594</c:v>
                  </c:pt>
                  <c:pt idx="22">
                    <c:v>4.0300701830311123</c:v>
                  </c:pt>
                  <c:pt idx="23">
                    <c:v>3.3937512997843013</c:v>
                  </c:pt>
                </c:numCache>
              </c:numRef>
            </c:minus>
            <c:spPr>
              <a:noFill/>
              <a:ln w="12700" cap="flat" cmpd="sng" algn="ctr">
                <a:solidFill>
                  <a:srgbClr val="0000FF"/>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v2'!$T$57:$T$68</c:f>
              <c:numCache>
                <c:formatCode>0.00</c:formatCode>
                <c:ptCount val="12"/>
                <c:pt idx="0">
                  <c:v>8.084367917565588E-2</c:v>
                </c:pt>
                <c:pt idx="1">
                  <c:v>0.25399838910459871</c:v>
                </c:pt>
                <c:pt idx="2">
                  <c:v>0.26539350700124081</c:v>
                </c:pt>
                <c:pt idx="3">
                  <c:v>0.21285334696944799</c:v>
                </c:pt>
                <c:pt idx="4">
                  <c:v>0.23899926502850313</c:v>
                </c:pt>
                <c:pt idx="5">
                  <c:v>5.3552878202847425E-2</c:v>
                </c:pt>
                <c:pt idx="6">
                  <c:v>0.30525989410597254</c:v>
                </c:pt>
                <c:pt idx="7">
                  <c:v>0.29190600760848279</c:v>
                </c:pt>
                <c:pt idx="8">
                  <c:v>0.15213041977893205</c:v>
                </c:pt>
                <c:pt idx="9">
                  <c:v>0.14181704387961439</c:v>
                </c:pt>
                <c:pt idx="10">
                  <c:v>0.39032952057557069</c:v>
                </c:pt>
                <c:pt idx="11">
                  <c:v>0.33982455955308283</c:v>
                </c:pt>
              </c:numCache>
            </c:numRef>
          </c:val>
          <c:smooth val="0"/>
          <c:extLst>
            <c:ext xmlns:c16="http://schemas.microsoft.com/office/drawing/2014/chart" uri="{C3380CC4-5D6E-409C-BE32-E72D297353CC}">
              <c16:uniqueId val="{00000005-01B3-44D0-ADDC-3F4421D27DB5}"/>
            </c:ext>
          </c:extLst>
        </c:ser>
        <c:ser>
          <c:idx val="6"/>
          <c:order val="6"/>
          <c:tx>
            <c:strRef>
              <c:f>'Movement graphs v2'!$U$56</c:f>
              <c:strCache>
                <c:ptCount val="1"/>
                <c:pt idx="0">
                  <c:v>7</c:v>
                </c:pt>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v2'!$J$71:$J$94</c:f>
                <c:numCache>
                  <c:formatCode>General</c:formatCode>
                  <c:ptCount val="24"/>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pt idx="12">
                    <c:v>2.2630999999999998E-2</c:v>
                  </c:pt>
                  <c:pt idx="13">
                    <c:v>2.6872E-2</c:v>
                  </c:pt>
                  <c:pt idx="14">
                    <c:v>3.0286E-2</c:v>
                  </c:pt>
                  <c:pt idx="15">
                    <c:v>2.8762000000000003E-2</c:v>
                  </c:pt>
                  <c:pt idx="16">
                    <c:v>3.5730999999999999E-2</c:v>
                  </c:pt>
                  <c:pt idx="17">
                    <c:v>3.1948999999999998E-2</c:v>
                  </c:pt>
                  <c:pt idx="18">
                    <c:v>2.6006000000000001E-2</c:v>
                  </c:pt>
                  <c:pt idx="19">
                    <c:v>4.2099000000000004E-2</c:v>
                  </c:pt>
                  <c:pt idx="20">
                    <c:v>2.8642000000000001E-2</c:v>
                  </c:pt>
                  <c:pt idx="21">
                    <c:v>3.5199000000000001E-2</c:v>
                  </c:pt>
                  <c:pt idx="22">
                    <c:v>0</c:v>
                  </c:pt>
                  <c:pt idx="23">
                    <c:v>0</c:v>
                  </c:pt>
                </c:numCache>
              </c:numRef>
            </c:plus>
            <c:minus>
              <c:numRef>
                <c:f>'Movement graphs v2'!$J$83:$J$106</c:f>
                <c:numCache>
                  <c:formatCode>General</c:formatCode>
                  <c:ptCount val="24"/>
                  <c:pt idx="0">
                    <c:v>2.2630999999999998E-2</c:v>
                  </c:pt>
                  <c:pt idx="1">
                    <c:v>2.6872E-2</c:v>
                  </c:pt>
                  <c:pt idx="2">
                    <c:v>3.0286E-2</c:v>
                  </c:pt>
                  <c:pt idx="3">
                    <c:v>2.8762000000000003E-2</c:v>
                  </c:pt>
                  <c:pt idx="4">
                    <c:v>3.5730999999999999E-2</c:v>
                  </c:pt>
                  <c:pt idx="5">
                    <c:v>3.1948999999999998E-2</c:v>
                  </c:pt>
                  <c:pt idx="6">
                    <c:v>2.6006000000000001E-2</c:v>
                  </c:pt>
                  <c:pt idx="7">
                    <c:v>4.2099000000000004E-2</c:v>
                  </c:pt>
                  <c:pt idx="8">
                    <c:v>2.8642000000000001E-2</c:v>
                  </c:pt>
                  <c:pt idx="9">
                    <c:v>3.5199000000000001E-2</c:v>
                  </c:pt>
                  <c:pt idx="10">
                    <c:v>0</c:v>
                  </c:pt>
                  <c:pt idx="11">
                    <c:v>0</c:v>
                  </c:pt>
                  <c:pt idx="16">
                    <c:v>18</c:v>
                  </c:pt>
                  <c:pt idx="17">
                    <c:v>2.375196806897665</c:v>
                  </c:pt>
                  <c:pt idx="18">
                    <c:v>1.7825781521650954</c:v>
                  </c:pt>
                  <c:pt idx="19">
                    <c:v>1.4085674352746851</c:v>
                  </c:pt>
                  <c:pt idx="20">
                    <c:v>1.1524053632473517</c:v>
                  </c:pt>
                  <c:pt idx="21">
                    <c:v>0.93482384849690758</c:v>
                  </c:pt>
                  <c:pt idx="22">
                    <c:v>0.78532223127157119</c:v>
                  </c:pt>
                  <c:pt idx="23">
                    <c:v>0.71834144991020144</c:v>
                  </c:pt>
                </c:numCache>
              </c:numRef>
            </c:minus>
            <c:spPr>
              <a:noFill/>
              <a:ln w="12700" cap="flat" cmpd="sng" algn="ctr">
                <a:solidFill>
                  <a:srgbClr val="80808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v2'!$U$57:$U$68</c:f>
              <c:numCache>
                <c:formatCode>0.00</c:formatCode>
                <c:ptCount val="12"/>
                <c:pt idx="0">
                  <c:v>4.4027213655820248E-2</c:v>
                </c:pt>
                <c:pt idx="1">
                  <c:v>0.17479218276955724</c:v>
                </c:pt>
                <c:pt idx="2">
                  <c:v>0.10224825877949256</c:v>
                </c:pt>
                <c:pt idx="3">
                  <c:v>0.20306581829396428</c:v>
                </c:pt>
                <c:pt idx="4">
                  <c:v>0.25198731665054053</c:v>
                </c:pt>
                <c:pt idx="5">
                  <c:v>0.10620423391402736</c:v>
                </c:pt>
                <c:pt idx="6">
                  <c:v>0.30302676382692567</c:v>
                </c:pt>
                <c:pt idx="7">
                  <c:v>0.14031468329269853</c:v>
                </c:pt>
                <c:pt idx="8">
                  <c:v>0.17410941437911162</c:v>
                </c:pt>
                <c:pt idx="9">
                  <c:v>0.11744259682326172</c:v>
                </c:pt>
              </c:numCache>
            </c:numRef>
          </c:val>
          <c:smooth val="0"/>
          <c:extLst>
            <c:ext xmlns:c16="http://schemas.microsoft.com/office/drawing/2014/chart" uri="{C3380CC4-5D6E-409C-BE32-E72D297353CC}">
              <c16:uniqueId val="{00000006-01B3-44D0-ADDC-3F4421D27DB5}"/>
            </c:ext>
          </c:extLst>
        </c:ser>
        <c:ser>
          <c:idx val="7"/>
          <c:order val="7"/>
          <c:tx>
            <c:strRef>
              <c:f>'Movement graphs v2'!$V$56</c:f>
              <c:strCache>
                <c:ptCount val="1"/>
                <c:pt idx="0">
                  <c:v>15</c:v>
                </c:pt>
              </c:strCache>
            </c:strRef>
          </c:tx>
          <c:spPr>
            <a:ln w="12700" cap="rnd">
              <a:solidFill>
                <a:srgbClr val="000000"/>
              </a:solidFill>
              <a:prstDash val="solid"/>
              <a:round/>
            </a:ln>
            <a:effectLst/>
          </c:spPr>
          <c:marker>
            <c:symbol val="triangle"/>
            <c:size val="7"/>
            <c:spPr>
              <a:solidFill>
                <a:srgbClr val="FFFFFF"/>
              </a:solidFill>
              <a:ln w="12700">
                <a:solidFill>
                  <a:srgbClr val="000000"/>
                </a:solidFill>
                <a:prstDash val="solid"/>
              </a:ln>
              <a:effectLst/>
            </c:spPr>
          </c:marker>
          <c:errBars>
            <c:errDir val="y"/>
            <c:errBarType val="both"/>
            <c:errValType val="cust"/>
            <c:noEndCap val="0"/>
            <c:plus>
              <c:numRef>
                <c:f>'Movement graphs v2'!$K$71:$K$94</c:f>
                <c:numCache>
                  <c:formatCode>General</c:formatCode>
                  <c:ptCount val="24"/>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pt idx="12">
                    <c:v>2.5617000000000001E-2</c:v>
                  </c:pt>
                  <c:pt idx="13">
                    <c:v>3.6764999999999999E-2</c:v>
                  </c:pt>
                  <c:pt idx="14">
                    <c:v>2.6750000000000003E-2</c:v>
                  </c:pt>
                  <c:pt idx="15">
                    <c:v>3.3741E-2</c:v>
                  </c:pt>
                  <c:pt idx="16">
                    <c:v>3.1212999999999998E-2</c:v>
                  </c:pt>
                  <c:pt idx="17">
                    <c:v>3.3388000000000001E-2</c:v>
                  </c:pt>
                  <c:pt idx="18">
                    <c:v>2.1351999999999999E-2</c:v>
                  </c:pt>
                  <c:pt idx="19">
                    <c:v>3.0643999999999998E-2</c:v>
                  </c:pt>
                  <c:pt idx="20">
                    <c:v>2.264E-2</c:v>
                  </c:pt>
                  <c:pt idx="21">
                    <c:v>3.1572000000000003E-2</c:v>
                  </c:pt>
                  <c:pt idx="22">
                    <c:v>0</c:v>
                  </c:pt>
                  <c:pt idx="23">
                    <c:v>0</c:v>
                  </c:pt>
                </c:numCache>
              </c:numRef>
            </c:plus>
            <c:minus>
              <c:numRef>
                <c:f>'Movement graphs v2'!$K$83:$K$106</c:f>
                <c:numCache>
                  <c:formatCode>General</c:formatCode>
                  <c:ptCount val="24"/>
                  <c:pt idx="0">
                    <c:v>2.5617000000000001E-2</c:v>
                  </c:pt>
                  <c:pt idx="1">
                    <c:v>3.6764999999999999E-2</c:v>
                  </c:pt>
                  <c:pt idx="2">
                    <c:v>2.6750000000000003E-2</c:v>
                  </c:pt>
                  <c:pt idx="3">
                    <c:v>3.3741E-2</c:v>
                  </c:pt>
                  <c:pt idx="4">
                    <c:v>3.1212999999999998E-2</c:v>
                  </c:pt>
                  <c:pt idx="5">
                    <c:v>3.3388000000000001E-2</c:v>
                  </c:pt>
                  <c:pt idx="6">
                    <c:v>2.1351999999999999E-2</c:v>
                  </c:pt>
                  <c:pt idx="7">
                    <c:v>3.0643999999999998E-2</c:v>
                  </c:pt>
                  <c:pt idx="8">
                    <c:v>2.264E-2</c:v>
                  </c:pt>
                  <c:pt idx="9">
                    <c:v>3.1572000000000003E-2</c:v>
                  </c:pt>
                  <c:pt idx="10">
                    <c:v>0</c:v>
                  </c:pt>
                  <c:pt idx="11">
                    <c:v>0</c:v>
                  </c:pt>
                </c:numCache>
              </c:numRef>
            </c:minus>
            <c:spPr>
              <a:noFill/>
              <a:ln w="12700" cap="flat" cmpd="sng" algn="ctr">
                <a:solidFill>
                  <a:srgbClr val="000000"/>
                </a:solidFill>
                <a:prstDash val="solid"/>
                <a:round/>
              </a:ln>
              <a:effectLst/>
            </c:spPr>
          </c:errBars>
          <c:cat>
            <c:numRef>
              <c:f>'Movement graphs v2'!$C$57:$C$68</c:f>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f>'Movement graphs v2'!$V$57:$V$68</c:f>
              <c:numCache>
                <c:formatCode>0.00</c:formatCode>
                <c:ptCount val="12"/>
                <c:pt idx="0">
                  <c:v>0.12628966090266447</c:v>
                </c:pt>
                <c:pt idx="1">
                  <c:v>0.33746158403500459</c:v>
                </c:pt>
                <c:pt idx="2">
                  <c:v>0.17192877031043621</c:v>
                </c:pt>
                <c:pt idx="3">
                  <c:v>0.44456583578301984</c:v>
                </c:pt>
                <c:pt idx="4">
                  <c:v>0.28776307599558348</c:v>
                </c:pt>
                <c:pt idx="5">
                  <c:v>0.1463051898968413</c:v>
                </c:pt>
                <c:pt idx="6">
                  <c:v>0.41632722642583248</c:v>
                </c:pt>
                <c:pt idx="7">
                  <c:v>0.32050967003269126</c:v>
                </c:pt>
                <c:pt idx="8">
                  <c:v>0.12425368841758469</c:v>
                </c:pt>
                <c:pt idx="9">
                  <c:v>0.1361966386105575</c:v>
                </c:pt>
              </c:numCache>
            </c:numRef>
          </c:val>
          <c:smooth val="0"/>
          <c:extLst>
            <c:ext xmlns:c16="http://schemas.microsoft.com/office/drawing/2014/chart" uri="{C3380CC4-5D6E-409C-BE32-E72D297353CC}">
              <c16:uniqueId val="{00000007-01B3-44D0-ADDC-3F4421D27DB5}"/>
            </c:ext>
          </c:extLst>
        </c:ser>
        <c:dLbls>
          <c:showLegendKey val="0"/>
          <c:showVal val="0"/>
          <c:showCatName val="0"/>
          <c:showSerName val="0"/>
          <c:showPercent val="0"/>
          <c:showBubbleSize val="0"/>
        </c:dLbls>
        <c:marker val="1"/>
        <c:smooth val="0"/>
        <c:axId val="2142526896"/>
        <c:axId val="2004665920"/>
        <c:extLst>
          <c:ext xmlns:c15="http://schemas.microsoft.com/office/drawing/2012/chart" uri="{02D57815-91ED-43cb-92C2-25804820EDAC}">
            <c15:filteredLineSeries>
              <c15:ser>
                <c:idx val="2"/>
                <c:order val="2"/>
                <c:tx>
                  <c:strRef>
                    <c:extLst>
                      <c:ext uri="{02D57815-91ED-43cb-92C2-25804820EDAC}">
                        <c15:formulaRef>
                          <c15:sqref>'Movement graphs v2'!$Q$56</c15:sqref>
                        </c15:formulaRef>
                      </c:ext>
                    </c:extLst>
                    <c:strCache>
                      <c:ptCount val="1"/>
                      <c:pt idx="0">
                        <c:v>3</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extLst>
                        <c:ext uri="{02D57815-91ED-43cb-92C2-25804820EDAC}">
                          <c15:formulaRef>
                            <c15:sqref>'Movement graphs v2'!$F$71:$F$94</c15:sqref>
                          </c15:formulaRef>
                        </c:ext>
                      </c:extLst>
                      <c:numCache>
                        <c:formatCode>General</c:formatCode>
                        <c:ptCount val="24"/>
                        <c:pt idx="0">
                          <c:v>2.5562000000000001E-2</c:v>
                        </c:pt>
                        <c:pt idx="1">
                          <c:v>2.5889000000000002E-2</c:v>
                        </c:pt>
                        <c:pt idx="3">
                          <c:v>2.4272999999999999E-2</c:v>
                        </c:pt>
                        <c:pt idx="4">
                          <c:v>2.8097999999999998E-2</c:v>
                        </c:pt>
                        <c:pt idx="5">
                          <c:v>3.1077E-2</c:v>
                        </c:pt>
                        <c:pt idx="6">
                          <c:v>2.4565E-2</c:v>
                        </c:pt>
                        <c:pt idx="7">
                          <c:v>3.1420999999999998E-2</c:v>
                        </c:pt>
                        <c:pt idx="8">
                          <c:v>3.4245999999999999E-2</c:v>
                        </c:pt>
                        <c:pt idx="9">
                          <c:v>2.5852E-2</c:v>
                        </c:pt>
                        <c:pt idx="10">
                          <c:v>1.4999999999999999E-2</c:v>
                        </c:pt>
                        <c:pt idx="12">
                          <c:v>2.5562000000000001E-2</c:v>
                        </c:pt>
                        <c:pt idx="13">
                          <c:v>2.5889000000000002E-2</c:v>
                        </c:pt>
                        <c:pt idx="14">
                          <c:v>0</c:v>
                        </c:pt>
                        <c:pt idx="15">
                          <c:v>2.4272999999999999E-2</c:v>
                        </c:pt>
                        <c:pt idx="16">
                          <c:v>2.8097999999999998E-2</c:v>
                        </c:pt>
                        <c:pt idx="17">
                          <c:v>3.1077E-2</c:v>
                        </c:pt>
                        <c:pt idx="18">
                          <c:v>2.4565E-2</c:v>
                        </c:pt>
                        <c:pt idx="19">
                          <c:v>3.1420999999999998E-2</c:v>
                        </c:pt>
                        <c:pt idx="20">
                          <c:v>3.4245999999999999E-2</c:v>
                        </c:pt>
                        <c:pt idx="21">
                          <c:v>2.5852E-2</c:v>
                        </c:pt>
                        <c:pt idx="22">
                          <c:v>1.4999999999999999E-2</c:v>
                        </c:pt>
                        <c:pt idx="23">
                          <c:v>0</c:v>
                        </c:pt>
                      </c:numCache>
                    </c:numRef>
                  </c:plus>
                  <c:minus>
                    <c:numRef>
                      <c:extLst>
                        <c:ext uri="{02D57815-91ED-43cb-92C2-25804820EDAC}">
                          <c15:formulaRef>
                            <c15:sqref>'Movement graphs v2'!$F$83:$F$106</c15:sqref>
                          </c15:formulaRef>
                        </c:ext>
                      </c:extLst>
                      <c:numCache>
                        <c:formatCode>General</c:formatCode>
                        <c:ptCount val="24"/>
                        <c:pt idx="0">
                          <c:v>2.5562000000000001E-2</c:v>
                        </c:pt>
                        <c:pt idx="1">
                          <c:v>2.5889000000000002E-2</c:v>
                        </c:pt>
                        <c:pt idx="2">
                          <c:v>0</c:v>
                        </c:pt>
                        <c:pt idx="3">
                          <c:v>2.4272999999999999E-2</c:v>
                        </c:pt>
                        <c:pt idx="4">
                          <c:v>2.8097999999999998E-2</c:v>
                        </c:pt>
                        <c:pt idx="5">
                          <c:v>3.1077E-2</c:v>
                        </c:pt>
                        <c:pt idx="6">
                          <c:v>2.4565E-2</c:v>
                        </c:pt>
                        <c:pt idx="7">
                          <c:v>3.1420999999999998E-2</c:v>
                        </c:pt>
                        <c:pt idx="8">
                          <c:v>3.4245999999999999E-2</c:v>
                        </c:pt>
                        <c:pt idx="9">
                          <c:v>2.5852E-2</c:v>
                        </c:pt>
                        <c:pt idx="10">
                          <c:v>1.4999999999999999E-2</c:v>
                        </c:pt>
                        <c:pt idx="11">
                          <c:v>0</c:v>
                        </c:pt>
                        <c:pt idx="16">
                          <c:v>12</c:v>
                        </c:pt>
                        <c:pt idx="17">
                          <c:v>3.9342536488857904</c:v>
                        </c:pt>
                        <c:pt idx="18">
                          <c:v>2.9304284538201086</c:v>
                        </c:pt>
                        <c:pt idx="19">
                          <c:v>2.2626109421203524</c:v>
                        </c:pt>
                        <c:pt idx="20">
                          <c:v>1.8592581070189949</c:v>
                        </c:pt>
                        <c:pt idx="21">
                          <c:v>1.439227419349864</c:v>
                        </c:pt>
                        <c:pt idx="22">
                          <c:v>1.1779855065018525</c:v>
                        </c:pt>
                        <c:pt idx="23">
                          <c:v>1.0666590832466714</c:v>
                        </c:pt>
                      </c:numCache>
                    </c:numRef>
                  </c:minus>
                  <c:spPr>
                    <a:noFill/>
                    <a:ln w="12700" cap="flat" cmpd="sng" algn="ctr">
                      <a:solidFill>
                        <a:srgbClr val="00FF00"/>
                      </a:solidFill>
                      <a:prstDash val="solid"/>
                      <a:round/>
                    </a:ln>
                    <a:effectLst/>
                  </c:spPr>
                </c:errBars>
                <c:cat>
                  <c:numRef>
                    <c:extLst>
                      <c:ex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c:ext uri="{02D57815-91ED-43cb-92C2-25804820EDAC}">
                        <c15:formulaRef>
                          <c15:sqref>'Movement graphs v2'!$Q$57:$Q$68</c15:sqref>
                        </c15:formulaRef>
                      </c:ext>
                    </c:extLst>
                    <c:numCache>
                      <c:formatCode>0.00</c:formatCode>
                      <c:ptCount val="12"/>
                      <c:pt idx="0">
                        <c:v>3.5111135864108495E-2</c:v>
                      </c:pt>
                      <c:pt idx="1">
                        <c:v>0.10800671694773169</c:v>
                      </c:pt>
                      <c:pt idx="3">
                        <c:v>0.30916414789885732</c:v>
                      </c:pt>
                      <c:pt idx="4">
                        <c:v>0.32084971953546215</c:v>
                      </c:pt>
                      <c:pt idx="5">
                        <c:v>0.1340039676094725</c:v>
                      </c:pt>
                      <c:pt idx="6">
                        <c:v>0.29518529287005907</c:v>
                      </c:pt>
                      <c:pt idx="7">
                        <c:v>0.19131042642512636</c:v>
                      </c:pt>
                      <c:pt idx="8">
                        <c:v>0.14963752936333508</c:v>
                      </c:pt>
                      <c:pt idx="9">
                        <c:v>0.22881564718812536</c:v>
                      </c:pt>
                      <c:pt idx="10">
                        <c:v>0.21758907525653598</c:v>
                      </c:pt>
                    </c:numCache>
                  </c:numRef>
                </c:val>
                <c:smooth val="0"/>
                <c:extLst>
                  <c:ext xmlns:c16="http://schemas.microsoft.com/office/drawing/2014/chart" uri="{C3380CC4-5D6E-409C-BE32-E72D297353CC}">
                    <c16:uniqueId val="{00000002-01B3-44D0-ADDC-3F4421D27DB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'Movement graphs v2'!$R$56</c15:sqref>
                        </c15:formulaRef>
                      </c:ext>
                    </c:extLst>
                    <c:strCache>
                      <c:ptCount val="1"/>
                      <c:pt idx="0">
                        <c:v>4</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extLst xmlns:c15="http://schemas.microsoft.com/office/drawing/2012/chart">
                        <c:ext xmlns:c15="http://schemas.microsoft.com/office/drawing/2012/chart" uri="{02D57815-91ED-43cb-92C2-25804820EDAC}">
                          <c15:formulaRef>
                            <c15:sqref>'Movement graphs v2'!$G$71:$G$94</c15:sqref>
                          </c15:formulaRef>
                        </c:ext>
                      </c:extLst>
                      <c:numCache>
                        <c:formatCode>General</c:formatCode>
                        <c:ptCount val="24"/>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pt idx="12">
                          <c:v>1.9675999999999999E-2</c:v>
                        </c:pt>
                        <c:pt idx="13">
                          <c:v>2.4307000000000002E-2</c:v>
                        </c:pt>
                        <c:pt idx="14">
                          <c:v>2.7244999999999998E-2</c:v>
                        </c:pt>
                        <c:pt idx="15">
                          <c:v>5.7322000000000005E-2</c:v>
                        </c:pt>
                        <c:pt idx="16">
                          <c:v>3.1106000000000002E-2</c:v>
                        </c:pt>
                        <c:pt idx="17">
                          <c:v>2.5266999999999998E-2</c:v>
                        </c:pt>
                        <c:pt idx="18">
                          <c:v>3.9609999999999999E-2</c:v>
                        </c:pt>
                        <c:pt idx="19">
                          <c:v>3.4242000000000002E-2</c:v>
                        </c:pt>
                        <c:pt idx="20">
                          <c:v>2.8145999999999997E-2</c:v>
                        </c:pt>
                        <c:pt idx="21">
                          <c:v>2.2059000000000002E-2</c:v>
                        </c:pt>
                        <c:pt idx="22">
                          <c:v>1.8000000000000002E-2</c:v>
                        </c:pt>
                        <c:pt idx="23">
                          <c:v>1.6E-2</c:v>
                        </c:pt>
                      </c:numCache>
                    </c:numRef>
                  </c:plus>
                  <c:minus>
                    <c:numRef>
                      <c:extLst xmlns:c15="http://schemas.microsoft.com/office/drawing/2012/chart">
                        <c:ext xmlns:c15="http://schemas.microsoft.com/office/drawing/2012/chart" uri="{02D57815-91ED-43cb-92C2-25804820EDAC}">
                          <c15:formulaRef>
                            <c15:sqref>'Movement graphs v2'!$G$83:$G$106</c15:sqref>
                          </c15:formulaRef>
                        </c:ext>
                      </c:extLst>
                      <c:numCache>
                        <c:formatCode>General</c:formatCode>
                        <c:ptCount val="24"/>
                        <c:pt idx="0">
                          <c:v>1.9675999999999999E-2</c:v>
                        </c:pt>
                        <c:pt idx="1">
                          <c:v>2.4307000000000002E-2</c:v>
                        </c:pt>
                        <c:pt idx="2">
                          <c:v>2.7244999999999998E-2</c:v>
                        </c:pt>
                        <c:pt idx="3">
                          <c:v>5.7322000000000005E-2</c:v>
                        </c:pt>
                        <c:pt idx="4">
                          <c:v>3.1106000000000002E-2</c:v>
                        </c:pt>
                        <c:pt idx="5">
                          <c:v>2.5266999999999998E-2</c:v>
                        </c:pt>
                        <c:pt idx="6">
                          <c:v>3.9609999999999999E-2</c:v>
                        </c:pt>
                        <c:pt idx="7">
                          <c:v>3.4242000000000002E-2</c:v>
                        </c:pt>
                        <c:pt idx="8">
                          <c:v>2.8145999999999997E-2</c:v>
                        </c:pt>
                        <c:pt idx="9">
                          <c:v>2.2059000000000002E-2</c:v>
                        </c:pt>
                        <c:pt idx="10">
                          <c:v>1.8000000000000002E-2</c:v>
                        </c:pt>
                        <c:pt idx="11">
                          <c:v>1.6E-2</c:v>
                        </c:pt>
                        <c:pt idx="16">
                          <c:v>13</c:v>
                        </c:pt>
                        <c:pt idx="17">
                          <c:v>2.6074783706815556</c:v>
                        </c:pt>
                        <c:pt idx="18">
                          <c:v>1.9657370587061882</c:v>
                        </c:pt>
                        <c:pt idx="19">
                          <c:v>1.5541537672991188</c:v>
                        </c:pt>
                        <c:pt idx="20">
                          <c:v>1.2982446314711413</c:v>
                        </c:pt>
                        <c:pt idx="21">
                          <c:v>1.0636508730570391</c:v>
                        </c:pt>
                        <c:pt idx="22">
                          <c:v>0.90900548595152619</c:v>
                        </c:pt>
                        <c:pt idx="23">
                          <c:v>0.83234038283450928</c:v>
                        </c:pt>
                      </c:numCache>
                    </c:numRef>
                  </c:minus>
                  <c:spPr>
                    <a:noFill/>
                    <a:ln w="12700" cap="flat" cmpd="sng" algn="ctr">
                      <a:solidFill>
                        <a:srgbClr val="0000FF"/>
                      </a:solidFill>
                      <a:prstDash val="solid"/>
                      <a:round/>
                    </a:ln>
                    <a:effectLst/>
                  </c:spPr>
                </c:errBars>
                <c:cat>
                  <c:numRef>
                    <c:extLst xmlns:c15="http://schemas.microsoft.com/office/drawing/2012/chart">
                      <c:ext xmlns:c15="http://schemas.microsoft.com/office/drawing/2012/char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xmlns:c15="http://schemas.microsoft.com/office/drawing/2012/chart">
                      <c:ext xmlns:c15="http://schemas.microsoft.com/office/drawing/2012/chart" uri="{02D57815-91ED-43cb-92C2-25804820EDAC}">
                        <c15:formulaRef>
                          <c15:sqref>'Movement graphs v2'!$R$57:$R$68</c15:sqref>
                        </c15:formulaRef>
                      </c:ext>
                    </c:extLst>
                    <c:numCache>
                      <c:formatCode>0.00</c:formatCode>
                      <c:ptCount val="12"/>
                      <c:pt idx="0">
                        <c:v>6.0621480901535893E-2</c:v>
                      </c:pt>
                      <c:pt idx="1">
                        <c:v>0.19507807576140049</c:v>
                      </c:pt>
                      <c:pt idx="2">
                        <c:v>0.11587651518205369</c:v>
                      </c:pt>
                      <c:pt idx="3">
                        <c:v>0.34115099196659354</c:v>
                      </c:pt>
                      <c:pt idx="4">
                        <c:v>0.27254952423451712</c:v>
                      </c:pt>
                      <c:pt idx="5">
                        <c:v>7.9864033341002644E-2</c:v>
                      </c:pt>
                      <c:pt idx="6">
                        <c:v>0.3590306548130287</c:v>
                      </c:pt>
                      <c:pt idx="7">
                        <c:v>0.22692310206076619</c:v>
                      </c:pt>
                      <c:pt idx="8">
                        <c:v>7.32591192534775E-2</c:v>
                      </c:pt>
                      <c:pt idx="9">
                        <c:v>9.6782515627120688E-2</c:v>
                      </c:pt>
                      <c:pt idx="10">
                        <c:v>0.14499523168189549</c:v>
                      </c:pt>
                      <c:pt idx="11">
                        <c:v>0.27277867912735926</c:v>
                      </c:pt>
                    </c:numCache>
                  </c:numRef>
                </c:val>
                <c:smooth val="0"/>
                <c:extLst xmlns:c15="http://schemas.microsoft.com/office/drawing/2012/chart">
                  <c:ext xmlns:c16="http://schemas.microsoft.com/office/drawing/2014/chart" uri="{C3380CC4-5D6E-409C-BE32-E72D297353CC}">
                    <c16:uniqueId val="{00000003-01B3-44D0-ADDC-3F4421D27DB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'Movement graphs v2'!$W$56</c15:sqref>
                        </c15:formulaRef>
                      </c:ext>
                    </c:extLst>
                    <c:strCache>
                      <c:ptCount val="1"/>
                      <c:pt idx="0">
                        <c:v>TM1</c:v>
                      </c:pt>
                    </c:strCache>
                  </c:strRef>
                </c:tx>
                <c:spPr>
                  <a:ln w="12700" cap="rnd">
                    <a:solidFill>
                      <a:srgbClr val="000000"/>
                    </a:solidFill>
                    <a:prstDash val="solid"/>
                    <a:round/>
                  </a:ln>
                  <a:effectLst/>
                </c:spPr>
                <c:marker>
                  <c:symbol val="plus"/>
                  <c:size val="7"/>
                  <c:spPr>
                    <a:solidFill>
                      <a:srgbClr val="000000"/>
                    </a:solidFill>
                    <a:ln w="12700">
                      <a:solidFill>
                        <a:srgbClr val="000000"/>
                      </a:solidFill>
                      <a:prstDash val="solid"/>
                    </a:ln>
                    <a:effectLst/>
                  </c:spPr>
                </c:marker>
                <c:errBars>
                  <c:errDir val="y"/>
                  <c:errBarType val="both"/>
                  <c:errValType val="cust"/>
                  <c:noEndCap val="0"/>
                  <c:plus>
                    <c:numRef>
                      <c:extLst xmlns:c15="http://schemas.microsoft.com/office/drawing/2012/chart">
                        <c:ext xmlns:c15="http://schemas.microsoft.com/office/drawing/2012/chart" uri="{02D57815-91ED-43cb-92C2-25804820EDAC}">
                          <c15:formulaRef>
                            <c15:sqref>'Movement graphs v2'!$L$71:$L$94</c15:sqref>
                          </c15:formulaRef>
                        </c:ext>
                      </c:extLst>
                      <c:numCache>
                        <c:formatCode>General</c:formatCode>
                        <c:ptCount val="24"/>
                        <c:pt idx="0">
                          <c:v>2.5233999999999999E-2</c:v>
                        </c:pt>
                        <c:pt idx="1">
                          <c:v>2.7025E-2</c:v>
                        </c:pt>
                        <c:pt idx="2">
                          <c:v>2.5958000000000002E-2</c:v>
                        </c:pt>
                        <c:pt idx="5">
                          <c:v>2.1069999999999998E-2</c:v>
                        </c:pt>
                        <c:pt idx="8">
                          <c:v>3.0275000000000003E-2</c:v>
                        </c:pt>
                        <c:pt idx="9">
                          <c:v>2.3694E-2</c:v>
                        </c:pt>
                        <c:pt idx="10">
                          <c:v>2.0999999999999998E-2</c:v>
                        </c:pt>
                        <c:pt idx="11">
                          <c:v>1.6E-2</c:v>
                        </c:pt>
                        <c:pt idx="12">
                          <c:v>2.5233999999999999E-2</c:v>
                        </c:pt>
                        <c:pt idx="13">
                          <c:v>2.7025E-2</c:v>
                        </c:pt>
                        <c:pt idx="14">
                          <c:v>2.5958000000000002E-2</c:v>
                        </c:pt>
                        <c:pt idx="15">
                          <c:v>0</c:v>
                        </c:pt>
                        <c:pt idx="16">
                          <c:v>0</c:v>
                        </c:pt>
                        <c:pt idx="17">
                          <c:v>2.1069999999999998E-2</c:v>
                        </c:pt>
                        <c:pt idx="18">
                          <c:v>0</c:v>
                        </c:pt>
                        <c:pt idx="19">
                          <c:v>0</c:v>
                        </c:pt>
                        <c:pt idx="20">
                          <c:v>3.0275000000000003E-2</c:v>
                        </c:pt>
                        <c:pt idx="21">
                          <c:v>2.3694E-2</c:v>
                        </c:pt>
                        <c:pt idx="22">
                          <c:v>2.0999999999999998E-2</c:v>
                        </c:pt>
                        <c:pt idx="23">
                          <c:v>1.6E-2</c:v>
                        </c:pt>
                      </c:numCache>
                    </c:numRef>
                  </c:plus>
                  <c:minus>
                    <c:numRef>
                      <c:extLst xmlns:c15="http://schemas.microsoft.com/office/drawing/2012/chart">
                        <c:ext xmlns:c15="http://schemas.microsoft.com/office/drawing/2012/chart" uri="{02D57815-91ED-43cb-92C2-25804820EDAC}">
                          <c15:formulaRef>
                            <c15:sqref>'Movement graphs v2'!$L$83:$L$106</c15:sqref>
                          </c15:formulaRef>
                        </c:ext>
                      </c:extLst>
                      <c:numCache>
                        <c:formatCode>General</c:formatCode>
                        <c:ptCount val="24"/>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minus>
                  <c:spPr>
                    <a:noFill/>
                    <a:ln w="12700" cap="flat" cmpd="sng" algn="ctr">
                      <a:solidFill>
                        <a:srgbClr val="000000"/>
                      </a:solidFill>
                      <a:prstDash val="solid"/>
                      <a:round/>
                    </a:ln>
                    <a:effectLst/>
                  </c:spPr>
                </c:errBars>
                <c:cat>
                  <c:numRef>
                    <c:extLst xmlns:c15="http://schemas.microsoft.com/office/drawing/2012/chart">
                      <c:ext xmlns:c15="http://schemas.microsoft.com/office/drawing/2012/chart" uri="{02D57815-91ED-43cb-92C2-25804820EDAC}">
                        <c15:formulaRef>
                          <c15:sqref>'Movement graphs v2'!$C$57:$C$68</c15:sqref>
                        </c15:formulaRef>
                      </c:ext>
                    </c:extLst>
                    <c:numCache>
                      <c:formatCode>m/d/yyyy</c:formatCode>
                      <c:ptCount val="12"/>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numCache>
                  </c:numRef>
                </c:cat>
                <c:val>
                  <c:numRef>
                    <c:extLst xmlns:c15="http://schemas.microsoft.com/office/drawing/2012/chart">
                      <c:ext xmlns:c15="http://schemas.microsoft.com/office/drawing/2012/chart" uri="{02D57815-91ED-43cb-92C2-25804820EDAC}">
                        <c15:formulaRef>
                          <c15:sqref>'Movement graphs v2'!$W$57:$W$68</c15:sqref>
                        </c15:formulaRef>
                      </c:ext>
                    </c:extLst>
                    <c:numCache>
                      <c:formatCode>0.00</c:formatCode>
                      <c:ptCount val="12"/>
                      <c:pt idx="0">
                        <c:v>2.4794039947999478E-2</c:v>
                      </c:pt>
                      <c:pt idx="1">
                        <c:v>0.1027017649810148</c:v>
                      </c:pt>
                      <c:pt idx="2">
                        <c:v>0.1000379335174558</c:v>
                      </c:pt>
                      <c:pt idx="5">
                        <c:v>0.133557997234583</c:v>
                      </c:pt>
                      <c:pt idx="8">
                        <c:v>4.9804697867579073E-2</c:v>
                      </c:pt>
                      <c:pt idx="9">
                        <c:v>0.11932783639823717</c:v>
                      </c:pt>
                      <c:pt idx="10">
                        <c:v>0.18898462497971458</c:v>
                      </c:pt>
                      <c:pt idx="11">
                        <c:v>0.22244579253253247</c:v>
                      </c:pt>
                    </c:numCache>
                  </c:numRef>
                </c:val>
                <c:smooth val="0"/>
                <c:extLst xmlns:c15="http://schemas.microsoft.com/office/drawing/2012/chart">
                  <c:ext xmlns:c16="http://schemas.microsoft.com/office/drawing/2014/chart" uri="{C3380CC4-5D6E-409C-BE32-E72D297353CC}">
                    <c16:uniqueId val="{00000008-01B3-44D0-ADDC-3F4421D27DB5}"/>
                  </c:ext>
                </c:extLst>
              </c15:ser>
            </c15:filteredLineSeries>
          </c:ext>
        </c:extLst>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lang="en-US" sz="1000" b="0" i="0" u="none" strike="noStrike" kern="1200" baseline="0">
                <a:solidFill>
                  <a:schemeClr val="tx1"/>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lgn="ctr" rtl="0">
                  <a:defRPr lang="en-NZ" sz="1000" b="0" i="0" u="none" strike="noStrike" kern="1200" baseline="0">
                    <a:solidFill>
                      <a:sysClr val="windowText" lastClr="000000">
                        <a:lumMod val="65000"/>
                        <a:lumOff val="35000"/>
                      </a:sysClr>
                    </a:solidFill>
                    <a:latin typeface="Calibri" panose="020F0502020204030204" pitchFamily="34" charset="0"/>
                    <a:ea typeface="Calibri"/>
                    <a:cs typeface="Calibri"/>
                  </a:defRPr>
                </a:pPr>
                <a:r>
                  <a:rPr lang="en-NZ" sz="1000" b="0" i="0" u="none" strike="noStrike" kern="1200" baseline="0">
                    <a:solidFill>
                      <a:sysClr val="windowText" lastClr="000000">
                        <a:lumMod val="65000"/>
                        <a:lumOff val="35000"/>
                      </a:sysClr>
                    </a:solidFill>
                    <a:latin typeface="Calibri" panose="020F0502020204030204" pitchFamily="34" charset="0"/>
                    <a:ea typeface="Calibri"/>
                    <a:cs typeface="Calibri"/>
                  </a:rPr>
                  <a:t>Net displacement rate (m/year)</a:t>
                </a:r>
              </a:p>
            </c:rich>
          </c:tx>
          <c:overlay val="0"/>
          <c:spPr>
            <a:noFill/>
            <a:ln>
              <a:noFill/>
            </a:ln>
            <a:effectLst/>
          </c:spPr>
          <c:txPr>
            <a:bodyPr rot="-5400000" spcFirstLastPara="1" vertOverflow="ellipsis" vert="horz" wrap="square" anchor="ctr" anchorCtr="1"/>
            <a:lstStyle/>
            <a:p>
              <a:pPr algn="ctr" rtl="0">
                <a:defRPr lang="en-NZ" sz="1000" b="0" i="0" u="none" strike="noStrike" kern="1200" baseline="0">
                  <a:solidFill>
                    <a:sysClr val="windowText" lastClr="000000">
                      <a:lumMod val="65000"/>
                      <a:lumOff val="35000"/>
                    </a:sysClr>
                  </a:solidFill>
                  <a:latin typeface="Calibri" panose="020F0502020204030204" pitchFamily="34" charset="0"/>
                  <a:ea typeface="Calibri"/>
                  <a:cs typeface="Calibri"/>
                </a:defRPr>
              </a:pPr>
              <a:endParaRPr lang="en-US"/>
            </a:p>
          </c:txPr>
        </c:title>
        <c:numFmt formatCode="0.00" sourceLinked="1"/>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lang="en-US" sz="1000" b="0" i="0" u="none" strike="noStrike" kern="1200" baseline="0">
                <a:solidFill>
                  <a:schemeClr val="tx1"/>
                </a:solidFill>
                <a:latin typeface="Calibri"/>
                <a:ea typeface="Calibri"/>
                <a:cs typeface="Calibri"/>
              </a:defRPr>
            </a:pPr>
            <a:endParaRPr lang="en-US"/>
          </a:p>
        </c:txPr>
        <c:crossAx val="2142526896"/>
        <c:crosses val="autoZero"/>
        <c:crossBetween val="between"/>
      </c:valAx>
      <c:spPr>
        <a:noFill/>
        <a:ln w="12700">
          <a:no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noFill/>
      <a:prstDash val="solid"/>
      <a:round/>
    </a:ln>
    <a:effectLst/>
  </c:spPr>
  <c:txPr>
    <a:bodyPr/>
    <a:lstStyle/>
    <a:p>
      <a:pPr>
        <a:defRPr lang="en-US" sz="1000" b="0" i="0" u="none" strike="noStrike" kern="1200" baseline="0">
          <a:solidFill>
            <a:schemeClr val="tx1"/>
          </a:solidFill>
          <a:latin typeface="Calibri"/>
          <a:ea typeface="Calibri"/>
          <a:cs typeface="Calibri"/>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41391816721796"/>
          <c:y val="4.3119917235398077E-2"/>
          <c:w val="0.87238093168178099"/>
          <c:h val="0.91081018518518519"/>
        </c:manualLayout>
      </c:layout>
      <c:lineChart>
        <c:grouping val="standard"/>
        <c:varyColors val="0"/>
        <c:ser>
          <c:idx val="0"/>
          <c:order val="0"/>
          <c:tx>
            <c:strRef>
              <c:f>'Movement graphs v2'!$P$99</c:f>
              <c:strCache>
                <c:ptCount val="1"/>
                <c:pt idx="0">
                  <c:v>11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v2'!$E$114:$E$139</c:f>
                <c:numCache>
                  <c:formatCode>General</c:formatCode>
                  <c:ptCount val="26"/>
                  <c:pt idx="0">
                    <c:v>2.9894999999999998E-2</c:v>
                  </c:pt>
                  <c:pt idx="1">
                    <c:v>4.19E-2</c:v>
                  </c:pt>
                  <c:pt idx="2">
                    <c:v>5.0751000000000004E-2</c:v>
                  </c:pt>
                  <c:pt idx="3">
                    <c:v>3.8013999999999999E-2</c:v>
                  </c:pt>
                  <c:pt idx="4">
                    <c:v>4.0737000000000002E-2</c:v>
                  </c:pt>
                  <c:pt idx="5">
                    <c:v>4.2842000000000005E-2</c:v>
                  </c:pt>
                  <c:pt idx="6">
                    <c:v>0</c:v>
                  </c:pt>
                  <c:pt idx="7">
                    <c:v>3.2912999999999998E-2</c:v>
                  </c:pt>
                  <c:pt idx="8">
                    <c:v>3.5075000000000002E-2</c:v>
                  </c:pt>
                  <c:pt idx="9">
                    <c:v>6.8406999999999996E-2</c:v>
                  </c:pt>
                  <c:pt idx="10">
                    <c:v>2.3E-2</c:v>
                  </c:pt>
                  <c:pt idx="11">
                    <c:v>0</c:v>
                  </c:pt>
                  <c:pt idx="12">
                    <c:v>0</c:v>
                  </c:pt>
                  <c:pt idx="13">
                    <c:v>2.9894999999999998E-2</c:v>
                  </c:pt>
                  <c:pt idx="14">
                    <c:v>4.19E-2</c:v>
                  </c:pt>
                  <c:pt idx="15">
                    <c:v>5.0751000000000004E-2</c:v>
                  </c:pt>
                  <c:pt idx="16">
                    <c:v>3.8013999999999999E-2</c:v>
                  </c:pt>
                  <c:pt idx="17">
                    <c:v>4.0737000000000002E-2</c:v>
                  </c:pt>
                  <c:pt idx="18">
                    <c:v>4.2842000000000005E-2</c:v>
                  </c:pt>
                  <c:pt idx="19">
                    <c:v>0</c:v>
                  </c:pt>
                  <c:pt idx="20">
                    <c:v>3.2912999999999998E-2</c:v>
                  </c:pt>
                  <c:pt idx="21">
                    <c:v>3.5075000000000002E-2</c:v>
                  </c:pt>
                  <c:pt idx="22">
                    <c:v>6.8406999999999996E-2</c:v>
                  </c:pt>
                  <c:pt idx="23">
                    <c:v>2.3E-2</c:v>
                  </c:pt>
                  <c:pt idx="24">
                    <c:v>0</c:v>
                  </c:pt>
                  <c:pt idx="25">
                    <c:v>0</c:v>
                  </c:pt>
                </c:numCache>
              </c:numRef>
            </c:plus>
            <c:minus>
              <c:numRef>
                <c:f>'Movement graphs v2'!$E$127:$E$152</c:f>
                <c:numCache>
                  <c:formatCode>General</c:formatCode>
                  <c:ptCount val="26"/>
                  <c:pt idx="0">
                    <c:v>2.9894999999999998E-2</c:v>
                  </c:pt>
                  <c:pt idx="1">
                    <c:v>4.19E-2</c:v>
                  </c:pt>
                  <c:pt idx="2">
                    <c:v>5.0751000000000004E-2</c:v>
                  </c:pt>
                  <c:pt idx="3">
                    <c:v>3.8013999999999999E-2</c:v>
                  </c:pt>
                  <c:pt idx="4">
                    <c:v>4.0737000000000002E-2</c:v>
                  </c:pt>
                  <c:pt idx="5">
                    <c:v>4.2842000000000005E-2</c:v>
                  </c:pt>
                  <c:pt idx="6">
                    <c:v>0</c:v>
                  </c:pt>
                  <c:pt idx="7">
                    <c:v>3.2912999999999998E-2</c:v>
                  </c:pt>
                  <c:pt idx="8">
                    <c:v>3.5075000000000002E-2</c:v>
                  </c:pt>
                  <c:pt idx="9">
                    <c:v>6.8406999999999996E-2</c:v>
                  </c:pt>
                  <c:pt idx="10">
                    <c:v>2.3E-2</c:v>
                  </c:pt>
                  <c:pt idx="11">
                    <c:v>0</c:v>
                  </c:pt>
                  <c:pt idx="12">
                    <c:v>0</c:v>
                  </c:pt>
                  <c:pt idx="16">
                    <c:v>16</c:v>
                  </c:pt>
                  <c:pt idx="25">
                    <c:v>13.640615176499303</c:v>
                  </c:pt>
                </c:numCache>
              </c:numRef>
            </c:minus>
            <c:spPr>
              <a:noFill/>
              <a:ln w="12700" cap="flat" cmpd="sng" algn="ctr">
                <a:solidFill>
                  <a:srgbClr val="FF0000"/>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v2'!$P$100:$P$112</c:f>
              <c:numCache>
                <c:formatCode>0.00</c:formatCode>
                <c:ptCount val="13"/>
                <c:pt idx="0">
                  <c:v>8.17682091524536E-2</c:v>
                </c:pt>
                <c:pt idx="1">
                  <c:v>0.12316263854008802</c:v>
                </c:pt>
                <c:pt idx="2">
                  <c:v>9.6082834972651437E-2</c:v>
                </c:pt>
                <c:pt idx="3">
                  <c:v>0.15922289565289147</c:v>
                </c:pt>
                <c:pt idx="4">
                  <c:v>8.6727425884232351E-2</c:v>
                </c:pt>
                <c:pt idx="5">
                  <c:v>5.5627358195082001E-2</c:v>
                </c:pt>
                <c:pt idx="7">
                  <c:v>0.14429834604457084</c:v>
                </c:pt>
                <c:pt idx="8">
                  <c:v>5.8271167790074248E-2</c:v>
                </c:pt>
                <c:pt idx="9">
                  <c:v>3.8439545406681548E-2</c:v>
                </c:pt>
                <c:pt idx="10">
                  <c:v>0.15893851748463436</c:v>
                </c:pt>
                <c:pt idx="11">
                  <c:v>0</c:v>
                </c:pt>
              </c:numCache>
            </c:numRef>
          </c:val>
          <c:smooth val="0"/>
          <c:extLst>
            <c:ext xmlns:c16="http://schemas.microsoft.com/office/drawing/2014/chart" uri="{C3380CC4-5D6E-409C-BE32-E72D297353CC}">
              <c16:uniqueId val="{00000000-DBF8-4DDE-B50C-361648B9F529}"/>
            </c:ext>
          </c:extLst>
        </c:ser>
        <c:ser>
          <c:idx val="1"/>
          <c:order val="1"/>
          <c:tx>
            <c:strRef>
              <c:f>'Movement graphs v2'!$Q$99</c:f>
              <c:strCache>
                <c:ptCount val="1"/>
                <c:pt idx="0">
                  <c:v>12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v2'!$F$114:$F$139</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3">
                    <c:v>2.7560000000000001E-2</c:v>
                  </c:pt>
                  <c:pt idx="14">
                    <c:v>3.0290999999999998E-2</c:v>
                  </c:pt>
                  <c:pt idx="15">
                    <c:v>4.1902000000000002E-2</c:v>
                  </c:pt>
                  <c:pt idx="16">
                    <c:v>3.4409000000000002E-2</c:v>
                  </c:pt>
                  <c:pt idx="17">
                    <c:v>5.2274000000000001E-2</c:v>
                  </c:pt>
                  <c:pt idx="18">
                    <c:v>3.5612999999999999E-2</c:v>
                  </c:pt>
                  <c:pt idx="19">
                    <c:v>2.6123E-2</c:v>
                  </c:pt>
                  <c:pt idx="20">
                    <c:v>2.9122000000000002E-2</c:v>
                  </c:pt>
                  <c:pt idx="21">
                    <c:v>3.5379000000000001E-2</c:v>
                  </c:pt>
                  <c:pt idx="22">
                    <c:v>4.3326000000000003E-2</c:v>
                  </c:pt>
                  <c:pt idx="23">
                    <c:v>1.6E-2</c:v>
                  </c:pt>
                  <c:pt idx="24">
                    <c:v>1.3000000000000001E-2</c:v>
                  </c:pt>
                  <c:pt idx="25">
                    <c:v>0</c:v>
                  </c:pt>
                </c:numCache>
              </c:numRef>
            </c:plus>
            <c:minus>
              <c:numRef>
                <c:f>'Movement graphs v2'!$F$127:$F$152</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6">
                    <c:v>19</c:v>
                  </c:pt>
                  <c:pt idx="17">
                    <c:v>7.8405091506071987</c:v>
                  </c:pt>
                  <c:pt idx="18">
                    <c:v>5.9896298077158399</c:v>
                  </c:pt>
                  <c:pt idx="19">
                    <c:v>4.7797096090894904</c:v>
                  </c:pt>
                  <c:pt idx="20">
                    <c:v>4.0202210636308902</c:v>
                  </c:pt>
                  <c:pt idx="21">
                    <c:v>3.2197046242572895</c:v>
                  </c:pt>
                  <c:pt idx="22">
                    <c:v>2.7638111069349667</c:v>
                  </c:pt>
                  <c:pt idx="23">
                    <c:v>2.539408852778859</c:v>
                  </c:pt>
                  <c:pt idx="25">
                    <c:v>1.5726075110357223</c:v>
                  </c:pt>
                </c:numCache>
              </c:numRef>
            </c:minus>
            <c:spPr>
              <a:noFill/>
              <a:ln w="12700" cap="flat" cmpd="sng" algn="ctr">
                <a:solidFill>
                  <a:srgbClr val="000000"/>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v2'!$Q$100:$Q$112</c:f>
              <c:numCache>
                <c:formatCode>0.00</c:formatCode>
                <c:ptCount val="13"/>
                <c:pt idx="0">
                  <c:v>7.1536967924220984E-2</c:v>
                </c:pt>
                <c:pt idx="1">
                  <c:v>0.1056241982790431</c:v>
                </c:pt>
                <c:pt idx="2">
                  <c:v>7.48738795697131E-2</c:v>
                </c:pt>
                <c:pt idx="3">
                  <c:v>0.12520145497829863</c:v>
                </c:pt>
                <c:pt idx="4">
                  <c:v>8.0183161369191652E-2</c:v>
                </c:pt>
                <c:pt idx="5">
                  <c:v>3.5949157509485602E-2</c:v>
                </c:pt>
                <c:pt idx="6">
                  <c:v>5.9465653249297402E-2</c:v>
                </c:pt>
                <c:pt idx="7">
                  <c:v>0.12121286706649356</c:v>
                </c:pt>
                <c:pt idx="8">
                  <c:v>3.7669449238394236E-2</c:v>
                </c:pt>
                <c:pt idx="9">
                  <c:v>3.8703725893127275E-2</c:v>
                </c:pt>
                <c:pt idx="10">
                  <c:v>3.2987027364936743E-2</c:v>
                </c:pt>
                <c:pt idx="11">
                  <c:v>7.6923923023513835E-2</c:v>
                </c:pt>
                <c:pt idx="12">
                  <c:v>0</c:v>
                </c:pt>
              </c:numCache>
            </c:numRef>
          </c:val>
          <c:smooth val="0"/>
          <c:extLst>
            <c:ext xmlns:c16="http://schemas.microsoft.com/office/drawing/2014/chart" uri="{C3380CC4-5D6E-409C-BE32-E72D297353CC}">
              <c16:uniqueId val="{00000001-DBF8-4DDE-B50C-361648B9F529}"/>
            </c:ext>
          </c:extLst>
        </c:ser>
        <c:ser>
          <c:idx val="2"/>
          <c:order val="2"/>
          <c:tx>
            <c:strRef>
              <c:f>'Movement graphs v2'!$R$99</c:f>
              <c:strCache>
                <c:ptCount val="1"/>
                <c:pt idx="0">
                  <c:v>13</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v2'!$G$114:$G$139</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3">
                    <c:v>2.7511000000000001E-2</c:v>
                  </c:pt>
                  <c:pt idx="14">
                    <c:v>3.0723E-2</c:v>
                  </c:pt>
                  <c:pt idx="15">
                    <c:v>2.9777999999999999E-2</c:v>
                  </c:pt>
                  <c:pt idx="16">
                    <c:v>3.5833999999999998E-2</c:v>
                  </c:pt>
                  <c:pt idx="17">
                    <c:v>3.6048000000000004E-2</c:v>
                  </c:pt>
                  <c:pt idx="18">
                    <c:v>3.7173999999999999E-2</c:v>
                  </c:pt>
                  <c:pt idx="19">
                    <c:v>3.007E-2</c:v>
                  </c:pt>
                  <c:pt idx="20">
                    <c:v>3.2440000000000004E-2</c:v>
                  </c:pt>
                  <c:pt idx="21">
                    <c:v>2.5585999999999998E-2</c:v>
                  </c:pt>
                  <c:pt idx="22">
                    <c:v>2.9602999999999997E-2</c:v>
                  </c:pt>
                  <c:pt idx="23">
                    <c:v>1.6E-2</c:v>
                  </c:pt>
                  <c:pt idx="24">
                    <c:v>1.6E-2</c:v>
                  </c:pt>
                  <c:pt idx="25">
                    <c:v>0</c:v>
                  </c:pt>
                </c:numCache>
              </c:numRef>
            </c:plus>
            <c:minus>
              <c:numRef>
                <c:f>'Movement graphs v2'!$G$127:$G$152</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6">
                    <c:v>20</c:v>
                  </c:pt>
                  <c:pt idx="17">
                    <c:v>12.793317805636217</c:v>
                  </c:pt>
                  <c:pt idx="18">
                    <c:v>9.6774646057499361</c:v>
                  </c:pt>
                  <c:pt idx="19">
                    <c:v>7.7044355129650386</c:v>
                  </c:pt>
                  <c:pt idx="21">
                    <c:v>5.3910359089632296</c:v>
                  </c:pt>
                  <c:pt idx="22">
                    <c:v>4.5291343899621141</c:v>
                  </c:pt>
                  <c:pt idx="23">
                    <c:v>4.2189455739376198</c:v>
                  </c:pt>
                  <c:pt idx="25">
                    <c:v>2.6763069640936061</c:v>
                  </c:pt>
                </c:numCache>
              </c:numRef>
            </c:minus>
            <c:spPr>
              <a:noFill/>
              <a:ln w="12700" cap="flat" cmpd="sng" algn="ctr">
                <a:solidFill>
                  <a:srgbClr val="00FF00"/>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v2'!$R$100:$R$112</c:f>
              <c:numCache>
                <c:formatCode>0.00</c:formatCode>
                <c:ptCount val="13"/>
                <c:pt idx="0">
                  <c:v>4.5733288899394008E-2</c:v>
                </c:pt>
                <c:pt idx="1">
                  <c:v>6.5097357314383431E-2</c:v>
                </c:pt>
                <c:pt idx="2">
                  <c:v>4.750409108184013E-2</c:v>
                </c:pt>
                <c:pt idx="3">
                  <c:v>6.9926985681126638E-2</c:v>
                </c:pt>
                <c:pt idx="4">
                  <c:v>4.7465415844266341E-2</c:v>
                </c:pt>
                <c:pt idx="5">
                  <c:v>2.4756439548203363E-2</c:v>
                </c:pt>
                <c:pt idx="6">
                  <c:v>5.0779916106282463E-2</c:v>
                </c:pt>
                <c:pt idx="7">
                  <c:v>6.8397372545338286E-2</c:v>
                </c:pt>
                <c:pt idx="8">
                  <c:v>3.3456870822437791E-2</c:v>
                </c:pt>
                <c:pt idx="9">
                  <c:v>2.0935876792479262E-2</c:v>
                </c:pt>
                <c:pt idx="10">
                  <c:v>2.3175979827025704E-2</c:v>
                </c:pt>
                <c:pt idx="11">
                  <c:v>9.5249239167943547E-2</c:v>
                </c:pt>
                <c:pt idx="12">
                  <c:v>0</c:v>
                </c:pt>
              </c:numCache>
            </c:numRef>
          </c:val>
          <c:smooth val="0"/>
          <c:extLst>
            <c:ext xmlns:c16="http://schemas.microsoft.com/office/drawing/2014/chart" uri="{C3380CC4-5D6E-409C-BE32-E72D297353CC}">
              <c16:uniqueId val="{00000002-DBF8-4DDE-B50C-361648B9F529}"/>
            </c:ext>
          </c:extLst>
        </c:ser>
        <c:ser>
          <c:idx val="3"/>
          <c:order val="3"/>
          <c:tx>
            <c:strRef>
              <c:f>'Movement graphs v2'!$S$99</c:f>
              <c:strCache>
                <c:ptCount val="1"/>
                <c:pt idx="0">
                  <c:v>14</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v2'!$H$114:$H$139</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3">
                    <c:v>2.6578999999999998E-2</c:v>
                  </c:pt>
                  <c:pt idx="14">
                    <c:v>3.2063000000000001E-2</c:v>
                  </c:pt>
                  <c:pt idx="15">
                    <c:v>2.5013000000000001E-2</c:v>
                  </c:pt>
                  <c:pt idx="16">
                    <c:v>3.3628999999999999E-2</c:v>
                  </c:pt>
                  <c:pt idx="17">
                    <c:v>3.4044999999999999E-2</c:v>
                  </c:pt>
                  <c:pt idx="18">
                    <c:v>3.2266999999999997E-2</c:v>
                  </c:pt>
                  <c:pt idx="19">
                    <c:v>3.1373999999999999E-2</c:v>
                  </c:pt>
                  <c:pt idx="20">
                    <c:v>5.0748000000000001E-2</c:v>
                  </c:pt>
                  <c:pt idx="21">
                    <c:v>5.1277000000000003E-2</c:v>
                  </c:pt>
                  <c:pt idx="22">
                    <c:v>2.7366000000000001E-2</c:v>
                  </c:pt>
                  <c:pt idx="23">
                    <c:v>1.4999999999999999E-2</c:v>
                  </c:pt>
                  <c:pt idx="24">
                    <c:v>1.7000000000000001E-2</c:v>
                  </c:pt>
                  <c:pt idx="25">
                    <c:v>0</c:v>
                  </c:pt>
                </c:numCache>
              </c:numRef>
            </c:plus>
            <c:minus>
              <c:numRef>
                <c:f>'Movement graphs v2'!$H$127:$H$152</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6">
                    <c:v>28</c:v>
                  </c:pt>
                  <c:pt idx="17">
                    <c:v>4.5952102907853254</c:v>
                  </c:pt>
                  <c:pt idx="18">
                    <c:v>3.6634280368050822</c:v>
                  </c:pt>
                  <c:pt idx="20">
                    <c:v>2.2532889668049267</c:v>
                  </c:pt>
                  <c:pt idx="21">
                    <c:v>1.6549457804198149</c:v>
                  </c:pt>
                  <c:pt idx="22">
                    <c:v>1.4268792673504884</c:v>
                  </c:pt>
                  <c:pt idx="23">
                    <c:v>1.3436900056350511</c:v>
                  </c:pt>
                  <c:pt idx="25">
                    <c:v>0.77305234862966621</c:v>
                  </c:pt>
                </c:numCache>
              </c:numRef>
            </c:minus>
            <c:spPr>
              <a:noFill/>
              <a:ln w="12700" cap="flat" cmpd="sng" algn="ctr">
                <a:solidFill>
                  <a:srgbClr val="0000FF"/>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v2'!$S$100:$S$112</c:f>
              <c:numCache>
                <c:formatCode>0.00</c:formatCode>
                <c:ptCount val="13"/>
                <c:pt idx="0">
                  <c:v>0.17545970291007909</c:v>
                </c:pt>
                <c:pt idx="1">
                  <c:v>0.29470624674002766</c:v>
                </c:pt>
                <c:pt idx="2">
                  <c:v>0.2456005456096321</c:v>
                </c:pt>
                <c:pt idx="3">
                  <c:v>0.42020536538449405</c:v>
                </c:pt>
                <c:pt idx="4">
                  <c:v>0.2455066210421197</c:v>
                </c:pt>
                <c:pt idx="5">
                  <c:v>0.12437658475354715</c:v>
                </c:pt>
                <c:pt idx="6">
                  <c:v>0.25028758904852011</c:v>
                </c:pt>
                <c:pt idx="7">
                  <c:v>0.29835200717599342</c:v>
                </c:pt>
                <c:pt idx="8">
                  <c:v>9.8096239696534915E-2</c:v>
                </c:pt>
                <c:pt idx="9">
                  <c:v>0.10380195381835802</c:v>
                </c:pt>
                <c:pt idx="10">
                  <c:v>0.15098658718704344</c:v>
                </c:pt>
                <c:pt idx="11">
                  <c:v>0.20946019868751203</c:v>
                </c:pt>
                <c:pt idx="12">
                  <c:v>0</c:v>
                </c:pt>
              </c:numCache>
            </c:numRef>
          </c:val>
          <c:smooth val="0"/>
          <c:extLst>
            <c:ext xmlns:c16="http://schemas.microsoft.com/office/drawing/2014/chart" uri="{C3380CC4-5D6E-409C-BE32-E72D297353CC}">
              <c16:uniqueId val="{00000003-DBF8-4DDE-B50C-361648B9F529}"/>
            </c:ext>
          </c:extLst>
        </c:ser>
        <c:ser>
          <c:idx val="4"/>
          <c:order val="4"/>
          <c:tx>
            <c:strRef>
              <c:f>'Movement graphs v2'!$T$99</c:f>
              <c:strCache>
                <c:ptCount val="1"/>
                <c:pt idx="0">
                  <c:v>17</c:v>
                </c:pt>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v2'!$I$114:$I$139</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3">
                    <c:v>2.8281000000000001E-2</c:v>
                  </c:pt>
                  <c:pt idx="14">
                    <c:v>3.8584E-2</c:v>
                  </c:pt>
                  <c:pt idx="15">
                    <c:v>3.3484E-2</c:v>
                  </c:pt>
                  <c:pt idx="16">
                    <c:v>3.5540000000000002E-2</c:v>
                  </c:pt>
                  <c:pt idx="17">
                    <c:v>4.3723999999999999E-2</c:v>
                  </c:pt>
                  <c:pt idx="18">
                    <c:v>4.4747000000000002E-2</c:v>
                  </c:pt>
                  <c:pt idx="19">
                    <c:v>2.7307999999999999E-2</c:v>
                  </c:pt>
                  <c:pt idx="20">
                    <c:v>0</c:v>
                  </c:pt>
                  <c:pt idx="21">
                    <c:v>2.7964999999999997E-2</c:v>
                  </c:pt>
                  <c:pt idx="22">
                    <c:v>3.0580000000000003E-2</c:v>
                  </c:pt>
                  <c:pt idx="23">
                    <c:v>0</c:v>
                  </c:pt>
                  <c:pt idx="24">
                    <c:v>0</c:v>
                  </c:pt>
                  <c:pt idx="25">
                    <c:v>0</c:v>
                  </c:pt>
                </c:numCache>
              </c:numRef>
            </c:plus>
            <c:minus>
              <c:numRef>
                <c:f>'Movement graphs v2'!$I$127:$I$152</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6">
                    <c:v>29</c:v>
                  </c:pt>
                  <c:pt idx="17">
                    <c:v>12.097955657454968</c:v>
                  </c:pt>
                  <c:pt idx="18">
                    <c:v>8.6658615271497883</c:v>
                  </c:pt>
                  <c:pt idx="19">
                    <c:v>6.3838718373235253</c:v>
                  </c:pt>
                  <c:pt idx="20">
                    <c:v>2.5998928218713089</c:v>
                  </c:pt>
                  <c:pt idx="21">
                    <c:v>0</c:v>
                  </c:pt>
                </c:numCache>
              </c:numRef>
            </c:minus>
            <c:spPr>
              <a:noFill/>
              <a:ln w="12700" cap="flat" cmpd="sng" algn="ctr">
                <a:solidFill>
                  <a:srgbClr val="808080"/>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v2'!$T$100:$T$112</c:f>
              <c:numCache>
                <c:formatCode>0.00</c:formatCode>
                <c:ptCount val="13"/>
                <c:pt idx="0">
                  <c:v>0.30703111720135157</c:v>
                </c:pt>
                <c:pt idx="1">
                  <c:v>0.44562737275192688</c:v>
                </c:pt>
                <c:pt idx="2">
                  <c:v>0.34698991625740605</c:v>
                </c:pt>
                <c:pt idx="3">
                  <c:v>0.53417651904151831</c:v>
                </c:pt>
                <c:pt idx="4">
                  <c:v>0.37202025889306983</c:v>
                </c:pt>
                <c:pt idx="5">
                  <c:v>0.20547797271511609</c:v>
                </c:pt>
                <c:pt idx="6">
                  <c:v>0.41442566176505835</c:v>
                </c:pt>
                <c:pt idx="8">
                  <c:v>0.1854056535309741</c:v>
                </c:pt>
                <c:pt idx="9">
                  <c:v>0.18860228958783401</c:v>
                </c:pt>
                <c:pt idx="10">
                  <c:v>0</c:v>
                </c:pt>
              </c:numCache>
            </c:numRef>
          </c:val>
          <c:smooth val="0"/>
          <c:extLst>
            <c:ext xmlns:c16="http://schemas.microsoft.com/office/drawing/2014/chart" uri="{C3380CC4-5D6E-409C-BE32-E72D297353CC}">
              <c16:uniqueId val="{00000004-DBF8-4DDE-B50C-361648B9F529}"/>
            </c:ext>
          </c:extLst>
        </c:ser>
        <c:ser>
          <c:idx val="5"/>
          <c:order val="5"/>
          <c:tx>
            <c:strRef>
              <c:f>'Movement graphs v2'!$U$99</c:f>
              <c:strCache>
                <c:ptCount val="1"/>
                <c:pt idx="0">
                  <c:v>18</c:v>
                </c:pt>
              </c:strCache>
            </c:strRef>
          </c:tx>
          <c:spPr>
            <a:ln w="12700" cap="rnd">
              <a:solidFill>
                <a:srgbClr val="000000"/>
              </a:solidFill>
              <a:prstDash val="solid"/>
              <a:round/>
            </a:ln>
            <a:effectLst/>
          </c:spPr>
          <c:marker>
            <c:symbol val="triangle"/>
            <c:size val="7"/>
            <c:spPr>
              <a:solidFill>
                <a:srgbClr val="FFFFFF"/>
              </a:solidFill>
              <a:ln w="12700">
                <a:solidFill>
                  <a:srgbClr val="000000"/>
                </a:solidFill>
                <a:prstDash val="solid"/>
              </a:ln>
              <a:effectLst/>
            </c:spPr>
          </c:marker>
          <c:errBars>
            <c:errDir val="y"/>
            <c:errBarType val="both"/>
            <c:errValType val="cust"/>
            <c:noEndCap val="0"/>
            <c:plus>
              <c:numRef>
                <c:f>'Movement graphs v2'!$J$114:$J$139</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pt idx="13">
                    <c:v>2.5836999999999999E-2</c:v>
                  </c:pt>
                  <c:pt idx="14">
                    <c:v>3.2149999999999998E-2</c:v>
                  </c:pt>
                  <c:pt idx="15">
                    <c:v>3.7137999999999997E-2</c:v>
                  </c:pt>
                  <c:pt idx="16">
                    <c:v>3.8832999999999999E-2</c:v>
                  </c:pt>
                  <c:pt idx="17">
                    <c:v>4.9981999999999999E-2</c:v>
                  </c:pt>
                  <c:pt idx="18">
                    <c:v>3.5750999999999998E-2</c:v>
                  </c:pt>
                  <c:pt idx="19">
                    <c:v>3.5298999999999997E-2</c:v>
                  </c:pt>
                  <c:pt idx="20">
                    <c:v>0</c:v>
                  </c:pt>
                  <c:pt idx="21">
                    <c:v>2.5862000000000003E-2</c:v>
                  </c:pt>
                  <c:pt idx="22">
                    <c:v>3.0407999999999998E-2</c:v>
                  </c:pt>
                  <c:pt idx="23">
                    <c:v>1.7000000000000001E-2</c:v>
                  </c:pt>
                  <c:pt idx="24">
                    <c:v>1.6E-2</c:v>
                  </c:pt>
                  <c:pt idx="25">
                    <c:v>0</c:v>
                  </c:pt>
                </c:numCache>
              </c:numRef>
            </c:plus>
            <c:minus>
              <c:numRef>
                <c:f>'Movement graphs v2'!$J$127:$J$152</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numCache>
              </c:numRef>
            </c:minus>
            <c:spPr>
              <a:noFill/>
              <a:ln w="12700" cap="flat" cmpd="sng" algn="ctr">
                <a:solidFill>
                  <a:srgbClr val="000000"/>
                </a:solidFill>
                <a:prstDash val="solid"/>
                <a:round/>
              </a:ln>
              <a:effectLst/>
            </c:spPr>
          </c:errBars>
          <c:cat>
            <c:numRef>
              <c:f>'Movement graphs v2'!$O$100:$O$112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v2'!$U$100:$U$112</c:f>
              <c:numCache>
                <c:formatCode>0.00</c:formatCode>
                <c:ptCount val="13"/>
                <c:pt idx="0">
                  <c:v>4.2232593785539424E-2</c:v>
                </c:pt>
                <c:pt idx="1">
                  <c:v>5.9154756242871011E-2</c:v>
                </c:pt>
                <c:pt idx="2">
                  <c:v>4.7551043310463101E-2</c:v>
                </c:pt>
                <c:pt idx="3">
                  <c:v>6.4856028435228516E-2</c:v>
                </c:pt>
                <c:pt idx="4">
                  <c:v>4.5886634989954732E-2</c:v>
                </c:pt>
                <c:pt idx="5">
                  <c:v>2.1629210647942328E-2</c:v>
                </c:pt>
                <c:pt idx="6">
                  <c:v>6.4499041702611767E-2</c:v>
                </c:pt>
                <c:pt idx="8">
                  <c:v>3.1099918631525565E-2</c:v>
                </c:pt>
                <c:pt idx="9">
                  <c:v>1.71767993055633E-2</c:v>
                </c:pt>
                <c:pt idx="10">
                  <c:v>1.8516372991413677E-2</c:v>
                </c:pt>
                <c:pt idx="11">
                  <c:v>6.2979480753638448E-2</c:v>
                </c:pt>
                <c:pt idx="12">
                  <c:v>0</c:v>
                </c:pt>
              </c:numCache>
            </c:numRef>
          </c:val>
          <c:smooth val="0"/>
          <c:extLst>
            <c:ext xmlns:c16="http://schemas.microsoft.com/office/drawing/2014/chart" uri="{C3380CC4-5D6E-409C-BE32-E72D297353CC}">
              <c16:uniqueId val="{00000005-DBF8-4DDE-B50C-361648B9F529}"/>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Net displacement rate (m/month)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0" sourceLinked="1"/>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noFill/>
        <a:ln w="12700">
          <a:no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no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'Movement graphs v2'!$E$99</c:f>
              <c:strCache>
                <c:ptCount val="1"/>
                <c:pt idx="0">
                  <c:v>11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v2'!$E$114:$E$139</c:f>
                <c:numCache>
                  <c:formatCode>General</c:formatCode>
                  <c:ptCount val="26"/>
                  <c:pt idx="0">
                    <c:v>2.9894999999999998E-2</c:v>
                  </c:pt>
                  <c:pt idx="1">
                    <c:v>4.19E-2</c:v>
                  </c:pt>
                  <c:pt idx="2">
                    <c:v>5.0751000000000004E-2</c:v>
                  </c:pt>
                  <c:pt idx="3">
                    <c:v>3.8013999999999999E-2</c:v>
                  </c:pt>
                  <c:pt idx="4">
                    <c:v>4.0737000000000002E-2</c:v>
                  </c:pt>
                  <c:pt idx="5">
                    <c:v>4.2842000000000005E-2</c:v>
                  </c:pt>
                  <c:pt idx="6">
                    <c:v>0</c:v>
                  </c:pt>
                  <c:pt idx="7">
                    <c:v>3.2912999999999998E-2</c:v>
                  </c:pt>
                  <c:pt idx="8">
                    <c:v>3.5075000000000002E-2</c:v>
                  </c:pt>
                  <c:pt idx="9">
                    <c:v>6.8406999999999996E-2</c:v>
                  </c:pt>
                  <c:pt idx="10">
                    <c:v>2.3E-2</c:v>
                  </c:pt>
                  <c:pt idx="11">
                    <c:v>0</c:v>
                  </c:pt>
                  <c:pt idx="12">
                    <c:v>0</c:v>
                  </c:pt>
                  <c:pt idx="13">
                    <c:v>2.9894999999999998E-2</c:v>
                  </c:pt>
                  <c:pt idx="14">
                    <c:v>4.19E-2</c:v>
                  </c:pt>
                  <c:pt idx="15">
                    <c:v>5.0751000000000004E-2</c:v>
                  </c:pt>
                  <c:pt idx="16">
                    <c:v>3.8013999999999999E-2</c:v>
                  </c:pt>
                  <c:pt idx="17">
                    <c:v>4.0737000000000002E-2</c:v>
                  </c:pt>
                  <c:pt idx="18">
                    <c:v>4.2842000000000005E-2</c:v>
                  </c:pt>
                  <c:pt idx="19">
                    <c:v>0</c:v>
                  </c:pt>
                  <c:pt idx="20">
                    <c:v>3.2912999999999998E-2</c:v>
                  </c:pt>
                  <c:pt idx="21">
                    <c:v>3.5075000000000002E-2</c:v>
                  </c:pt>
                  <c:pt idx="22">
                    <c:v>6.8406999999999996E-2</c:v>
                  </c:pt>
                  <c:pt idx="23">
                    <c:v>2.3E-2</c:v>
                  </c:pt>
                  <c:pt idx="24">
                    <c:v>0</c:v>
                  </c:pt>
                  <c:pt idx="25">
                    <c:v>0</c:v>
                  </c:pt>
                </c:numCache>
              </c:numRef>
            </c:plus>
            <c:minus>
              <c:numRef>
                <c:f>'Movement graphs v2'!$E$127:$E$152</c:f>
                <c:numCache>
                  <c:formatCode>General</c:formatCode>
                  <c:ptCount val="26"/>
                  <c:pt idx="0">
                    <c:v>2.9894999999999998E-2</c:v>
                  </c:pt>
                  <c:pt idx="1">
                    <c:v>4.19E-2</c:v>
                  </c:pt>
                  <c:pt idx="2">
                    <c:v>5.0751000000000004E-2</c:v>
                  </c:pt>
                  <c:pt idx="3">
                    <c:v>3.8013999999999999E-2</c:v>
                  </c:pt>
                  <c:pt idx="4">
                    <c:v>4.0737000000000002E-2</c:v>
                  </c:pt>
                  <c:pt idx="5">
                    <c:v>4.2842000000000005E-2</c:v>
                  </c:pt>
                  <c:pt idx="6">
                    <c:v>0</c:v>
                  </c:pt>
                  <c:pt idx="7">
                    <c:v>3.2912999999999998E-2</c:v>
                  </c:pt>
                  <c:pt idx="8">
                    <c:v>3.5075000000000002E-2</c:v>
                  </c:pt>
                  <c:pt idx="9">
                    <c:v>6.8406999999999996E-2</c:v>
                  </c:pt>
                  <c:pt idx="10">
                    <c:v>2.3E-2</c:v>
                  </c:pt>
                  <c:pt idx="11">
                    <c:v>0</c:v>
                  </c:pt>
                  <c:pt idx="12">
                    <c:v>0</c:v>
                  </c:pt>
                  <c:pt idx="16">
                    <c:v>16</c:v>
                  </c:pt>
                  <c:pt idx="25">
                    <c:v>13.640615176499303</c:v>
                  </c:pt>
                </c:numCache>
              </c:numRef>
            </c:minus>
            <c:spPr>
              <a:noFill/>
              <a:ln w="12700" cap="flat" cmpd="sng" algn="ctr">
                <a:solidFill>
                  <a:srgbClr val="FF0000"/>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v2'!$E$100:$E$112</c:f>
              <c:numCache>
                <c:formatCode>0.00</c:formatCode>
                <c:ptCount val="13"/>
                <c:pt idx="0">
                  <c:v>4.7020347896129557</c:v>
                </c:pt>
                <c:pt idx="1">
                  <c:v>3.5546421773123975</c:v>
                </c:pt>
                <c:pt idx="2">
                  <c:v>2.775936462671841</c:v>
                </c:pt>
                <c:pt idx="3">
                  <c:v>2.2583289323352993</c:v>
                </c:pt>
                <c:pt idx="4">
                  <c:v>1.7241617985320503</c:v>
                </c:pt>
                <c:pt idx="5">
                  <c:v>1.4415982496834223</c:v>
                </c:pt>
                <c:pt idx="7">
                  <c:v>1.1760224750746437</c:v>
                </c:pt>
                <c:pt idx="8">
                  <c:v>0.69192479802188989</c:v>
                </c:pt>
                <c:pt idx="9">
                  <c:v>0.473877847581612</c:v>
                </c:pt>
                <c:pt idx="10">
                  <c:v>0.34863932867597214</c:v>
                </c:pt>
                <c:pt idx="11">
                  <c:v>0</c:v>
                </c:pt>
              </c:numCache>
            </c:numRef>
          </c:val>
          <c:smooth val="0"/>
          <c:extLst>
            <c:ext xmlns:c16="http://schemas.microsoft.com/office/drawing/2014/chart" uri="{C3380CC4-5D6E-409C-BE32-E72D297353CC}">
              <c16:uniqueId val="{00000000-2DD9-4ED1-9F2A-8A9564A20CDA}"/>
            </c:ext>
          </c:extLst>
        </c:ser>
        <c:ser>
          <c:idx val="1"/>
          <c:order val="1"/>
          <c:tx>
            <c:strRef>
              <c:f>'Movement graphs v2'!$F$99</c:f>
              <c:strCache>
                <c:ptCount val="1"/>
                <c:pt idx="0">
                  <c:v>12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v2'!$F$114:$F$139</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3">
                    <c:v>2.7560000000000001E-2</c:v>
                  </c:pt>
                  <c:pt idx="14">
                    <c:v>3.0290999999999998E-2</c:v>
                  </c:pt>
                  <c:pt idx="15">
                    <c:v>4.1902000000000002E-2</c:v>
                  </c:pt>
                  <c:pt idx="16">
                    <c:v>3.4409000000000002E-2</c:v>
                  </c:pt>
                  <c:pt idx="17">
                    <c:v>5.2274000000000001E-2</c:v>
                  </c:pt>
                  <c:pt idx="18">
                    <c:v>3.5612999999999999E-2</c:v>
                  </c:pt>
                  <c:pt idx="19">
                    <c:v>2.6123E-2</c:v>
                  </c:pt>
                  <c:pt idx="20">
                    <c:v>2.9122000000000002E-2</c:v>
                  </c:pt>
                  <c:pt idx="21">
                    <c:v>3.5379000000000001E-2</c:v>
                  </c:pt>
                  <c:pt idx="22">
                    <c:v>4.3326000000000003E-2</c:v>
                  </c:pt>
                  <c:pt idx="23">
                    <c:v>1.6E-2</c:v>
                  </c:pt>
                  <c:pt idx="24">
                    <c:v>1.3000000000000001E-2</c:v>
                  </c:pt>
                  <c:pt idx="25">
                    <c:v>0</c:v>
                  </c:pt>
                </c:numCache>
              </c:numRef>
            </c:plus>
            <c:minus>
              <c:numRef>
                <c:f>'Movement graphs v2'!$F$127:$F$152</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6">
                    <c:v>19</c:v>
                  </c:pt>
                  <c:pt idx="17">
                    <c:v>7.8405091506071987</c:v>
                  </c:pt>
                  <c:pt idx="18">
                    <c:v>5.9896298077158399</c:v>
                  </c:pt>
                  <c:pt idx="19">
                    <c:v>4.7797096090894904</c:v>
                  </c:pt>
                  <c:pt idx="20">
                    <c:v>4.0202210636308902</c:v>
                  </c:pt>
                  <c:pt idx="21">
                    <c:v>3.2197046242572895</c:v>
                  </c:pt>
                  <c:pt idx="22">
                    <c:v>2.7638111069349667</c:v>
                  </c:pt>
                  <c:pt idx="23">
                    <c:v>2.539408852778859</c:v>
                  </c:pt>
                  <c:pt idx="25">
                    <c:v>1.5726075110357223</c:v>
                  </c:pt>
                </c:numCache>
              </c:numRef>
            </c:minus>
            <c:spPr>
              <a:noFill/>
              <a:ln w="12700" cap="flat" cmpd="sng" algn="ctr">
                <a:solidFill>
                  <a:srgbClr val="000000"/>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v2'!$F$100:$F$112</c:f>
              <c:numCache>
                <c:formatCode>0.00</c:formatCode>
                <c:ptCount val="13"/>
                <c:pt idx="0">
                  <c:v>3.9342536488857904</c:v>
                </c:pt>
                <c:pt idx="1">
                  <c:v>2.9304284538201086</c:v>
                </c:pt>
                <c:pt idx="2">
                  <c:v>2.2626109421203524</c:v>
                </c:pt>
                <c:pt idx="3">
                  <c:v>1.8592581070189949</c:v>
                </c:pt>
                <c:pt idx="4">
                  <c:v>1.439227419349864</c:v>
                </c:pt>
                <c:pt idx="5">
                  <c:v>1.1779855065018525</c:v>
                </c:pt>
                <c:pt idx="6">
                  <c:v>1.0666590832466714</c:v>
                </c:pt>
                <c:pt idx="7">
                  <c:v>0.96691024553817251</c:v>
                </c:pt>
                <c:pt idx="8">
                  <c:v>0.56026062699251666</c:v>
                </c:pt>
                <c:pt idx="9">
                  <c:v>0.41930397822949306</c:v>
                </c:pt>
                <c:pt idx="10">
                  <c:v>0.29320474225511062</c:v>
                </c:pt>
                <c:pt idx="11">
                  <c:v>0.22084610158363646</c:v>
                </c:pt>
                <c:pt idx="12">
                  <c:v>0</c:v>
                </c:pt>
              </c:numCache>
            </c:numRef>
          </c:val>
          <c:smooth val="0"/>
          <c:extLst>
            <c:ext xmlns:c16="http://schemas.microsoft.com/office/drawing/2014/chart" uri="{C3380CC4-5D6E-409C-BE32-E72D297353CC}">
              <c16:uniqueId val="{00000001-2DD9-4ED1-9F2A-8A9564A20CDA}"/>
            </c:ext>
          </c:extLst>
        </c:ser>
        <c:ser>
          <c:idx val="2"/>
          <c:order val="2"/>
          <c:tx>
            <c:strRef>
              <c:f>'Movement graphs v2'!$G$99</c:f>
              <c:strCache>
                <c:ptCount val="1"/>
                <c:pt idx="0">
                  <c:v>13</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v2'!$G$114:$G$139</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3">
                    <c:v>2.7511000000000001E-2</c:v>
                  </c:pt>
                  <c:pt idx="14">
                    <c:v>3.0723E-2</c:v>
                  </c:pt>
                  <c:pt idx="15">
                    <c:v>2.9777999999999999E-2</c:v>
                  </c:pt>
                  <c:pt idx="16">
                    <c:v>3.5833999999999998E-2</c:v>
                  </c:pt>
                  <c:pt idx="17">
                    <c:v>3.6048000000000004E-2</c:v>
                  </c:pt>
                  <c:pt idx="18">
                    <c:v>3.7173999999999999E-2</c:v>
                  </c:pt>
                  <c:pt idx="19">
                    <c:v>3.007E-2</c:v>
                  </c:pt>
                  <c:pt idx="20">
                    <c:v>3.2440000000000004E-2</c:v>
                  </c:pt>
                  <c:pt idx="21">
                    <c:v>2.5585999999999998E-2</c:v>
                  </c:pt>
                  <c:pt idx="22">
                    <c:v>2.9602999999999997E-2</c:v>
                  </c:pt>
                  <c:pt idx="23">
                    <c:v>1.6E-2</c:v>
                  </c:pt>
                  <c:pt idx="24">
                    <c:v>1.6E-2</c:v>
                  </c:pt>
                  <c:pt idx="25">
                    <c:v>0</c:v>
                  </c:pt>
                </c:numCache>
              </c:numRef>
            </c:plus>
            <c:minus>
              <c:numRef>
                <c:f>'Movement graphs v2'!$G$127:$G$152</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6">
                    <c:v>20</c:v>
                  </c:pt>
                  <c:pt idx="17">
                    <c:v>12.793317805636217</c:v>
                  </c:pt>
                  <c:pt idx="18">
                    <c:v>9.6774646057499361</c:v>
                  </c:pt>
                  <c:pt idx="19">
                    <c:v>7.7044355129650386</c:v>
                  </c:pt>
                  <c:pt idx="21">
                    <c:v>5.3910359089632296</c:v>
                  </c:pt>
                  <c:pt idx="22">
                    <c:v>4.5291343899621141</c:v>
                  </c:pt>
                  <c:pt idx="23">
                    <c:v>4.2189455739376198</c:v>
                  </c:pt>
                  <c:pt idx="25">
                    <c:v>2.6763069640936061</c:v>
                  </c:pt>
                </c:numCache>
              </c:numRef>
            </c:minus>
            <c:spPr>
              <a:noFill/>
              <a:ln w="12700" cap="flat" cmpd="sng" algn="ctr">
                <a:solidFill>
                  <a:srgbClr val="00FF00"/>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v2'!$G$100:$G$112</c:f>
              <c:numCache>
                <c:formatCode>0.00</c:formatCode>
                <c:ptCount val="13"/>
                <c:pt idx="0">
                  <c:v>2.6074783706815556</c:v>
                </c:pt>
                <c:pt idx="1">
                  <c:v>1.9657370587061882</c:v>
                </c:pt>
                <c:pt idx="2">
                  <c:v>1.5541537672991188</c:v>
                </c:pt>
                <c:pt idx="3">
                  <c:v>1.2982446314711413</c:v>
                </c:pt>
                <c:pt idx="4">
                  <c:v>1.0636508730570391</c:v>
                </c:pt>
                <c:pt idx="5">
                  <c:v>0.90900548595152619</c:v>
                </c:pt>
                <c:pt idx="6">
                  <c:v>0.83234038283450928</c:v>
                </c:pt>
                <c:pt idx="7">
                  <c:v>0.74716116872074512</c:v>
                </c:pt>
                <c:pt idx="8">
                  <c:v>0.51769901566541665</c:v>
                </c:pt>
                <c:pt idx="9">
                  <c:v>0.39250556355564936</c:v>
                </c:pt>
                <c:pt idx="10">
                  <c:v>0.32429512626402335</c:v>
                </c:pt>
                <c:pt idx="11">
                  <c:v>0.27345749309506373</c:v>
                </c:pt>
                <c:pt idx="12">
                  <c:v>0</c:v>
                </c:pt>
              </c:numCache>
            </c:numRef>
          </c:val>
          <c:smooth val="0"/>
          <c:extLst>
            <c:ext xmlns:c16="http://schemas.microsoft.com/office/drawing/2014/chart" uri="{C3380CC4-5D6E-409C-BE32-E72D297353CC}">
              <c16:uniqueId val="{00000002-2DD9-4ED1-9F2A-8A9564A20CDA}"/>
            </c:ext>
          </c:extLst>
        </c:ser>
        <c:ser>
          <c:idx val="3"/>
          <c:order val="3"/>
          <c:tx>
            <c:strRef>
              <c:f>'Movement graphs v2'!$H$99</c:f>
              <c:strCache>
                <c:ptCount val="1"/>
                <c:pt idx="0">
                  <c:v>14</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v2'!$H$114:$H$139</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3">
                    <c:v>2.6578999999999998E-2</c:v>
                  </c:pt>
                  <c:pt idx="14">
                    <c:v>3.2063000000000001E-2</c:v>
                  </c:pt>
                  <c:pt idx="15">
                    <c:v>2.5013000000000001E-2</c:v>
                  </c:pt>
                  <c:pt idx="16">
                    <c:v>3.3628999999999999E-2</c:v>
                  </c:pt>
                  <c:pt idx="17">
                    <c:v>3.4044999999999999E-2</c:v>
                  </c:pt>
                  <c:pt idx="18">
                    <c:v>3.2266999999999997E-2</c:v>
                  </c:pt>
                  <c:pt idx="19">
                    <c:v>3.1373999999999999E-2</c:v>
                  </c:pt>
                  <c:pt idx="20">
                    <c:v>5.0748000000000001E-2</c:v>
                  </c:pt>
                  <c:pt idx="21">
                    <c:v>5.1277000000000003E-2</c:v>
                  </c:pt>
                  <c:pt idx="22">
                    <c:v>2.7366000000000001E-2</c:v>
                  </c:pt>
                  <c:pt idx="23">
                    <c:v>1.4999999999999999E-2</c:v>
                  </c:pt>
                  <c:pt idx="24">
                    <c:v>1.7000000000000001E-2</c:v>
                  </c:pt>
                  <c:pt idx="25">
                    <c:v>0</c:v>
                  </c:pt>
                </c:numCache>
              </c:numRef>
            </c:plus>
            <c:minus>
              <c:numRef>
                <c:f>'Movement graphs v2'!$H$127:$H$152</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6">
                    <c:v>28</c:v>
                  </c:pt>
                  <c:pt idx="17">
                    <c:v>4.5952102907853254</c:v>
                  </c:pt>
                  <c:pt idx="18">
                    <c:v>3.6634280368050822</c:v>
                  </c:pt>
                  <c:pt idx="20">
                    <c:v>2.2532889668049267</c:v>
                  </c:pt>
                  <c:pt idx="21">
                    <c:v>1.6549457804198149</c:v>
                  </c:pt>
                  <c:pt idx="22">
                    <c:v>1.4268792673504884</c:v>
                  </c:pt>
                  <c:pt idx="23">
                    <c:v>1.3436900056350511</c:v>
                  </c:pt>
                  <c:pt idx="25">
                    <c:v>0.77305234862966621</c:v>
                  </c:pt>
                </c:numCache>
              </c:numRef>
            </c:minus>
            <c:spPr>
              <a:noFill/>
              <a:ln w="12700" cap="flat" cmpd="sng" algn="ctr">
                <a:solidFill>
                  <a:srgbClr val="0000FF"/>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v2'!$H$100:$H$112</c:f>
              <c:numCache>
                <c:formatCode>0.00</c:formatCode>
                <c:ptCount val="13"/>
                <c:pt idx="0">
                  <c:v>11.301810814016338</c:v>
                </c:pt>
                <c:pt idx="1">
                  <c:v>8.8397149828587764</c:v>
                </c:pt>
                <c:pt idx="2">
                  <c:v>6.9764109712121503</c:v>
                </c:pt>
                <c:pt idx="3">
                  <c:v>5.6533370642183254</c:v>
                </c:pt>
                <c:pt idx="4">
                  <c:v>4.2436158384122811</c:v>
                </c:pt>
                <c:pt idx="5">
                  <c:v>3.4437394279202134</c:v>
                </c:pt>
                <c:pt idx="6">
                  <c:v>3.0585732299737449</c:v>
                </c:pt>
                <c:pt idx="7">
                  <c:v>2.6387359838278401</c:v>
                </c:pt>
                <c:pt idx="8">
                  <c:v>1.6378131210438625</c:v>
                </c:pt>
                <c:pt idx="9">
                  <c:v>1.2707433208890866</c:v>
                </c:pt>
                <c:pt idx="10">
                  <c:v>0.93254985844862981</c:v>
                </c:pt>
                <c:pt idx="11">
                  <c:v>0.60135347365124425</c:v>
                </c:pt>
                <c:pt idx="12">
                  <c:v>0</c:v>
                </c:pt>
              </c:numCache>
            </c:numRef>
          </c:val>
          <c:smooth val="0"/>
          <c:extLst>
            <c:ext xmlns:c16="http://schemas.microsoft.com/office/drawing/2014/chart" uri="{C3380CC4-5D6E-409C-BE32-E72D297353CC}">
              <c16:uniqueId val="{00000003-2DD9-4ED1-9F2A-8A9564A20CDA}"/>
            </c:ext>
          </c:extLst>
        </c:ser>
        <c:ser>
          <c:idx val="4"/>
          <c:order val="4"/>
          <c:tx>
            <c:strRef>
              <c:f>'Movement graphs v2'!$I$99</c:f>
              <c:strCache>
                <c:ptCount val="1"/>
                <c:pt idx="0">
                  <c:v>17</c:v>
                </c:pt>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v2'!$I$114:$I$139</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3">
                    <c:v>2.8281000000000001E-2</c:v>
                  </c:pt>
                  <c:pt idx="14">
                    <c:v>3.8584E-2</c:v>
                  </c:pt>
                  <c:pt idx="15">
                    <c:v>3.3484E-2</c:v>
                  </c:pt>
                  <c:pt idx="16">
                    <c:v>3.5540000000000002E-2</c:v>
                  </c:pt>
                  <c:pt idx="17">
                    <c:v>4.3723999999999999E-2</c:v>
                  </c:pt>
                  <c:pt idx="18">
                    <c:v>4.4747000000000002E-2</c:v>
                  </c:pt>
                  <c:pt idx="19">
                    <c:v>2.7307999999999999E-2</c:v>
                  </c:pt>
                  <c:pt idx="20">
                    <c:v>0</c:v>
                  </c:pt>
                  <c:pt idx="21">
                    <c:v>2.7964999999999997E-2</c:v>
                  </c:pt>
                  <c:pt idx="22">
                    <c:v>3.0580000000000003E-2</c:v>
                  </c:pt>
                  <c:pt idx="23">
                    <c:v>0</c:v>
                  </c:pt>
                  <c:pt idx="24">
                    <c:v>0</c:v>
                  </c:pt>
                  <c:pt idx="25">
                    <c:v>0</c:v>
                  </c:pt>
                </c:numCache>
              </c:numRef>
            </c:plus>
            <c:minus>
              <c:numRef>
                <c:f>'Movement graphs v2'!$I$127:$I$152</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6">
                    <c:v>29</c:v>
                  </c:pt>
                  <c:pt idx="17">
                    <c:v>12.097955657454968</c:v>
                  </c:pt>
                  <c:pt idx="18">
                    <c:v>8.6658615271497883</c:v>
                  </c:pt>
                  <c:pt idx="19">
                    <c:v>6.3838718373235253</c:v>
                  </c:pt>
                  <c:pt idx="20">
                    <c:v>2.5998928218713089</c:v>
                  </c:pt>
                  <c:pt idx="21">
                    <c:v>0</c:v>
                  </c:pt>
                </c:numCache>
              </c:numRef>
            </c:minus>
            <c:spPr>
              <a:noFill/>
              <a:ln w="12700" cap="flat" cmpd="sng" algn="ctr">
                <a:solidFill>
                  <a:srgbClr val="808080"/>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v2'!$I$100:$I$112</c:f>
              <c:numCache>
                <c:formatCode>0.00</c:formatCode>
                <c:ptCount val="13"/>
                <c:pt idx="0">
                  <c:v>16.029335382562415</c:v>
                </c:pt>
                <c:pt idx="1">
                  <c:v>11.720995512156351</c:v>
                </c:pt>
                <c:pt idx="2">
                  <c:v>8.9034805102409429</c:v>
                </c:pt>
                <c:pt idx="3">
                  <c:v>7.0342122516929821</c:v>
                </c:pt>
                <c:pt idx="4">
                  <c:v>5.2421361878117594</c:v>
                </c:pt>
                <c:pt idx="5">
                  <c:v>4.0300701830311123</c:v>
                </c:pt>
                <c:pt idx="6">
                  <c:v>3.3937512997843013</c:v>
                </c:pt>
                <c:pt idx="8">
                  <c:v>1.3082544212246527</c:v>
                </c:pt>
                <c:pt idx="9">
                  <c:v>0.61447842736681402</c:v>
                </c:pt>
                <c:pt idx="10">
                  <c:v>0</c:v>
                </c:pt>
              </c:numCache>
            </c:numRef>
          </c:val>
          <c:smooth val="0"/>
          <c:extLst>
            <c:ext xmlns:c16="http://schemas.microsoft.com/office/drawing/2014/chart" uri="{C3380CC4-5D6E-409C-BE32-E72D297353CC}">
              <c16:uniqueId val="{00000004-2DD9-4ED1-9F2A-8A9564A20CDA}"/>
            </c:ext>
          </c:extLst>
        </c:ser>
        <c:ser>
          <c:idx val="5"/>
          <c:order val="5"/>
          <c:tx>
            <c:strRef>
              <c:f>'Movement graphs v2'!$J$99</c:f>
              <c:strCache>
                <c:ptCount val="1"/>
                <c:pt idx="0">
                  <c:v>18</c:v>
                </c:pt>
              </c:strCache>
            </c:strRef>
          </c:tx>
          <c:spPr>
            <a:ln w="12700" cap="rnd">
              <a:solidFill>
                <a:srgbClr val="000000"/>
              </a:solidFill>
              <a:prstDash val="solid"/>
              <a:round/>
            </a:ln>
            <a:effectLst/>
          </c:spPr>
          <c:marker>
            <c:symbol val="triangle"/>
            <c:size val="7"/>
            <c:spPr>
              <a:solidFill>
                <a:srgbClr val="FFFFFF"/>
              </a:solidFill>
              <a:ln w="12700">
                <a:solidFill>
                  <a:srgbClr val="000000"/>
                </a:solidFill>
                <a:prstDash val="solid"/>
              </a:ln>
              <a:effectLst/>
            </c:spPr>
          </c:marker>
          <c:errBars>
            <c:errDir val="y"/>
            <c:errBarType val="both"/>
            <c:errValType val="cust"/>
            <c:noEndCap val="0"/>
            <c:plus>
              <c:numRef>
                <c:f>'Movement graphs v2'!$J$114:$J$139</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pt idx="13">
                    <c:v>2.5836999999999999E-2</c:v>
                  </c:pt>
                  <c:pt idx="14">
                    <c:v>3.2149999999999998E-2</c:v>
                  </c:pt>
                  <c:pt idx="15">
                    <c:v>3.7137999999999997E-2</c:v>
                  </c:pt>
                  <c:pt idx="16">
                    <c:v>3.8832999999999999E-2</c:v>
                  </c:pt>
                  <c:pt idx="17">
                    <c:v>4.9981999999999999E-2</c:v>
                  </c:pt>
                  <c:pt idx="18">
                    <c:v>3.5750999999999998E-2</c:v>
                  </c:pt>
                  <c:pt idx="19">
                    <c:v>3.5298999999999997E-2</c:v>
                  </c:pt>
                  <c:pt idx="20">
                    <c:v>0</c:v>
                  </c:pt>
                  <c:pt idx="21">
                    <c:v>2.5862000000000003E-2</c:v>
                  </c:pt>
                  <c:pt idx="22">
                    <c:v>3.0407999999999998E-2</c:v>
                  </c:pt>
                  <c:pt idx="23">
                    <c:v>1.7000000000000001E-2</c:v>
                  </c:pt>
                  <c:pt idx="24">
                    <c:v>1.6E-2</c:v>
                  </c:pt>
                  <c:pt idx="25">
                    <c:v>0</c:v>
                  </c:pt>
                </c:numCache>
              </c:numRef>
            </c:plus>
            <c:minus>
              <c:numRef>
                <c:f>'Movement graphs v2'!$J$127:$J$152</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numCache>
              </c:numRef>
            </c:minus>
            <c:spPr>
              <a:noFill/>
              <a:ln w="12700" cap="flat" cmpd="sng" algn="ctr">
                <a:solidFill>
                  <a:srgbClr val="000000"/>
                </a:solidFill>
                <a:prstDash val="solid"/>
                <a:round/>
              </a:ln>
              <a:effectLst/>
            </c:spPr>
          </c:errBars>
          <c:cat>
            <c:numRef>
              <c:f>'Movement graphs v2'!$D$100:$D$112</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v2'!$J$100:$J$112</c:f>
              <c:numCache>
                <c:formatCode>0.00</c:formatCode>
                <c:ptCount val="13"/>
                <c:pt idx="0">
                  <c:v>2.375196806897665</c:v>
                </c:pt>
                <c:pt idx="1">
                  <c:v>1.7825781521650954</c:v>
                </c:pt>
                <c:pt idx="2">
                  <c:v>1.4085674352746851</c:v>
                </c:pt>
                <c:pt idx="3">
                  <c:v>1.1524053632473517</c:v>
                </c:pt>
                <c:pt idx="4">
                  <c:v>0.93482384849690758</c:v>
                </c:pt>
                <c:pt idx="5">
                  <c:v>0.78532223127157119</c:v>
                </c:pt>
                <c:pt idx="6">
                  <c:v>0.71834144991020144</c:v>
                </c:pt>
                <c:pt idx="8">
                  <c:v>0.3937656271486713</c:v>
                </c:pt>
                <c:pt idx="9">
                  <c:v>0.27739173807586598</c:v>
                </c:pt>
                <c:pt idx="10">
                  <c:v>0.22142861775774039</c:v>
                </c:pt>
                <c:pt idx="11">
                  <c:v>0.18081205764754266</c:v>
                </c:pt>
                <c:pt idx="12">
                  <c:v>0</c:v>
                </c:pt>
              </c:numCache>
            </c:numRef>
          </c:val>
          <c:smooth val="0"/>
          <c:extLst>
            <c:ext xmlns:c16="http://schemas.microsoft.com/office/drawing/2014/chart" uri="{C3380CC4-5D6E-409C-BE32-E72D297353CC}">
              <c16:uniqueId val="{00000005-2DD9-4ED1-9F2A-8A9564A20CDA}"/>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Cumulative net displacement</a:t>
                </a:r>
                <a:r>
                  <a:rPr lang="en-NZ" baseline="0">
                    <a:latin typeface="Calibri" panose="020F0502020204030204" pitchFamily="34" charset="0"/>
                  </a:rPr>
                  <a:t> (m)</a:t>
                </a:r>
                <a:endParaRPr lang="en-NZ">
                  <a:latin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 sourceLinked="0"/>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solidFill>
          <a:srgbClr val="FFFFFF"/>
        </a:solidFill>
        <a:ln w="12700">
          <a:noFill/>
          <a:prstDash val="solid"/>
        </a:ln>
        <a:effectLst/>
      </c:spPr>
    </c:plotArea>
    <c:legend>
      <c:legendPos val="t"/>
      <c:layout>
        <c:manualLayout>
          <c:xMode val="edge"/>
          <c:yMode val="edge"/>
          <c:x val="0.17964496054821824"/>
          <c:y val="4.2677364622328233E-2"/>
          <c:w val="0.48341936237499522"/>
          <c:h val="0.2527861111111111"/>
        </c:manualLayout>
      </c:layout>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solidFill>
        <a:srgbClr val="000000"/>
      </a:solid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41391816721796"/>
          <c:y val="4.3119917235398077E-2"/>
          <c:w val="0.86931400444704454"/>
          <c:h val="0.91472993827160498"/>
        </c:manualLayout>
      </c:layout>
      <c:lineChart>
        <c:grouping val="standard"/>
        <c:varyColors val="0"/>
        <c:ser>
          <c:idx val="1"/>
          <c:order val="0"/>
          <c:tx>
            <c:strRef>
              <c:f>'Movement graphs v2'!$Q$143</c:f>
              <c:strCache>
                <c:ptCount val="1"/>
                <c:pt idx="0">
                  <c:v>19</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v2'!$F$114:$F$139</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3">
                    <c:v>2.7560000000000001E-2</c:v>
                  </c:pt>
                  <c:pt idx="14">
                    <c:v>3.0290999999999998E-2</c:v>
                  </c:pt>
                  <c:pt idx="15">
                    <c:v>4.1902000000000002E-2</c:v>
                  </c:pt>
                  <c:pt idx="16">
                    <c:v>3.4409000000000002E-2</c:v>
                  </c:pt>
                  <c:pt idx="17">
                    <c:v>5.2274000000000001E-2</c:v>
                  </c:pt>
                  <c:pt idx="18">
                    <c:v>3.5612999999999999E-2</c:v>
                  </c:pt>
                  <c:pt idx="19">
                    <c:v>2.6123E-2</c:v>
                  </c:pt>
                  <c:pt idx="20">
                    <c:v>2.9122000000000002E-2</c:v>
                  </c:pt>
                  <c:pt idx="21">
                    <c:v>3.5379000000000001E-2</c:v>
                  </c:pt>
                  <c:pt idx="22">
                    <c:v>4.3326000000000003E-2</c:v>
                  </c:pt>
                  <c:pt idx="23">
                    <c:v>1.6E-2</c:v>
                  </c:pt>
                  <c:pt idx="24">
                    <c:v>1.3000000000000001E-2</c:v>
                  </c:pt>
                  <c:pt idx="25">
                    <c:v>0</c:v>
                  </c:pt>
                </c:numCache>
              </c:numRef>
            </c:plus>
            <c:minus>
              <c:numRef>
                <c:f>'Movement graphs v2'!$F$127:$F$152</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6">
                    <c:v>19</c:v>
                  </c:pt>
                  <c:pt idx="17">
                    <c:v>7.8405091506071987</c:v>
                  </c:pt>
                  <c:pt idx="18">
                    <c:v>5.9896298077158399</c:v>
                  </c:pt>
                  <c:pt idx="19">
                    <c:v>4.7797096090894904</c:v>
                  </c:pt>
                  <c:pt idx="20">
                    <c:v>4.0202210636308902</c:v>
                  </c:pt>
                  <c:pt idx="21">
                    <c:v>3.2197046242572895</c:v>
                  </c:pt>
                  <c:pt idx="22">
                    <c:v>2.7638111069349667</c:v>
                  </c:pt>
                  <c:pt idx="23">
                    <c:v>2.539408852778859</c:v>
                  </c:pt>
                  <c:pt idx="25">
                    <c:v>1.5726075110357223</c:v>
                  </c:pt>
                </c:numCache>
              </c:numRef>
            </c:minus>
            <c:spPr>
              <a:noFill/>
              <a:ln w="12700" cap="flat" cmpd="sng" algn="ctr">
                <a:solidFill>
                  <a:srgbClr val="FF0000"/>
                </a:solidFill>
                <a:prstDash val="solid"/>
                <a:round/>
              </a:ln>
              <a:effectLst/>
            </c:spPr>
          </c:errBars>
          <c:cat>
            <c:numRef>
              <c:f>'Movement graphs v2'!$O$144:$O$156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v2'!$Q$144:$Q$156</c:f>
              <c:numCache>
                <c:formatCode>0.00</c:formatCode>
                <c:ptCount val="13"/>
                <c:pt idx="0">
                  <c:v>0.13190174627501636</c:v>
                </c:pt>
                <c:pt idx="1">
                  <c:v>0.19136492937457572</c:v>
                </c:pt>
                <c:pt idx="2">
                  <c:v>0.14098290364800373</c:v>
                </c:pt>
                <c:pt idx="3">
                  <c:v>0.23861547712097697</c:v>
                </c:pt>
                <c:pt idx="4">
                  <c:v>0.1399277132375446</c:v>
                </c:pt>
                <c:pt idx="5">
                  <c:v>7.2463227904576488E-2</c:v>
                </c:pt>
                <c:pt idx="6">
                  <c:v>0.1921207794489567</c:v>
                </c:pt>
                <c:pt idx="8">
                  <c:v>9.0318951486946047E-2</c:v>
                </c:pt>
                <c:pt idx="9">
                  <c:v>8.3894732936430377E-2</c:v>
                </c:pt>
                <c:pt idx="10">
                  <c:v>0.15747302419884229</c:v>
                </c:pt>
                <c:pt idx="11">
                  <c:v>0.21452023368001016</c:v>
                </c:pt>
                <c:pt idx="12">
                  <c:v>0</c:v>
                </c:pt>
              </c:numCache>
            </c:numRef>
          </c:val>
          <c:smooth val="0"/>
          <c:extLst>
            <c:ext xmlns:c16="http://schemas.microsoft.com/office/drawing/2014/chart" uri="{C3380CC4-5D6E-409C-BE32-E72D297353CC}">
              <c16:uniqueId val="{00000001-4C7C-4336-A9B6-1D3BA95B7E4A}"/>
            </c:ext>
          </c:extLst>
        </c:ser>
        <c:ser>
          <c:idx val="2"/>
          <c:order val="1"/>
          <c:tx>
            <c:strRef>
              <c:f>'Movement graphs v2'!$R$143</c:f>
              <c:strCache>
                <c:ptCount val="1"/>
                <c:pt idx="0">
                  <c:v>20</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v2'!$G$114:$G$139</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3">
                    <c:v>2.7511000000000001E-2</c:v>
                  </c:pt>
                  <c:pt idx="14">
                    <c:v>3.0723E-2</c:v>
                  </c:pt>
                  <c:pt idx="15">
                    <c:v>2.9777999999999999E-2</c:v>
                  </c:pt>
                  <c:pt idx="16">
                    <c:v>3.5833999999999998E-2</c:v>
                  </c:pt>
                  <c:pt idx="17">
                    <c:v>3.6048000000000004E-2</c:v>
                  </c:pt>
                  <c:pt idx="18">
                    <c:v>3.7173999999999999E-2</c:v>
                  </c:pt>
                  <c:pt idx="19">
                    <c:v>3.007E-2</c:v>
                  </c:pt>
                  <c:pt idx="20">
                    <c:v>3.2440000000000004E-2</c:v>
                  </c:pt>
                  <c:pt idx="21">
                    <c:v>2.5585999999999998E-2</c:v>
                  </c:pt>
                  <c:pt idx="22">
                    <c:v>2.9602999999999997E-2</c:v>
                  </c:pt>
                  <c:pt idx="23">
                    <c:v>1.6E-2</c:v>
                  </c:pt>
                  <c:pt idx="24">
                    <c:v>1.6E-2</c:v>
                  </c:pt>
                  <c:pt idx="25">
                    <c:v>0</c:v>
                  </c:pt>
                </c:numCache>
              </c:numRef>
            </c:plus>
            <c:minus>
              <c:numRef>
                <c:f>'Movement graphs v2'!$G$127:$G$152</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6">
                    <c:v>20</c:v>
                  </c:pt>
                  <c:pt idx="17">
                    <c:v>12.793317805636217</c:v>
                  </c:pt>
                  <c:pt idx="18">
                    <c:v>9.6774646057499361</c:v>
                  </c:pt>
                  <c:pt idx="19">
                    <c:v>7.7044355129650386</c:v>
                  </c:pt>
                  <c:pt idx="21">
                    <c:v>5.3910359089632296</c:v>
                  </c:pt>
                  <c:pt idx="22">
                    <c:v>4.5291343899621141</c:v>
                  </c:pt>
                  <c:pt idx="23">
                    <c:v>4.2189455739376198</c:v>
                  </c:pt>
                  <c:pt idx="25">
                    <c:v>2.6763069640936061</c:v>
                  </c:pt>
                </c:numCache>
              </c:numRef>
            </c:minus>
            <c:spPr>
              <a:noFill/>
              <a:ln w="12700" cap="flat" cmpd="sng" algn="ctr">
                <a:solidFill>
                  <a:srgbClr val="000000"/>
                </a:solidFill>
                <a:prstDash val="solid"/>
                <a:round/>
              </a:ln>
              <a:effectLst/>
            </c:spPr>
          </c:errBars>
          <c:cat>
            <c:numRef>
              <c:f>'Movement graphs v2'!$O$144:$O$156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v2'!$R$144:$R$156</c:f>
              <c:numCache>
                <c:formatCode>0.00</c:formatCode>
                <c:ptCount val="13"/>
                <c:pt idx="0">
                  <c:v>0.22204930849764309</c:v>
                </c:pt>
                <c:pt idx="1">
                  <c:v>0.31206072385883571</c:v>
                </c:pt>
                <c:pt idx="2">
                  <c:v>0.26463242702603718</c:v>
                </c:pt>
                <c:pt idx="4">
                  <c:v>0.26454403058450066</c:v>
                </c:pt>
                <c:pt idx="5">
                  <c:v>0.10016513850790976</c:v>
                </c:pt>
                <c:pt idx="6">
                  <c:v>0.30654998016131046</c:v>
                </c:pt>
                <c:pt idx="8">
                  <c:v>0.15919399151536776</c:v>
                </c:pt>
                <c:pt idx="9">
                  <c:v>0.13161606551905805</c:v>
                </c:pt>
                <c:pt idx="10">
                  <c:v>0.2684240290027845</c:v>
                </c:pt>
                <c:pt idx="11">
                  <c:v>0.37025793574724641</c:v>
                </c:pt>
                <c:pt idx="12">
                  <c:v>0</c:v>
                </c:pt>
              </c:numCache>
            </c:numRef>
          </c:val>
          <c:smooth val="0"/>
          <c:extLst>
            <c:ext xmlns:c16="http://schemas.microsoft.com/office/drawing/2014/chart" uri="{C3380CC4-5D6E-409C-BE32-E72D297353CC}">
              <c16:uniqueId val="{00000002-4C7C-4336-A9B6-1D3BA95B7E4A}"/>
            </c:ext>
          </c:extLst>
        </c:ser>
        <c:ser>
          <c:idx val="3"/>
          <c:order val="2"/>
          <c:tx>
            <c:strRef>
              <c:f>'Movement graphs v2'!$S$143</c:f>
              <c:strCache>
                <c:ptCount val="1"/>
                <c:pt idx="0">
                  <c:v>28</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v2'!$H$114:$H$139</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3">
                    <c:v>2.6578999999999998E-2</c:v>
                  </c:pt>
                  <c:pt idx="14">
                    <c:v>3.2063000000000001E-2</c:v>
                  </c:pt>
                  <c:pt idx="15">
                    <c:v>2.5013000000000001E-2</c:v>
                  </c:pt>
                  <c:pt idx="16">
                    <c:v>3.3628999999999999E-2</c:v>
                  </c:pt>
                  <c:pt idx="17">
                    <c:v>3.4044999999999999E-2</c:v>
                  </c:pt>
                  <c:pt idx="18">
                    <c:v>3.2266999999999997E-2</c:v>
                  </c:pt>
                  <c:pt idx="19">
                    <c:v>3.1373999999999999E-2</c:v>
                  </c:pt>
                  <c:pt idx="20">
                    <c:v>5.0748000000000001E-2</c:v>
                  </c:pt>
                  <c:pt idx="21">
                    <c:v>5.1277000000000003E-2</c:v>
                  </c:pt>
                  <c:pt idx="22">
                    <c:v>2.7366000000000001E-2</c:v>
                  </c:pt>
                  <c:pt idx="23">
                    <c:v>1.4999999999999999E-2</c:v>
                  </c:pt>
                  <c:pt idx="24">
                    <c:v>1.7000000000000001E-2</c:v>
                  </c:pt>
                  <c:pt idx="25">
                    <c:v>0</c:v>
                  </c:pt>
                </c:numCache>
              </c:numRef>
            </c:plus>
            <c:minus>
              <c:numRef>
                <c:f>'Movement graphs v2'!$H$127:$H$152</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6">
                    <c:v>28</c:v>
                  </c:pt>
                  <c:pt idx="17">
                    <c:v>4.5952102907853254</c:v>
                  </c:pt>
                  <c:pt idx="18">
                    <c:v>3.6634280368050822</c:v>
                  </c:pt>
                  <c:pt idx="20">
                    <c:v>2.2532889668049267</c:v>
                  </c:pt>
                  <c:pt idx="21">
                    <c:v>1.6549457804198149</c:v>
                  </c:pt>
                  <c:pt idx="22">
                    <c:v>1.4268792673504884</c:v>
                  </c:pt>
                  <c:pt idx="23">
                    <c:v>1.3436900056350511</c:v>
                  </c:pt>
                  <c:pt idx="25">
                    <c:v>0.77305234862966621</c:v>
                  </c:pt>
                </c:numCache>
              </c:numRef>
            </c:minus>
            <c:spPr>
              <a:noFill/>
              <a:ln w="12700" cap="flat" cmpd="sng" algn="ctr">
                <a:solidFill>
                  <a:srgbClr val="00FF00"/>
                </a:solidFill>
                <a:prstDash val="solid"/>
                <a:round/>
              </a:ln>
              <a:effectLst/>
            </c:spPr>
          </c:errBars>
          <c:cat>
            <c:numRef>
              <c:f>'Movement graphs v2'!$O$144:$O$156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v2'!$S$144:$S$156</c:f>
              <c:numCache>
                <c:formatCode>0.00</c:formatCode>
                <c:ptCount val="13"/>
                <c:pt idx="0">
                  <c:v>6.6402873272155244E-2</c:v>
                </c:pt>
                <c:pt idx="1">
                  <c:v>0.12042509964188652</c:v>
                </c:pt>
                <c:pt idx="3">
                  <c:v>0.17835229594171598</c:v>
                </c:pt>
                <c:pt idx="4">
                  <c:v>7.0000612922268488E-2</c:v>
                </c:pt>
                <c:pt idx="5">
                  <c:v>2.6863199095609955E-2</c:v>
                </c:pt>
                <c:pt idx="8">
                  <c:v>6.407653157090816E-2</c:v>
                </c:pt>
                <c:pt idx="9">
                  <c:v>0</c:v>
                </c:pt>
              </c:numCache>
            </c:numRef>
          </c:val>
          <c:smooth val="0"/>
          <c:extLst>
            <c:ext xmlns:c16="http://schemas.microsoft.com/office/drawing/2014/chart" uri="{C3380CC4-5D6E-409C-BE32-E72D297353CC}">
              <c16:uniqueId val="{00000003-4C7C-4336-A9B6-1D3BA95B7E4A}"/>
            </c:ext>
          </c:extLst>
        </c:ser>
        <c:ser>
          <c:idx val="4"/>
          <c:order val="3"/>
          <c:tx>
            <c:strRef>
              <c:f>'Movement graphs v2'!$T$143</c:f>
              <c:strCache>
                <c:ptCount val="1"/>
                <c:pt idx="0">
                  <c:v>29</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v2'!$I$114:$I$139</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3">
                    <c:v>2.8281000000000001E-2</c:v>
                  </c:pt>
                  <c:pt idx="14">
                    <c:v>3.8584E-2</c:v>
                  </c:pt>
                  <c:pt idx="15">
                    <c:v>3.3484E-2</c:v>
                  </c:pt>
                  <c:pt idx="16">
                    <c:v>3.5540000000000002E-2</c:v>
                  </c:pt>
                  <c:pt idx="17">
                    <c:v>4.3723999999999999E-2</c:v>
                  </c:pt>
                  <c:pt idx="18">
                    <c:v>4.4747000000000002E-2</c:v>
                  </c:pt>
                  <c:pt idx="19">
                    <c:v>2.7307999999999999E-2</c:v>
                  </c:pt>
                  <c:pt idx="20">
                    <c:v>0</c:v>
                  </c:pt>
                  <c:pt idx="21">
                    <c:v>2.7964999999999997E-2</c:v>
                  </c:pt>
                  <c:pt idx="22">
                    <c:v>3.0580000000000003E-2</c:v>
                  </c:pt>
                  <c:pt idx="23">
                    <c:v>0</c:v>
                  </c:pt>
                  <c:pt idx="24">
                    <c:v>0</c:v>
                  </c:pt>
                  <c:pt idx="25">
                    <c:v>0</c:v>
                  </c:pt>
                </c:numCache>
              </c:numRef>
            </c:plus>
            <c:minus>
              <c:numRef>
                <c:f>'Movement graphs v2'!$I$127:$I$152</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6">
                    <c:v>29</c:v>
                  </c:pt>
                  <c:pt idx="17">
                    <c:v>12.097955657454968</c:v>
                  </c:pt>
                  <c:pt idx="18">
                    <c:v>8.6658615271497883</c:v>
                  </c:pt>
                  <c:pt idx="19">
                    <c:v>6.3838718373235253</c:v>
                  </c:pt>
                  <c:pt idx="20">
                    <c:v>2.5998928218713089</c:v>
                  </c:pt>
                  <c:pt idx="21">
                    <c:v>0</c:v>
                  </c:pt>
                </c:numCache>
              </c:numRef>
            </c:minus>
            <c:spPr>
              <a:noFill/>
              <a:ln w="12700" cap="flat" cmpd="sng" algn="ctr">
                <a:solidFill>
                  <a:srgbClr val="0000FF"/>
                </a:solidFill>
                <a:prstDash val="solid"/>
                <a:round/>
              </a:ln>
              <a:effectLst/>
            </c:spPr>
          </c:errBars>
          <c:cat>
            <c:numRef>
              <c:f>'Movement graphs v2'!$O$144:$O$156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v2'!$T$144:$T$156</c:f>
              <c:numCache>
                <c:formatCode>0.00</c:formatCode>
                <c:ptCount val="13"/>
                <c:pt idx="0">
                  <c:v>0.54283121448704363</c:v>
                </c:pt>
                <c:pt idx="1">
                  <c:v>0.42360287655457585</c:v>
                </c:pt>
                <c:pt idx="2">
                  <c:v>1.1279168219136415</c:v>
                </c:pt>
                <c:pt idx="3">
                  <c:v>0.79798690572287689</c:v>
                </c:pt>
                <c:pt idx="4">
                  <c:v>0</c:v>
                </c:pt>
              </c:numCache>
            </c:numRef>
          </c:val>
          <c:smooth val="0"/>
          <c:extLst>
            <c:ext xmlns:c16="http://schemas.microsoft.com/office/drawing/2014/chart" uri="{C3380CC4-5D6E-409C-BE32-E72D297353CC}">
              <c16:uniqueId val="{00000004-4C7C-4336-A9B6-1D3BA95B7E4A}"/>
            </c:ext>
          </c:extLst>
        </c:ser>
        <c:ser>
          <c:idx val="5"/>
          <c:order val="4"/>
          <c:tx>
            <c:strRef>
              <c:f>'Movement graphs v2'!$U$143</c:f>
              <c:strCache>
                <c:ptCount val="1"/>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v2'!$J$114:$J$139</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pt idx="13">
                    <c:v>2.5836999999999999E-2</c:v>
                  </c:pt>
                  <c:pt idx="14">
                    <c:v>3.2149999999999998E-2</c:v>
                  </c:pt>
                  <c:pt idx="15">
                    <c:v>3.7137999999999997E-2</c:v>
                  </c:pt>
                  <c:pt idx="16">
                    <c:v>3.8832999999999999E-2</c:v>
                  </c:pt>
                  <c:pt idx="17">
                    <c:v>4.9981999999999999E-2</c:v>
                  </c:pt>
                  <c:pt idx="18">
                    <c:v>3.5750999999999998E-2</c:v>
                  </c:pt>
                  <c:pt idx="19">
                    <c:v>3.5298999999999997E-2</c:v>
                  </c:pt>
                  <c:pt idx="20">
                    <c:v>0</c:v>
                  </c:pt>
                  <c:pt idx="21">
                    <c:v>2.5862000000000003E-2</c:v>
                  </c:pt>
                  <c:pt idx="22">
                    <c:v>3.0407999999999998E-2</c:v>
                  </c:pt>
                  <c:pt idx="23">
                    <c:v>1.7000000000000001E-2</c:v>
                  </c:pt>
                  <c:pt idx="24">
                    <c:v>1.6E-2</c:v>
                  </c:pt>
                  <c:pt idx="25">
                    <c:v>0</c:v>
                  </c:pt>
                </c:numCache>
              </c:numRef>
            </c:plus>
            <c:minus>
              <c:numRef>
                <c:f>'Movement graphs v2'!$J$127:$J$152</c:f>
                <c:numCache>
                  <c:formatCode>General</c:formatCode>
                  <c:ptCount val="26"/>
                  <c:pt idx="0">
                    <c:v>2.5836999999999999E-2</c:v>
                  </c:pt>
                  <c:pt idx="1">
                    <c:v>3.2149999999999998E-2</c:v>
                  </c:pt>
                  <c:pt idx="2">
                    <c:v>3.7137999999999997E-2</c:v>
                  </c:pt>
                  <c:pt idx="3">
                    <c:v>3.8832999999999999E-2</c:v>
                  </c:pt>
                  <c:pt idx="4">
                    <c:v>4.9981999999999999E-2</c:v>
                  </c:pt>
                  <c:pt idx="5">
                    <c:v>3.5750999999999998E-2</c:v>
                  </c:pt>
                  <c:pt idx="6">
                    <c:v>3.5298999999999997E-2</c:v>
                  </c:pt>
                  <c:pt idx="7">
                    <c:v>0</c:v>
                  </c:pt>
                  <c:pt idx="8">
                    <c:v>2.5862000000000003E-2</c:v>
                  </c:pt>
                  <c:pt idx="9">
                    <c:v>3.0407999999999998E-2</c:v>
                  </c:pt>
                  <c:pt idx="10">
                    <c:v>1.7000000000000001E-2</c:v>
                  </c:pt>
                  <c:pt idx="11">
                    <c:v>1.6E-2</c:v>
                  </c:pt>
                  <c:pt idx="12">
                    <c:v>0</c:v>
                  </c:pt>
                </c:numCache>
              </c:numRef>
            </c:minus>
            <c:spPr>
              <a:noFill/>
              <a:ln w="12700" cap="flat" cmpd="sng" algn="ctr">
                <a:solidFill>
                  <a:srgbClr val="808080"/>
                </a:solidFill>
                <a:prstDash val="solid"/>
                <a:round/>
              </a:ln>
              <a:effectLst/>
            </c:spPr>
          </c:errBars>
          <c:cat>
            <c:numRef>
              <c:f>'Movement graphs v2'!$O$144:$O$156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v2'!$U$144:$U$156</c:f>
              <c:numCache>
                <c:formatCode>0.00</c:formatCode>
                <c:ptCount val="13"/>
              </c:numCache>
            </c:numRef>
          </c:val>
          <c:smooth val="0"/>
          <c:extLst>
            <c:ext xmlns:c16="http://schemas.microsoft.com/office/drawing/2014/chart" uri="{C3380CC4-5D6E-409C-BE32-E72D297353CC}">
              <c16:uniqueId val="{00000005-4C7C-4336-A9B6-1D3BA95B7E4A}"/>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Net displacement rate (m/month)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0" sourceLinked="1"/>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noFill/>
        <a:ln w="12700">
          <a:no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no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'Movement graphs v2'!$F$143</c:f>
              <c:strCache>
                <c:ptCount val="1"/>
                <c:pt idx="0">
                  <c:v>19</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v2'!$F$114:$F$139</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3">
                    <c:v>2.7560000000000001E-2</c:v>
                  </c:pt>
                  <c:pt idx="14">
                    <c:v>3.0290999999999998E-2</c:v>
                  </c:pt>
                  <c:pt idx="15">
                    <c:v>4.1902000000000002E-2</c:v>
                  </c:pt>
                  <c:pt idx="16">
                    <c:v>3.4409000000000002E-2</c:v>
                  </c:pt>
                  <c:pt idx="17">
                    <c:v>5.2274000000000001E-2</c:v>
                  </c:pt>
                  <c:pt idx="18">
                    <c:v>3.5612999999999999E-2</c:v>
                  </c:pt>
                  <c:pt idx="19">
                    <c:v>2.6123E-2</c:v>
                  </c:pt>
                  <c:pt idx="20">
                    <c:v>2.9122000000000002E-2</c:v>
                  </c:pt>
                  <c:pt idx="21">
                    <c:v>3.5379000000000001E-2</c:v>
                  </c:pt>
                  <c:pt idx="22">
                    <c:v>4.3326000000000003E-2</c:v>
                  </c:pt>
                  <c:pt idx="23">
                    <c:v>1.6E-2</c:v>
                  </c:pt>
                  <c:pt idx="24">
                    <c:v>1.3000000000000001E-2</c:v>
                  </c:pt>
                  <c:pt idx="25">
                    <c:v>0</c:v>
                  </c:pt>
                </c:numCache>
              </c:numRef>
            </c:plus>
            <c:minus>
              <c:numRef>
                <c:f>'Movement graphs v2'!$F$127:$F$152</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6">
                    <c:v>19</c:v>
                  </c:pt>
                  <c:pt idx="17">
                    <c:v>7.8405091506071987</c:v>
                  </c:pt>
                  <c:pt idx="18">
                    <c:v>5.9896298077158399</c:v>
                  </c:pt>
                  <c:pt idx="19">
                    <c:v>4.7797096090894904</c:v>
                  </c:pt>
                  <c:pt idx="20">
                    <c:v>4.0202210636308902</c:v>
                  </c:pt>
                  <c:pt idx="21">
                    <c:v>3.2197046242572895</c:v>
                  </c:pt>
                  <c:pt idx="22">
                    <c:v>2.7638111069349667</c:v>
                  </c:pt>
                  <c:pt idx="23">
                    <c:v>2.539408852778859</c:v>
                  </c:pt>
                  <c:pt idx="25">
                    <c:v>1.5726075110357223</c:v>
                  </c:pt>
                </c:numCache>
              </c:numRef>
            </c:minus>
            <c:spPr>
              <a:noFill/>
              <a:ln w="12700" cap="flat" cmpd="sng" algn="ctr">
                <a:solidFill>
                  <a:srgbClr val="FF0000"/>
                </a:solidFill>
                <a:prstDash val="solid"/>
                <a:round/>
              </a:ln>
              <a:effectLst/>
            </c:spPr>
          </c:errBars>
          <c:cat>
            <c:numRef>
              <c:f>'Movement graphs v2'!$D$144:$D$156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v2'!$F$144:$F$156</c:f>
              <c:numCache>
                <c:formatCode>0.00</c:formatCode>
                <c:ptCount val="13"/>
                <c:pt idx="0">
                  <c:v>7.8405091506071987</c:v>
                </c:pt>
                <c:pt idx="1">
                  <c:v>5.9896298077158399</c:v>
                </c:pt>
                <c:pt idx="2">
                  <c:v>4.7797096090894904</c:v>
                </c:pt>
                <c:pt idx="3">
                  <c:v>4.0202210636308902</c:v>
                </c:pt>
                <c:pt idx="4">
                  <c:v>3.2197046242572895</c:v>
                </c:pt>
                <c:pt idx="5">
                  <c:v>2.7638111069349667</c:v>
                </c:pt>
                <c:pt idx="6">
                  <c:v>2.539408852778859</c:v>
                </c:pt>
                <c:pt idx="8">
                  <c:v>1.5726075110357223</c:v>
                </c:pt>
                <c:pt idx="9">
                  <c:v>1.2346398216006984</c:v>
                </c:pt>
                <c:pt idx="10">
                  <c:v>0.96130536913039299</c:v>
                </c:pt>
                <c:pt idx="11">
                  <c:v>0.6158806708877711</c:v>
                </c:pt>
                <c:pt idx="12">
                  <c:v>0</c:v>
                </c:pt>
              </c:numCache>
            </c:numRef>
          </c:val>
          <c:smooth val="0"/>
          <c:extLst>
            <c:ext xmlns:c16="http://schemas.microsoft.com/office/drawing/2014/chart" uri="{C3380CC4-5D6E-409C-BE32-E72D297353CC}">
              <c16:uniqueId val="{00000001-051B-4E04-8799-4645CFDCCA32}"/>
            </c:ext>
          </c:extLst>
        </c:ser>
        <c:ser>
          <c:idx val="2"/>
          <c:order val="1"/>
          <c:tx>
            <c:strRef>
              <c:f>'Movement graphs v2'!$G$143</c:f>
              <c:strCache>
                <c:ptCount val="1"/>
                <c:pt idx="0">
                  <c:v>20</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v2'!$G$114:$G$139</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3">
                    <c:v>2.7511000000000001E-2</c:v>
                  </c:pt>
                  <c:pt idx="14">
                    <c:v>3.0723E-2</c:v>
                  </c:pt>
                  <c:pt idx="15">
                    <c:v>2.9777999999999999E-2</c:v>
                  </c:pt>
                  <c:pt idx="16">
                    <c:v>3.5833999999999998E-2</c:v>
                  </c:pt>
                  <c:pt idx="17">
                    <c:v>3.6048000000000004E-2</c:v>
                  </c:pt>
                  <c:pt idx="18">
                    <c:v>3.7173999999999999E-2</c:v>
                  </c:pt>
                  <c:pt idx="19">
                    <c:v>3.007E-2</c:v>
                  </c:pt>
                  <c:pt idx="20">
                    <c:v>3.2440000000000004E-2</c:v>
                  </c:pt>
                  <c:pt idx="21">
                    <c:v>2.5585999999999998E-2</c:v>
                  </c:pt>
                  <c:pt idx="22">
                    <c:v>2.9602999999999997E-2</c:v>
                  </c:pt>
                  <c:pt idx="23">
                    <c:v>1.6E-2</c:v>
                  </c:pt>
                  <c:pt idx="24">
                    <c:v>1.6E-2</c:v>
                  </c:pt>
                  <c:pt idx="25">
                    <c:v>0</c:v>
                  </c:pt>
                </c:numCache>
              </c:numRef>
            </c:plus>
            <c:minus>
              <c:numRef>
                <c:f>'Movement graphs v2'!$G$127:$G$152</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6">
                    <c:v>20</c:v>
                  </c:pt>
                  <c:pt idx="17">
                    <c:v>12.793317805636217</c:v>
                  </c:pt>
                  <c:pt idx="18">
                    <c:v>9.6774646057499361</c:v>
                  </c:pt>
                  <c:pt idx="19">
                    <c:v>7.7044355129650386</c:v>
                  </c:pt>
                  <c:pt idx="21">
                    <c:v>5.3910359089632296</c:v>
                  </c:pt>
                  <c:pt idx="22">
                    <c:v>4.5291343899621141</c:v>
                  </c:pt>
                  <c:pt idx="23">
                    <c:v>4.2189455739376198</c:v>
                  </c:pt>
                  <c:pt idx="25">
                    <c:v>2.6763069640936061</c:v>
                  </c:pt>
                </c:numCache>
              </c:numRef>
            </c:minus>
            <c:spPr>
              <a:noFill/>
              <a:ln w="12700" cap="flat" cmpd="sng" algn="ctr">
                <a:solidFill>
                  <a:srgbClr val="000000"/>
                </a:solidFill>
                <a:prstDash val="solid"/>
                <a:round/>
              </a:ln>
              <a:effectLst/>
            </c:spPr>
          </c:errBars>
          <c:cat>
            <c:numRef>
              <c:f>'Movement graphs v2'!$D$144:$D$156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v2'!$G$144:$G$156</c:f>
              <c:numCache>
                <c:formatCode>0.00</c:formatCode>
                <c:ptCount val="13"/>
                <c:pt idx="0">
                  <c:v>12.793317805636217</c:v>
                </c:pt>
                <c:pt idx="1">
                  <c:v>9.6774646057499361</c:v>
                </c:pt>
                <c:pt idx="2">
                  <c:v>7.7044355129650386</c:v>
                </c:pt>
                <c:pt idx="4">
                  <c:v>5.3910359089632296</c:v>
                </c:pt>
                <c:pt idx="5">
                  <c:v>4.5291343899621141</c:v>
                </c:pt>
                <c:pt idx="6">
                  <c:v>4.2189455739376198</c:v>
                </c:pt>
                <c:pt idx="8">
                  <c:v>2.6763069640936061</c:v>
                </c:pt>
                <c:pt idx="9">
                  <c:v>2.0806133184231976</c:v>
                </c:pt>
                <c:pt idx="10">
                  <c:v>1.651799685603041</c:v>
                </c:pt>
                <c:pt idx="11">
                  <c:v>1.0629985897259655</c:v>
                </c:pt>
                <c:pt idx="12">
                  <c:v>0</c:v>
                </c:pt>
              </c:numCache>
            </c:numRef>
          </c:val>
          <c:smooth val="0"/>
          <c:extLst>
            <c:ext xmlns:c16="http://schemas.microsoft.com/office/drawing/2014/chart" uri="{C3380CC4-5D6E-409C-BE32-E72D297353CC}">
              <c16:uniqueId val="{00000002-051B-4E04-8799-4645CFDCCA32}"/>
            </c:ext>
          </c:extLst>
        </c:ser>
        <c:ser>
          <c:idx val="3"/>
          <c:order val="2"/>
          <c:tx>
            <c:strRef>
              <c:f>'Movement graphs v2'!$H$143</c:f>
              <c:strCache>
                <c:ptCount val="1"/>
                <c:pt idx="0">
                  <c:v>28</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v2'!$H$114:$H$139</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3">
                    <c:v>2.6578999999999998E-2</c:v>
                  </c:pt>
                  <c:pt idx="14">
                    <c:v>3.2063000000000001E-2</c:v>
                  </c:pt>
                  <c:pt idx="15">
                    <c:v>2.5013000000000001E-2</c:v>
                  </c:pt>
                  <c:pt idx="16">
                    <c:v>3.3628999999999999E-2</c:v>
                  </c:pt>
                  <c:pt idx="17">
                    <c:v>3.4044999999999999E-2</c:v>
                  </c:pt>
                  <c:pt idx="18">
                    <c:v>3.2266999999999997E-2</c:v>
                  </c:pt>
                  <c:pt idx="19">
                    <c:v>3.1373999999999999E-2</c:v>
                  </c:pt>
                  <c:pt idx="20">
                    <c:v>5.0748000000000001E-2</c:v>
                  </c:pt>
                  <c:pt idx="21">
                    <c:v>5.1277000000000003E-2</c:v>
                  </c:pt>
                  <c:pt idx="22">
                    <c:v>2.7366000000000001E-2</c:v>
                  </c:pt>
                  <c:pt idx="23">
                    <c:v>1.4999999999999999E-2</c:v>
                  </c:pt>
                  <c:pt idx="24">
                    <c:v>1.7000000000000001E-2</c:v>
                  </c:pt>
                  <c:pt idx="25">
                    <c:v>0</c:v>
                  </c:pt>
                </c:numCache>
              </c:numRef>
            </c:plus>
            <c:minus>
              <c:numRef>
                <c:f>'Movement graphs v2'!$H$127:$H$152</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6">
                    <c:v>28</c:v>
                  </c:pt>
                  <c:pt idx="17">
                    <c:v>4.5952102907853254</c:v>
                  </c:pt>
                  <c:pt idx="18">
                    <c:v>3.6634280368050822</c:v>
                  </c:pt>
                  <c:pt idx="20">
                    <c:v>2.2532889668049267</c:v>
                  </c:pt>
                  <c:pt idx="21">
                    <c:v>1.6549457804198149</c:v>
                  </c:pt>
                  <c:pt idx="22">
                    <c:v>1.4268792673504884</c:v>
                  </c:pt>
                  <c:pt idx="23">
                    <c:v>1.3436900056350511</c:v>
                  </c:pt>
                  <c:pt idx="25">
                    <c:v>0.77305234862966621</c:v>
                  </c:pt>
                </c:numCache>
              </c:numRef>
            </c:minus>
            <c:spPr>
              <a:noFill/>
              <a:ln w="12700" cap="flat" cmpd="sng" algn="ctr">
                <a:solidFill>
                  <a:srgbClr val="00FF00"/>
                </a:solidFill>
                <a:prstDash val="solid"/>
                <a:round/>
              </a:ln>
              <a:effectLst/>
            </c:spPr>
          </c:errBars>
          <c:cat>
            <c:numRef>
              <c:f>'Movement graphs v2'!$D$144:$D$156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v2'!$H$144:$H$156</c:f>
              <c:numCache>
                <c:formatCode>0.00</c:formatCode>
                <c:ptCount val="13"/>
                <c:pt idx="0">
                  <c:v>4.5952102907853254</c:v>
                </c:pt>
                <c:pt idx="1">
                  <c:v>3.6634280368050822</c:v>
                </c:pt>
                <c:pt idx="3">
                  <c:v>2.2532889668049267</c:v>
                </c:pt>
                <c:pt idx="4">
                  <c:v>1.6549457804198149</c:v>
                </c:pt>
                <c:pt idx="5">
                  <c:v>1.4268792673504884</c:v>
                </c:pt>
                <c:pt idx="6">
                  <c:v>1.3436900056350511</c:v>
                </c:pt>
                <c:pt idx="8">
                  <c:v>0.77305234862966621</c:v>
                </c:pt>
                <c:pt idx="9">
                  <c:v>0</c:v>
                </c:pt>
              </c:numCache>
            </c:numRef>
          </c:val>
          <c:smooth val="0"/>
          <c:extLst>
            <c:ext xmlns:c16="http://schemas.microsoft.com/office/drawing/2014/chart" uri="{C3380CC4-5D6E-409C-BE32-E72D297353CC}">
              <c16:uniqueId val="{00000003-051B-4E04-8799-4645CFDCCA32}"/>
            </c:ext>
          </c:extLst>
        </c:ser>
        <c:ser>
          <c:idx val="4"/>
          <c:order val="3"/>
          <c:tx>
            <c:strRef>
              <c:f>'Movement graphs v2'!$I$143</c:f>
              <c:strCache>
                <c:ptCount val="1"/>
                <c:pt idx="0">
                  <c:v>29</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v2'!$I$114:$I$139</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3">
                    <c:v>2.8281000000000001E-2</c:v>
                  </c:pt>
                  <c:pt idx="14">
                    <c:v>3.8584E-2</c:v>
                  </c:pt>
                  <c:pt idx="15">
                    <c:v>3.3484E-2</c:v>
                  </c:pt>
                  <c:pt idx="16">
                    <c:v>3.5540000000000002E-2</c:v>
                  </c:pt>
                  <c:pt idx="17">
                    <c:v>4.3723999999999999E-2</c:v>
                  </c:pt>
                  <c:pt idx="18">
                    <c:v>4.4747000000000002E-2</c:v>
                  </c:pt>
                  <c:pt idx="19">
                    <c:v>2.7307999999999999E-2</c:v>
                  </c:pt>
                  <c:pt idx="20">
                    <c:v>0</c:v>
                  </c:pt>
                  <c:pt idx="21">
                    <c:v>2.7964999999999997E-2</c:v>
                  </c:pt>
                  <c:pt idx="22">
                    <c:v>3.0580000000000003E-2</c:v>
                  </c:pt>
                  <c:pt idx="23">
                    <c:v>0</c:v>
                  </c:pt>
                  <c:pt idx="24">
                    <c:v>0</c:v>
                  </c:pt>
                  <c:pt idx="25">
                    <c:v>0</c:v>
                  </c:pt>
                </c:numCache>
              </c:numRef>
            </c:plus>
            <c:minus>
              <c:numRef>
                <c:f>'Movement graphs v2'!$I$127:$I$152</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6">
                    <c:v>29</c:v>
                  </c:pt>
                  <c:pt idx="17">
                    <c:v>12.097955657454968</c:v>
                  </c:pt>
                  <c:pt idx="18">
                    <c:v>8.6658615271497883</c:v>
                  </c:pt>
                  <c:pt idx="19">
                    <c:v>6.3838718373235253</c:v>
                  </c:pt>
                  <c:pt idx="20">
                    <c:v>2.5998928218713089</c:v>
                  </c:pt>
                  <c:pt idx="21">
                    <c:v>0</c:v>
                  </c:pt>
                </c:numCache>
              </c:numRef>
            </c:minus>
            <c:spPr>
              <a:noFill/>
              <a:ln w="12700" cap="flat" cmpd="sng" algn="ctr">
                <a:solidFill>
                  <a:srgbClr val="0000FF"/>
                </a:solidFill>
                <a:prstDash val="solid"/>
                <a:round/>
              </a:ln>
              <a:effectLst/>
            </c:spPr>
          </c:errBars>
          <c:cat>
            <c:numRef>
              <c:f>'Movement graphs v2'!$D$144:$D$156</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v2'!$I$144:$I$156</c:f>
              <c:numCache>
                <c:formatCode>0.00</c:formatCode>
                <c:ptCount val="13"/>
                <c:pt idx="0">
                  <c:v>12.097955657454968</c:v>
                </c:pt>
                <c:pt idx="1">
                  <c:v>8.6658615271497883</c:v>
                </c:pt>
                <c:pt idx="2">
                  <c:v>6.3838718373235253</c:v>
                </c:pt>
                <c:pt idx="3">
                  <c:v>2.5998928218713089</c:v>
                </c:pt>
                <c:pt idx="4">
                  <c:v>0</c:v>
                </c:pt>
              </c:numCache>
            </c:numRef>
          </c:val>
          <c:smooth val="0"/>
          <c:extLst>
            <c:ext xmlns:c16="http://schemas.microsoft.com/office/drawing/2014/chart" uri="{C3380CC4-5D6E-409C-BE32-E72D297353CC}">
              <c16:uniqueId val="{00000004-051B-4E04-8799-4645CFDCCA32}"/>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one"/>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Cumulative net displacement</a:t>
                </a:r>
                <a:r>
                  <a:rPr lang="en-NZ" baseline="0">
                    <a:latin typeface="Calibri" panose="020F0502020204030204" pitchFamily="34" charset="0"/>
                  </a:rPr>
                  <a:t> (m)</a:t>
                </a:r>
                <a:endParaRPr lang="en-NZ">
                  <a:latin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 sourceLinked="0"/>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solidFill>
          <a:srgbClr val="FFFFFF"/>
        </a:solidFill>
        <a:ln w="12700">
          <a:noFill/>
          <a:prstDash val="solid"/>
        </a:ln>
        <a:effectLst/>
      </c:spPr>
    </c:plotArea>
    <c:legend>
      <c:legendPos val="t"/>
      <c:layout>
        <c:manualLayout>
          <c:xMode val="edge"/>
          <c:yMode val="edge"/>
          <c:x val="0.17964496054821824"/>
          <c:y val="4.2677364622328233E-2"/>
          <c:w val="0.63800892755933625"/>
          <c:h val="0.14303302469135803"/>
        </c:manualLayout>
      </c:layout>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solidFill>
        <a:srgbClr val="000000"/>
      </a:solid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079282698085669"/>
          <c:y val="8.0824117637582571E-2"/>
          <c:w val="0.78857073913115516"/>
          <c:h val="0.86982276866830188"/>
        </c:manualLayout>
      </c:layout>
      <c:scatterChart>
        <c:scatterStyle val="lineMarker"/>
        <c:varyColors val="0"/>
        <c:ser>
          <c:idx val="0"/>
          <c:order val="0"/>
          <c:spPr>
            <a:ln w="28575">
              <a:solidFill>
                <a:schemeClr val="tx1"/>
              </a:solidFill>
              <a:prstDash val="sysDash"/>
            </a:ln>
          </c:spPr>
          <c:marker>
            <c:symbol val="circle"/>
            <c:size val="4"/>
            <c:spPr>
              <a:solidFill>
                <a:schemeClr val="tx1"/>
              </a:solidFill>
              <a:ln>
                <a:noFill/>
              </a:ln>
            </c:spPr>
          </c:marker>
          <c:errBars>
            <c:errDir val="y"/>
            <c:errBarType val="both"/>
            <c:errValType val="cust"/>
            <c:noEndCap val="0"/>
            <c:plus>
              <c:numRef>
                <c:f>'Movement graphs v2'!$AQ$173:$AQ$184</c:f>
                <c:numCache>
                  <c:formatCode>General</c:formatCode>
                  <c:ptCount val="12"/>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plus>
            <c:minus>
              <c:numRef>
                <c:f>'Movement graphs v2'!$AQ$173:$AQ$184</c:f>
                <c:numCache>
                  <c:formatCode>General</c:formatCode>
                  <c:ptCount val="12"/>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minus>
          </c:errBars>
          <c:errBars>
            <c:errDir val="x"/>
            <c:errBarType val="both"/>
            <c:errValType val="fixedVal"/>
            <c:noEndCap val="0"/>
            <c:val val="1"/>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v2'!$AT$173:$AT$184</c:f>
              <c:numCache>
                <c:formatCode>0.000</c:formatCode>
                <c:ptCount val="12"/>
                <c:pt idx="0">
                  <c:v>2.4794039947999478E-2</c:v>
                </c:pt>
                <c:pt idx="1">
                  <c:v>0.1027017649810148</c:v>
                </c:pt>
                <c:pt idx="2">
                  <c:v>0.1000379335174558</c:v>
                </c:pt>
                <c:pt idx="5">
                  <c:v>0.133557997234583</c:v>
                </c:pt>
                <c:pt idx="8">
                  <c:v>4.9804697867579073E-2</c:v>
                </c:pt>
                <c:pt idx="9">
                  <c:v>0.11932783639823717</c:v>
                </c:pt>
                <c:pt idx="10">
                  <c:v>0.18898462497971458</c:v>
                </c:pt>
                <c:pt idx="11">
                  <c:v>0.22244579253253247</c:v>
                </c:pt>
              </c:numCache>
            </c:numRef>
          </c:yVal>
          <c:smooth val="0"/>
          <c:extLst>
            <c:ext xmlns:c16="http://schemas.microsoft.com/office/drawing/2014/chart" uri="{C3380CC4-5D6E-409C-BE32-E72D297353CC}">
              <c16:uniqueId val="{00000000-AF37-49A0-876E-E3FE61FB7898}"/>
            </c:ext>
          </c:extLst>
        </c:ser>
        <c:dLbls>
          <c:showLegendKey val="0"/>
          <c:showVal val="0"/>
          <c:showCatName val="0"/>
          <c:showSerName val="0"/>
          <c:showPercent val="0"/>
          <c:showBubbleSize val="0"/>
        </c:dLbls>
        <c:axId val="181592448"/>
        <c:axId val="181594368"/>
      </c:scatterChart>
      <c:scatterChart>
        <c:scatterStyle val="lineMarker"/>
        <c:varyColors val="0"/>
        <c:ser>
          <c:idx val="1"/>
          <c:order val="1"/>
          <c:spPr>
            <a:ln>
              <a:solidFill>
                <a:schemeClr val="tx1"/>
              </a:solidFill>
            </a:ln>
          </c:spPr>
          <c:marker>
            <c:symbol val="diamond"/>
            <c:size val="4"/>
            <c:spPr>
              <a:solidFill>
                <a:schemeClr val="tx1"/>
              </a:solidFill>
              <a:ln>
                <a:noFill/>
              </a:ln>
            </c:spPr>
          </c:marker>
          <c:errBars>
            <c:errDir val="y"/>
            <c:errBarType val="both"/>
            <c:errValType val="cust"/>
            <c:noEndCap val="0"/>
            <c:plus>
              <c:numRef>
                <c:f>'Movement graphs v2'!$AQ$173:$AQ$185</c:f>
                <c:numCache>
                  <c:formatCode>General</c:formatCode>
                  <c:ptCount val="13"/>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plus>
            <c:minus>
              <c:numRef>
                <c:f>'Movement graphs v2'!$AQ$173:$AQ$185</c:f>
                <c:numCache>
                  <c:formatCode>General</c:formatCode>
                  <c:ptCount val="13"/>
                  <c:pt idx="0">
                    <c:v>2.5233999999999999E-2</c:v>
                  </c:pt>
                  <c:pt idx="1">
                    <c:v>2.7025E-2</c:v>
                  </c:pt>
                  <c:pt idx="2">
                    <c:v>2.5958000000000002E-2</c:v>
                  </c:pt>
                  <c:pt idx="3">
                    <c:v>0</c:v>
                  </c:pt>
                  <c:pt idx="4">
                    <c:v>0</c:v>
                  </c:pt>
                  <c:pt idx="5">
                    <c:v>2.1069999999999998E-2</c:v>
                  </c:pt>
                  <c:pt idx="6">
                    <c:v>0</c:v>
                  </c:pt>
                  <c:pt idx="7">
                    <c:v>0</c:v>
                  </c:pt>
                  <c:pt idx="8">
                    <c:v>3.0275000000000003E-2</c:v>
                  </c:pt>
                  <c:pt idx="9">
                    <c:v>2.3694E-2</c:v>
                  </c:pt>
                  <c:pt idx="10">
                    <c:v>2.0999999999999998E-2</c:v>
                  </c:pt>
                  <c:pt idx="11">
                    <c:v>1.6E-2</c:v>
                  </c:pt>
                </c:numCache>
              </c:numRef>
            </c:minus>
          </c:errBars>
          <c:errBars>
            <c:errDir val="x"/>
            <c:errBarType val="both"/>
            <c:errValType val="cust"/>
            <c:noEndCap val="0"/>
            <c:pl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plus>
            <c:minus>
              <c:numRef>
                <c:f>'Movement graphs v2'!$AQ$157:$AQ$169</c:f>
                <c:numCache>
                  <c:formatCode>General</c:formatCode>
                  <c:ptCount val="13"/>
                  <c:pt idx="0">
                    <c:v>1.7464E-2</c:v>
                  </c:pt>
                  <c:pt idx="1">
                    <c:v>2.6652000000000002E-2</c:v>
                  </c:pt>
                  <c:pt idx="2">
                    <c:v>2.7175999999999999E-2</c:v>
                  </c:pt>
                  <c:pt idx="3">
                    <c:v>3.3364999999999999E-2</c:v>
                  </c:pt>
                  <c:pt idx="4">
                    <c:v>4.4109000000000002E-2</c:v>
                  </c:pt>
                  <c:pt idx="5">
                    <c:v>3.0383E-2</c:v>
                  </c:pt>
                  <c:pt idx="6">
                    <c:v>2.5010000000000001E-2</c:v>
                  </c:pt>
                  <c:pt idx="7">
                    <c:v>3.1968000000000003E-2</c:v>
                  </c:pt>
                  <c:pt idx="8">
                    <c:v>2.7913E-2</c:v>
                  </c:pt>
                  <c:pt idx="9">
                    <c:v>4.0364999999999998E-2</c:v>
                  </c:pt>
                  <c:pt idx="10">
                    <c:v>2.1999999999999999E-2</c:v>
                  </c:pt>
                  <c:pt idx="11">
                    <c:v>1.7000000000000001E-2</c:v>
                  </c:pt>
                </c:numCache>
              </c:numRef>
            </c:minus>
          </c:errBars>
          <c:xVal>
            <c:numRef>
              <c:f>'Movement graphs v2'!$C$27:$C$39</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xVal>
          <c:yVal>
            <c:numRef>
              <c:f>'Movement graphs v2'!$AU$173:$AU$184</c:f>
              <c:numCache>
                <c:formatCode>0.00</c:formatCode>
                <c:ptCount val="12"/>
                <c:pt idx="0">
                  <c:v>0.41716100369354592</c:v>
                </c:pt>
                <c:pt idx="1">
                  <c:v>0.38761194238565611</c:v>
                </c:pt>
                <c:pt idx="2">
                  <c:v>0.33246250146434403</c:v>
                </c:pt>
                <c:pt idx="5">
                  <c:v>0.23050603223559457</c:v>
                </c:pt>
                <c:pt idx="8">
                  <c:v>0.13829612729555371</c:v>
                </c:pt>
                <c:pt idx="9">
                  <c:v>0.12246778495955599</c:v>
                </c:pt>
                <c:pt idx="10">
                  <c:v>8.9448301463057489E-2</c:v>
                </c:pt>
                <c:pt idx="11">
                  <c:v>5.4240206946288741E-2</c:v>
                </c:pt>
              </c:numCache>
            </c:numRef>
          </c:yVal>
          <c:smooth val="0"/>
          <c:extLst>
            <c:ext xmlns:c16="http://schemas.microsoft.com/office/drawing/2014/chart" uri="{C3380CC4-5D6E-409C-BE32-E72D297353CC}">
              <c16:uniqueId val="{00000001-AF37-49A0-876E-E3FE61FB7898}"/>
            </c:ext>
          </c:extLst>
        </c:ser>
        <c:dLbls>
          <c:showLegendKey val="0"/>
          <c:showVal val="0"/>
          <c:showCatName val="0"/>
          <c:showSerName val="0"/>
          <c:showPercent val="0"/>
          <c:showBubbleSize val="0"/>
        </c:dLbls>
        <c:axId val="181352704"/>
        <c:axId val="181350784"/>
      </c:scatterChart>
      <c:valAx>
        <c:axId val="181592448"/>
        <c:scaling>
          <c:orientation val="minMax"/>
          <c:min val="42100"/>
        </c:scaling>
        <c:delete val="0"/>
        <c:axPos val="b"/>
        <c:numFmt formatCode="m/d/yyyy" sourceLinked="1"/>
        <c:majorTickMark val="out"/>
        <c:minorTickMark val="none"/>
        <c:tickLblPos val="nextTo"/>
        <c:crossAx val="181594368"/>
        <c:crossesAt val="-5.000000000000001E-2"/>
        <c:crossBetween val="midCat"/>
        <c:majorUnit val="182.5"/>
      </c:valAx>
      <c:valAx>
        <c:axId val="181594368"/>
        <c:scaling>
          <c:orientation val="minMax"/>
        </c:scaling>
        <c:delete val="0"/>
        <c:axPos val="l"/>
        <c:title>
          <c:tx>
            <c:rich>
              <a:bodyPr rot="-5400000" vert="horz"/>
              <a:lstStyle/>
              <a:p>
                <a:pPr>
                  <a:defRPr/>
                </a:pPr>
                <a:r>
                  <a:rPr lang="en-NZ" b="0"/>
                  <a:t>Net dsiplacement</a:t>
                </a:r>
                <a:r>
                  <a:rPr lang="en-NZ" b="0" baseline="0"/>
                  <a:t> rate (m/yr)</a:t>
                </a:r>
                <a:endParaRPr lang="en-NZ" b="0"/>
              </a:p>
            </c:rich>
          </c:tx>
          <c:overlay val="0"/>
        </c:title>
        <c:numFmt formatCode="0.000" sourceLinked="1"/>
        <c:majorTickMark val="out"/>
        <c:minorTickMark val="none"/>
        <c:tickLblPos val="nextTo"/>
        <c:crossAx val="181592448"/>
        <c:crosses val="autoZero"/>
        <c:crossBetween val="midCat"/>
      </c:valAx>
      <c:valAx>
        <c:axId val="181350784"/>
        <c:scaling>
          <c:orientation val="minMax"/>
        </c:scaling>
        <c:delete val="0"/>
        <c:axPos val="r"/>
        <c:title>
          <c:tx>
            <c:rich>
              <a:bodyPr rot="-5400000" vert="horz"/>
              <a:lstStyle/>
              <a:p>
                <a:pPr>
                  <a:defRPr b="0"/>
                </a:pPr>
                <a:r>
                  <a:rPr lang="en-NZ" b="0"/>
                  <a:t>Cumulative</a:t>
                </a:r>
                <a:r>
                  <a:rPr lang="en-NZ" b="0" baseline="0"/>
                  <a:t> net displacement (m)</a:t>
                </a:r>
                <a:endParaRPr lang="en-NZ" b="0"/>
              </a:p>
            </c:rich>
          </c:tx>
          <c:overlay val="0"/>
        </c:title>
        <c:numFmt formatCode="0.00" sourceLinked="1"/>
        <c:majorTickMark val="out"/>
        <c:minorTickMark val="none"/>
        <c:tickLblPos val="nextTo"/>
        <c:crossAx val="181352704"/>
        <c:crosses val="max"/>
        <c:crossBetween val="midCat"/>
      </c:valAx>
      <c:valAx>
        <c:axId val="181352704"/>
        <c:scaling>
          <c:orientation val="minMax"/>
        </c:scaling>
        <c:delete val="1"/>
        <c:axPos val="b"/>
        <c:numFmt formatCode="m/d/yyyy" sourceLinked="1"/>
        <c:majorTickMark val="out"/>
        <c:minorTickMark val="none"/>
        <c:tickLblPos val="nextTo"/>
        <c:crossAx val="181350784"/>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41391816721796"/>
          <c:y val="4.3119917235398077E-2"/>
          <c:w val="0.86778054082967626"/>
          <c:h val="0.76577925777862377"/>
        </c:manualLayout>
      </c:layout>
      <c:lineChart>
        <c:grouping val="standard"/>
        <c:varyColors val="0"/>
        <c:ser>
          <c:idx val="1"/>
          <c:order val="0"/>
          <c:tx>
            <c:strRef>
              <c:f>'Movement graphs v2'!$P$188</c:f>
              <c:strCache>
                <c:ptCount val="1"/>
                <c:pt idx="0">
                  <c:v>21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v2'!$E$203:$E$228</c:f>
                <c:numCache>
                  <c:formatCode>General</c:formatCode>
                  <c:ptCount val="26"/>
                  <c:pt idx="0">
                    <c:v>2.0539000000000002E-2</c:v>
                  </c:pt>
                  <c:pt idx="1">
                    <c:v>2.6354000000000002E-2</c:v>
                  </c:pt>
                  <c:pt idx="2">
                    <c:v>2.9095000000000003E-2</c:v>
                  </c:pt>
                  <c:pt idx="3">
                    <c:v>3.8690000000000002E-2</c:v>
                  </c:pt>
                  <c:pt idx="4">
                    <c:v>3.2587999999999999E-2</c:v>
                  </c:pt>
                  <c:pt idx="5">
                    <c:v>5.4443000000000005E-2</c:v>
                  </c:pt>
                  <c:pt idx="6">
                    <c:v>2.9166999999999998E-2</c:v>
                  </c:pt>
                  <c:pt idx="7">
                    <c:v>3.2018999999999999E-2</c:v>
                  </c:pt>
                  <c:pt idx="8">
                    <c:v>3.0706999999999998E-2</c:v>
                  </c:pt>
                  <c:pt idx="9">
                    <c:v>3.0205999999999997E-2</c:v>
                  </c:pt>
                  <c:pt idx="10">
                    <c:v>1.9E-2</c:v>
                  </c:pt>
                  <c:pt idx="11">
                    <c:v>1.8000000000000002E-2</c:v>
                  </c:pt>
                  <c:pt idx="12">
                    <c:v>0</c:v>
                  </c:pt>
                  <c:pt idx="13">
                    <c:v>2.0539000000000002E-2</c:v>
                  </c:pt>
                  <c:pt idx="14">
                    <c:v>2.6354000000000002E-2</c:v>
                  </c:pt>
                  <c:pt idx="15">
                    <c:v>2.9095000000000003E-2</c:v>
                  </c:pt>
                  <c:pt idx="16">
                    <c:v>3.8690000000000002E-2</c:v>
                  </c:pt>
                  <c:pt idx="17">
                    <c:v>3.2587999999999999E-2</c:v>
                  </c:pt>
                  <c:pt idx="18">
                    <c:v>5.4443000000000005E-2</c:v>
                  </c:pt>
                  <c:pt idx="19">
                    <c:v>2.9166999999999998E-2</c:v>
                  </c:pt>
                  <c:pt idx="20">
                    <c:v>3.2018999999999999E-2</c:v>
                  </c:pt>
                  <c:pt idx="21">
                    <c:v>3.0706999999999998E-2</c:v>
                  </c:pt>
                  <c:pt idx="22">
                    <c:v>3.0205999999999997E-2</c:v>
                  </c:pt>
                  <c:pt idx="23">
                    <c:v>1.9E-2</c:v>
                  </c:pt>
                  <c:pt idx="24">
                    <c:v>1.8000000000000002E-2</c:v>
                  </c:pt>
                  <c:pt idx="25">
                    <c:v>0</c:v>
                  </c:pt>
                </c:numCache>
              </c:numRef>
            </c:plus>
            <c:minus>
              <c:numRef>
                <c:f>'Movement graphs v2'!$E$216:$E$241</c:f>
                <c:numCache>
                  <c:formatCode>General</c:formatCode>
                  <c:ptCount val="26"/>
                  <c:pt idx="0">
                    <c:v>2.0539000000000002E-2</c:v>
                  </c:pt>
                  <c:pt idx="1">
                    <c:v>2.6354000000000002E-2</c:v>
                  </c:pt>
                  <c:pt idx="2">
                    <c:v>2.9095000000000003E-2</c:v>
                  </c:pt>
                  <c:pt idx="3">
                    <c:v>3.8690000000000002E-2</c:v>
                  </c:pt>
                  <c:pt idx="4">
                    <c:v>3.2587999999999999E-2</c:v>
                  </c:pt>
                  <c:pt idx="5">
                    <c:v>5.4443000000000005E-2</c:v>
                  </c:pt>
                  <c:pt idx="6">
                    <c:v>2.9166999999999998E-2</c:v>
                  </c:pt>
                  <c:pt idx="7">
                    <c:v>3.2018999999999999E-2</c:v>
                  </c:pt>
                  <c:pt idx="8">
                    <c:v>3.0706999999999998E-2</c:v>
                  </c:pt>
                  <c:pt idx="9">
                    <c:v>3.0205999999999997E-2</c:v>
                  </c:pt>
                  <c:pt idx="10">
                    <c:v>1.9E-2</c:v>
                  </c:pt>
                  <c:pt idx="11">
                    <c:v>1.8000000000000002E-2</c:v>
                  </c:pt>
                  <c:pt idx="12">
                    <c:v>0</c:v>
                  </c:pt>
                </c:numCache>
              </c:numRef>
            </c:minus>
            <c:spPr>
              <a:noFill/>
              <a:ln w="12700" cap="flat" cmpd="sng" algn="ctr">
                <a:solidFill>
                  <a:srgbClr val="FF0000"/>
                </a:solidFill>
                <a:prstDash val="solid"/>
                <a:round/>
              </a:ln>
              <a:effectLst/>
            </c:spPr>
          </c:errBars>
          <c:cat>
            <c:numRef>
              <c:f>'Movement graphs v2'!$O$189:$O$201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v2'!$P$189:$P$201</c:f>
              <c:numCache>
                <c:formatCode>0.00</c:formatCode>
                <c:ptCount val="13"/>
                <c:pt idx="0">
                  <c:v>1.0950947341010584</c:v>
                </c:pt>
                <c:pt idx="1">
                  <c:v>1.1031223577661782</c:v>
                </c:pt>
                <c:pt idx="2">
                  <c:v>0.5669535341423213</c:v>
                </c:pt>
                <c:pt idx="3">
                  <c:v>1.4442014073098035</c:v>
                </c:pt>
                <c:pt idx="4">
                  <c:v>0.97698222640188181</c:v>
                </c:pt>
                <c:pt idx="5">
                  <c:v>0.2309814974976872</c:v>
                </c:pt>
                <c:pt idx="6">
                  <c:v>0.65037577906959265</c:v>
                </c:pt>
                <c:pt idx="7">
                  <c:v>0.96166196914497692</c:v>
                </c:pt>
                <c:pt idx="8">
                  <c:v>0.2874579075829235</c:v>
                </c:pt>
                <c:pt idx="9">
                  <c:v>0.44181066614041098</c:v>
                </c:pt>
                <c:pt idx="10">
                  <c:v>1.3396766061301613</c:v>
                </c:pt>
                <c:pt idx="11">
                  <c:v>1.1691689684586368</c:v>
                </c:pt>
                <c:pt idx="12">
                  <c:v>0</c:v>
                </c:pt>
              </c:numCache>
            </c:numRef>
          </c:val>
          <c:smooth val="0"/>
          <c:extLst>
            <c:ext xmlns:c16="http://schemas.microsoft.com/office/drawing/2014/chart" uri="{C3380CC4-5D6E-409C-BE32-E72D297353CC}">
              <c16:uniqueId val="{00000000-CB29-4855-8CD8-80A298E92562}"/>
            </c:ext>
          </c:extLst>
        </c:ser>
        <c:ser>
          <c:idx val="2"/>
          <c:order val="1"/>
          <c:tx>
            <c:strRef>
              <c:f>'Movement graphs v2'!$Q$188</c:f>
              <c:strCache>
                <c:ptCount val="1"/>
                <c:pt idx="0">
                  <c:v>22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v2'!$F$203:$F$228</c:f>
                <c:numCache>
                  <c:formatCode>General</c:formatCode>
                  <c:ptCount val="26"/>
                  <c:pt idx="0">
                    <c:v>0</c:v>
                  </c:pt>
                  <c:pt idx="1">
                    <c:v>0</c:v>
                  </c:pt>
                  <c:pt idx="2">
                    <c:v>2.7227000000000001E-2</c:v>
                  </c:pt>
                  <c:pt idx="3">
                    <c:v>3.0688E-2</c:v>
                  </c:pt>
                  <c:pt idx="4">
                    <c:v>3.0381999999999999E-2</c:v>
                  </c:pt>
                  <c:pt idx="5">
                    <c:v>3.9334000000000001E-2</c:v>
                  </c:pt>
                  <c:pt idx="6">
                    <c:v>2.7864E-2</c:v>
                  </c:pt>
                  <c:pt idx="7">
                    <c:v>2.8823000000000001E-2</c:v>
                  </c:pt>
                  <c:pt idx="8">
                    <c:v>4.1001000000000003E-2</c:v>
                  </c:pt>
                  <c:pt idx="9">
                    <c:v>2.7968E-2</c:v>
                  </c:pt>
                  <c:pt idx="10">
                    <c:v>5.5E-2</c:v>
                  </c:pt>
                  <c:pt idx="11">
                    <c:v>2.0999999999999998E-2</c:v>
                  </c:pt>
                  <c:pt idx="12">
                    <c:v>0</c:v>
                  </c:pt>
                  <c:pt idx="13">
                    <c:v>0</c:v>
                  </c:pt>
                  <c:pt idx="14">
                    <c:v>0</c:v>
                  </c:pt>
                  <c:pt idx="15">
                    <c:v>2.7227000000000001E-2</c:v>
                  </c:pt>
                  <c:pt idx="16">
                    <c:v>3.0688E-2</c:v>
                  </c:pt>
                  <c:pt idx="17">
                    <c:v>3.0381999999999999E-2</c:v>
                  </c:pt>
                  <c:pt idx="18">
                    <c:v>3.9334000000000001E-2</c:v>
                  </c:pt>
                  <c:pt idx="19">
                    <c:v>2.7864E-2</c:v>
                  </c:pt>
                  <c:pt idx="20">
                    <c:v>2.8823000000000001E-2</c:v>
                  </c:pt>
                  <c:pt idx="21">
                    <c:v>4.1001000000000003E-2</c:v>
                  </c:pt>
                  <c:pt idx="22">
                    <c:v>2.7968E-2</c:v>
                  </c:pt>
                  <c:pt idx="23">
                    <c:v>5.5E-2</c:v>
                  </c:pt>
                  <c:pt idx="24">
                    <c:v>2.0999999999999998E-2</c:v>
                  </c:pt>
                  <c:pt idx="25">
                    <c:v>0</c:v>
                  </c:pt>
                </c:numCache>
              </c:numRef>
            </c:plus>
            <c:minus>
              <c:numRef>
                <c:f>'Movement graphs v2'!$F$216:$F$241</c:f>
                <c:numCache>
                  <c:formatCode>General</c:formatCode>
                  <c:ptCount val="26"/>
                  <c:pt idx="0">
                    <c:v>0</c:v>
                  </c:pt>
                  <c:pt idx="1">
                    <c:v>0</c:v>
                  </c:pt>
                  <c:pt idx="2">
                    <c:v>2.7227000000000001E-2</c:v>
                  </c:pt>
                  <c:pt idx="3">
                    <c:v>3.0688E-2</c:v>
                  </c:pt>
                  <c:pt idx="4">
                    <c:v>3.0381999999999999E-2</c:v>
                  </c:pt>
                  <c:pt idx="5">
                    <c:v>3.9334000000000001E-2</c:v>
                  </c:pt>
                  <c:pt idx="6">
                    <c:v>2.7864E-2</c:v>
                  </c:pt>
                  <c:pt idx="7">
                    <c:v>2.8823000000000001E-2</c:v>
                  </c:pt>
                  <c:pt idx="8">
                    <c:v>4.1001000000000003E-2</c:v>
                  </c:pt>
                  <c:pt idx="9">
                    <c:v>2.7968E-2</c:v>
                  </c:pt>
                  <c:pt idx="10">
                    <c:v>5.5E-2</c:v>
                  </c:pt>
                  <c:pt idx="11">
                    <c:v>2.0999999999999998E-2</c:v>
                  </c:pt>
                  <c:pt idx="12">
                    <c:v>0</c:v>
                  </c:pt>
                </c:numCache>
              </c:numRef>
            </c:minus>
            <c:spPr>
              <a:noFill/>
              <a:ln w="12700" cap="flat" cmpd="sng" algn="ctr">
                <a:solidFill>
                  <a:srgbClr val="000000"/>
                </a:solidFill>
                <a:prstDash val="solid"/>
                <a:round/>
              </a:ln>
              <a:effectLst/>
            </c:spPr>
          </c:errBars>
          <c:cat>
            <c:numRef>
              <c:f>'Movement graphs v2'!$O$189:$O$201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v2'!$Q$189:$Q$201</c:f>
              <c:numCache>
                <c:formatCode>0.00</c:formatCode>
                <c:ptCount val="13"/>
                <c:pt idx="2">
                  <c:v>1.9501704282829264</c:v>
                </c:pt>
                <c:pt idx="3">
                  <c:v>2.9433150432518018</c:v>
                </c:pt>
                <c:pt idx="4">
                  <c:v>2.0276774901854595</c:v>
                </c:pt>
                <c:pt idx="5">
                  <c:v>0.53857129584390717</c:v>
                </c:pt>
                <c:pt idx="6">
                  <c:v>1.481239542932812</c:v>
                </c:pt>
                <c:pt idx="7">
                  <c:v>1.9278239661618175</c:v>
                </c:pt>
                <c:pt idx="8">
                  <c:v>0.61959463590845121</c:v>
                </c:pt>
                <c:pt idx="9">
                  <c:v>0.3739914697905814</c:v>
                </c:pt>
                <c:pt idx="10">
                  <c:v>2.0430804141294554</c:v>
                </c:pt>
                <c:pt idx="11">
                  <c:v>1.6119576269613607</c:v>
                </c:pt>
                <c:pt idx="12">
                  <c:v>0</c:v>
                </c:pt>
              </c:numCache>
            </c:numRef>
          </c:val>
          <c:smooth val="0"/>
          <c:extLst>
            <c:ext xmlns:c16="http://schemas.microsoft.com/office/drawing/2014/chart" uri="{C3380CC4-5D6E-409C-BE32-E72D297353CC}">
              <c16:uniqueId val="{00000001-CB29-4855-8CD8-80A298E92562}"/>
            </c:ext>
          </c:extLst>
        </c:ser>
        <c:ser>
          <c:idx val="3"/>
          <c:order val="2"/>
          <c:tx>
            <c:strRef>
              <c:f>'Movement graphs v2'!$R$188</c:f>
              <c:strCache>
                <c:ptCount val="1"/>
                <c:pt idx="0">
                  <c:v>24</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v2'!$G$203:$G$228</c:f>
                <c:numCache>
                  <c:formatCode>General</c:formatCode>
                  <c:ptCount val="26"/>
                  <c:pt idx="0">
                    <c:v>1.9868E-2</c:v>
                  </c:pt>
                  <c:pt idx="1">
                    <c:v>2.9900000000000003E-2</c:v>
                  </c:pt>
                  <c:pt idx="2">
                    <c:v>4.1008999999999997E-2</c:v>
                  </c:pt>
                  <c:pt idx="3">
                    <c:v>2.1760000000000002E-2</c:v>
                  </c:pt>
                  <c:pt idx="4">
                    <c:v>3.8001E-2</c:v>
                  </c:pt>
                  <c:pt idx="5">
                    <c:v>3.0376E-2</c:v>
                  </c:pt>
                  <c:pt idx="6">
                    <c:v>2.5204999999999998E-2</c:v>
                  </c:pt>
                  <c:pt idx="7">
                    <c:v>2.7319000000000003E-2</c:v>
                  </c:pt>
                  <c:pt idx="8">
                    <c:v>0</c:v>
                  </c:pt>
                  <c:pt idx="9">
                    <c:v>2.4746000000000001E-2</c:v>
                  </c:pt>
                  <c:pt idx="10">
                    <c:v>3.1E-2</c:v>
                  </c:pt>
                  <c:pt idx="11">
                    <c:v>1.6E-2</c:v>
                  </c:pt>
                  <c:pt idx="12">
                    <c:v>0</c:v>
                  </c:pt>
                  <c:pt idx="13">
                    <c:v>1.9868E-2</c:v>
                  </c:pt>
                  <c:pt idx="14">
                    <c:v>2.9900000000000003E-2</c:v>
                  </c:pt>
                  <c:pt idx="15">
                    <c:v>4.1008999999999997E-2</c:v>
                  </c:pt>
                  <c:pt idx="16">
                    <c:v>2.1760000000000002E-2</c:v>
                  </c:pt>
                  <c:pt idx="17">
                    <c:v>3.8001E-2</c:v>
                  </c:pt>
                  <c:pt idx="18">
                    <c:v>3.0376E-2</c:v>
                  </c:pt>
                  <c:pt idx="19">
                    <c:v>2.5204999999999998E-2</c:v>
                  </c:pt>
                  <c:pt idx="20">
                    <c:v>2.7319000000000003E-2</c:v>
                  </c:pt>
                  <c:pt idx="21">
                    <c:v>0</c:v>
                  </c:pt>
                  <c:pt idx="22">
                    <c:v>2.4746000000000001E-2</c:v>
                  </c:pt>
                  <c:pt idx="23">
                    <c:v>3.1E-2</c:v>
                  </c:pt>
                  <c:pt idx="24">
                    <c:v>1.6E-2</c:v>
                  </c:pt>
                  <c:pt idx="25">
                    <c:v>0</c:v>
                  </c:pt>
                </c:numCache>
              </c:numRef>
            </c:plus>
            <c:minus>
              <c:numRef>
                <c:f>'Movement graphs v2'!$G$216:$G$241</c:f>
                <c:numCache>
                  <c:formatCode>General</c:formatCode>
                  <c:ptCount val="26"/>
                  <c:pt idx="0">
                    <c:v>1.9868E-2</c:v>
                  </c:pt>
                  <c:pt idx="1">
                    <c:v>2.9900000000000003E-2</c:v>
                  </c:pt>
                  <c:pt idx="2">
                    <c:v>4.1008999999999997E-2</c:v>
                  </c:pt>
                  <c:pt idx="3">
                    <c:v>2.1760000000000002E-2</c:v>
                  </c:pt>
                  <c:pt idx="4">
                    <c:v>3.8001E-2</c:v>
                  </c:pt>
                  <c:pt idx="5">
                    <c:v>3.0376E-2</c:v>
                  </c:pt>
                  <c:pt idx="6">
                    <c:v>2.5204999999999998E-2</c:v>
                  </c:pt>
                  <c:pt idx="7">
                    <c:v>2.7319000000000003E-2</c:v>
                  </c:pt>
                  <c:pt idx="8">
                    <c:v>0</c:v>
                  </c:pt>
                  <c:pt idx="9">
                    <c:v>2.4746000000000001E-2</c:v>
                  </c:pt>
                  <c:pt idx="10">
                    <c:v>3.1E-2</c:v>
                  </c:pt>
                  <c:pt idx="11">
                    <c:v>1.6E-2</c:v>
                  </c:pt>
                  <c:pt idx="12">
                    <c:v>0</c:v>
                  </c:pt>
                </c:numCache>
              </c:numRef>
            </c:minus>
            <c:spPr>
              <a:noFill/>
              <a:ln w="12700" cap="flat" cmpd="sng" algn="ctr">
                <a:solidFill>
                  <a:srgbClr val="00FF00"/>
                </a:solidFill>
                <a:prstDash val="solid"/>
                <a:round/>
              </a:ln>
              <a:effectLst/>
            </c:spPr>
          </c:errBars>
          <c:cat>
            <c:numRef>
              <c:f>'Movement graphs v2'!$O$189:$O$201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v2'!$R$189:$R$201</c:f>
              <c:numCache>
                <c:formatCode>0.00</c:formatCode>
                <c:ptCount val="13"/>
                <c:pt idx="0">
                  <c:v>0.37499824877389898</c:v>
                </c:pt>
                <c:pt idx="1">
                  <c:v>0.61369132650738367</c:v>
                </c:pt>
                <c:pt idx="2">
                  <c:v>0.47710621977098444</c:v>
                </c:pt>
                <c:pt idx="3">
                  <c:v>0.80510416043091115</c:v>
                </c:pt>
                <c:pt idx="4">
                  <c:v>0.58879495649605906</c:v>
                </c:pt>
                <c:pt idx="5">
                  <c:v>0.27714484925862076</c:v>
                </c:pt>
                <c:pt idx="6">
                  <c:v>0.56971229714820093</c:v>
                </c:pt>
                <c:pt idx="7">
                  <c:v>0.51079883673684157</c:v>
                </c:pt>
                <c:pt idx="9">
                  <c:v>0.31728113968395094</c:v>
                </c:pt>
                <c:pt idx="10">
                  <c:v>0.60840197100953297</c:v>
                </c:pt>
                <c:pt idx="11">
                  <c:v>0.71994404875384677</c:v>
                </c:pt>
                <c:pt idx="12">
                  <c:v>0</c:v>
                </c:pt>
              </c:numCache>
            </c:numRef>
          </c:val>
          <c:smooth val="0"/>
          <c:extLst>
            <c:ext xmlns:c16="http://schemas.microsoft.com/office/drawing/2014/chart" uri="{C3380CC4-5D6E-409C-BE32-E72D297353CC}">
              <c16:uniqueId val="{00000002-CB29-4855-8CD8-80A298E92562}"/>
            </c:ext>
          </c:extLst>
        </c:ser>
        <c:ser>
          <c:idx val="4"/>
          <c:order val="3"/>
          <c:tx>
            <c:strRef>
              <c:f>'Movement graphs v2'!$S$188</c:f>
              <c:strCache>
                <c:ptCount val="1"/>
                <c:pt idx="0">
                  <c:v>25</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v2'!$H$203:$H$228</c:f>
                <c:numCache>
                  <c:formatCode>General</c:formatCode>
                  <c:ptCount val="26"/>
                  <c:pt idx="0">
                    <c:v>2.6509999999999999E-2</c:v>
                  </c:pt>
                  <c:pt idx="1">
                    <c:v>3.0267000000000002E-2</c:v>
                  </c:pt>
                  <c:pt idx="2">
                    <c:v>3.4554000000000001E-2</c:v>
                  </c:pt>
                  <c:pt idx="3">
                    <c:v>4.3532000000000001E-2</c:v>
                  </c:pt>
                  <c:pt idx="4">
                    <c:v>5.1546000000000002E-2</c:v>
                  </c:pt>
                  <c:pt idx="5">
                    <c:v>4.0388E-2</c:v>
                  </c:pt>
                  <c:pt idx="6">
                    <c:v>3.9657999999999999E-2</c:v>
                  </c:pt>
                  <c:pt idx="7">
                    <c:v>5.8892E-2</c:v>
                  </c:pt>
                  <c:pt idx="8">
                    <c:v>3.5060000000000001E-2</c:v>
                  </c:pt>
                  <c:pt idx="9">
                    <c:v>3.8824999999999998E-2</c:v>
                  </c:pt>
                  <c:pt idx="10">
                    <c:v>3.5000000000000003E-2</c:v>
                  </c:pt>
                  <c:pt idx="11">
                    <c:v>0</c:v>
                  </c:pt>
                  <c:pt idx="12">
                    <c:v>0</c:v>
                  </c:pt>
                  <c:pt idx="13">
                    <c:v>2.6509999999999999E-2</c:v>
                  </c:pt>
                  <c:pt idx="14">
                    <c:v>3.0267000000000002E-2</c:v>
                  </c:pt>
                  <c:pt idx="15">
                    <c:v>3.4554000000000001E-2</c:v>
                  </c:pt>
                  <c:pt idx="16">
                    <c:v>4.3532000000000001E-2</c:v>
                  </c:pt>
                  <c:pt idx="17">
                    <c:v>5.1546000000000002E-2</c:v>
                  </c:pt>
                  <c:pt idx="18">
                    <c:v>4.0388E-2</c:v>
                  </c:pt>
                  <c:pt idx="19">
                    <c:v>3.9657999999999999E-2</c:v>
                  </c:pt>
                  <c:pt idx="20">
                    <c:v>5.8892E-2</c:v>
                  </c:pt>
                  <c:pt idx="21">
                    <c:v>3.5060000000000001E-2</c:v>
                  </c:pt>
                  <c:pt idx="22">
                    <c:v>3.8824999999999998E-2</c:v>
                  </c:pt>
                  <c:pt idx="23">
                    <c:v>3.5000000000000003E-2</c:v>
                  </c:pt>
                  <c:pt idx="24">
                    <c:v>0</c:v>
                  </c:pt>
                  <c:pt idx="25">
                    <c:v>0</c:v>
                  </c:pt>
                </c:numCache>
              </c:numRef>
            </c:plus>
            <c:minus>
              <c:numRef>
                <c:f>'Movement graphs v2'!$H$216:$H$241</c:f>
                <c:numCache>
                  <c:formatCode>General</c:formatCode>
                  <c:ptCount val="26"/>
                  <c:pt idx="0">
                    <c:v>2.6509999999999999E-2</c:v>
                  </c:pt>
                  <c:pt idx="1">
                    <c:v>3.0267000000000002E-2</c:v>
                  </c:pt>
                  <c:pt idx="2">
                    <c:v>3.4554000000000001E-2</c:v>
                  </c:pt>
                  <c:pt idx="3">
                    <c:v>4.3532000000000001E-2</c:v>
                  </c:pt>
                  <c:pt idx="4">
                    <c:v>5.1546000000000002E-2</c:v>
                  </c:pt>
                  <c:pt idx="5">
                    <c:v>4.0388E-2</c:v>
                  </c:pt>
                  <c:pt idx="6">
                    <c:v>3.9657999999999999E-2</c:v>
                  </c:pt>
                  <c:pt idx="7">
                    <c:v>5.8892E-2</c:v>
                  </c:pt>
                  <c:pt idx="8">
                    <c:v>3.5060000000000001E-2</c:v>
                  </c:pt>
                  <c:pt idx="9">
                    <c:v>3.8824999999999998E-2</c:v>
                  </c:pt>
                  <c:pt idx="10">
                    <c:v>3.5000000000000003E-2</c:v>
                  </c:pt>
                  <c:pt idx="11">
                    <c:v>0</c:v>
                  </c:pt>
                  <c:pt idx="12">
                    <c:v>0</c:v>
                  </c:pt>
                </c:numCache>
              </c:numRef>
            </c:minus>
            <c:spPr>
              <a:noFill/>
              <a:ln w="12700" cap="flat" cmpd="sng" algn="ctr">
                <a:solidFill>
                  <a:srgbClr val="0000FF"/>
                </a:solidFill>
                <a:prstDash val="solid"/>
                <a:round/>
              </a:ln>
              <a:effectLst/>
            </c:spPr>
          </c:errBars>
          <c:cat>
            <c:numRef>
              <c:f>'Movement graphs v2'!$O$189:$O$201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v2'!$S$189:$S$201</c:f>
              <c:numCache>
                <c:formatCode>0.00</c:formatCode>
                <c:ptCount val="13"/>
                <c:pt idx="0">
                  <c:v>0.43122781506861652</c:v>
                </c:pt>
                <c:pt idx="1">
                  <c:v>0.71902204463320463</c:v>
                </c:pt>
                <c:pt idx="2">
                  <c:v>0.55630312997695341</c:v>
                </c:pt>
                <c:pt idx="3">
                  <c:v>0.95982803980620846</c:v>
                </c:pt>
                <c:pt idx="4">
                  <c:v>0.6882324630238642</c:v>
                </c:pt>
                <c:pt idx="5">
                  <c:v>0.29384003187184354</c:v>
                </c:pt>
                <c:pt idx="6">
                  <c:v>0.67532493764761958</c:v>
                </c:pt>
                <c:pt idx="7">
                  <c:v>0.87817136326795153</c:v>
                </c:pt>
                <c:pt idx="8">
                  <c:v>0.34432802213528113</c:v>
                </c:pt>
                <c:pt idx="9">
                  <c:v>0.37321277628024535</c:v>
                </c:pt>
                <c:pt idx="10">
                  <c:v>0.69473644440936999</c:v>
                </c:pt>
                <c:pt idx="11">
                  <c:v>0</c:v>
                </c:pt>
              </c:numCache>
            </c:numRef>
          </c:val>
          <c:smooth val="0"/>
          <c:extLst>
            <c:ext xmlns:c16="http://schemas.microsoft.com/office/drawing/2014/chart" uri="{C3380CC4-5D6E-409C-BE32-E72D297353CC}">
              <c16:uniqueId val="{00000003-CB29-4855-8CD8-80A298E92562}"/>
            </c:ext>
          </c:extLst>
        </c:ser>
        <c:ser>
          <c:idx val="5"/>
          <c:order val="4"/>
          <c:tx>
            <c:strRef>
              <c:f>'Movement graphs v2'!$T$188</c:f>
              <c:strCache>
                <c:ptCount val="1"/>
              </c:strCache>
            </c:strRef>
          </c:tx>
          <c:spPr>
            <a:ln w="12700" cap="rnd">
              <a:solidFill>
                <a:srgbClr val="808080"/>
              </a:solidFill>
              <a:prstDash val="solid"/>
              <a:round/>
            </a:ln>
            <a:effectLst/>
          </c:spPr>
          <c:marker>
            <c:symbol val="triangle"/>
            <c:size val="7"/>
            <c:spPr>
              <a:solidFill>
                <a:srgbClr val="808080"/>
              </a:solidFill>
              <a:ln w="12700">
                <a:solidFill>
                  <a:srgbClr val="808080"/>
                </a:solidFill>
                <a:prstDash val="solid"/>
              </a:ln>
              <a:effectLst/>
            </c:spPr>
          </c:marker>
          <c:errBars>
            <c:errDir val="y"/>
            <c:errBarType val="both"/>
            <c:errValType val="cust"/>
            <c:noEndCap val="0"/>
            <c:plus>
              <c:numRef>
                <c:f>'Movement graphs v2'!$I$203:$I$228</c:f>
                <c:numCache>
                  <c:formatCode>General</c:formatCode>
                  <c:ptCount val="26"/>
                </c:numCache>
              </c:numRef>
            </c:plus>
            <c:minus>
              <c:numRef>
                <c:f>'Movement graphs v2'!$I$216:$I$241</c:f>
                <c:numCache>
                  <c:formatCode>General</c:formatCode>
                  <c:ptCount val="26"/>
                </c:numCache>
              </c:numRef>
            </c:minus>
            <c:spPr>
              <a:noFill/>
              <a:ln w="12700" cap="flat" cmpd="sng" algn="ctr">
                <a:solidFill>
                  <a:srgbClr val="808080"/>
                </a:solidFill>
                <a:prstDash val="solid"/>
                <a:round/>
              </a:ln>
              <a:effectLst/>
            </c:spPr>
          </c:errBars>
          <c:cat>
            <c:numRef>
              <c:f>'Movement graphs v2'!$O$189:$O$201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v2'!$T$189:$T$201</c:f>
              <c:numCache>
                <c:formatCode>0.00</c:formatCode>
                <c:ptCount val="13"/>
              </c:numCache>
            </c:numRef>
          </c:val>
          <c:smooth val="0"/>
          <c:extLst>
            <c:ext xmlns:c16="http://schemas.microsoft.com/office/drawing/2014/chart" uri="{C3380CC4-5D6E-409C-BE32-E72D297353CC}">
              <c16:uniqueId val="{00000004-CB29-4855-8CD8-80A298E92562}"/>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extTo"/>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Net displacement rate (m/month)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0" sourceLinked="1"/>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noFill/>
        <a:ln w="12700">
          <a:no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no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'Movement graphs v2'!$E$188</c:f>
              <c:strCache>
                <c:ptCount val="1"/>
                <c:pt idx="0">
                  <c:v>21</c:v>
                </c:pt>
              </c:strCache>
            </c:strRef>
          </c:tx>
          <c:spPr>
            <a:ln w="12700" cap="rnd">
              <a:solidFill>
                <a:srgbClr val="FF0000"/>
              </a:solidFill>
              <a:prstDash val="solid"/>
              <a:round/>
            </a:ln>
            <a:effectLst/>
          </c:spPr>
          <c:marker>
            <c:symbol val="circle"/>
            <c:size val="7"/>
            <c:spPr>
              <a:solidFill>
                <a:srgbClr val="FF0000"/>
              </a:solidFill>
              <a:ln w="12700">
                <a:solidFill>
                  <a:srgbClr val="FF0000"/>
                </a:solidFill>
                <a:prstDash val="solid"/>
              </a:ln>
              <a:effectLst/>
            </c:spPr>
          </c:marker>
          <c:errBars>
            <c:errDir val="y"/>
            <c:errBarType val="both"/>
            <c:errValType val="cust"/>
            <c:noEndCap val="0"/>
            <c:plus>
              <c:numRef>
                <c:f>'Movement graphs v2'!$F$114:$F$139</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3">
                    <c:v>2.7560000000000001E-2</c:v>
                  </c:pt>
                  <c:pt idx="14">
                    <c:v>3.0290999999999998E-2</c:v>
                  </c:pt>
                  <c:pt idx="15">
                    <c:v>4.1902000000000002E-2</c:v>
                  </c:pt>
                  <c:pt idx="16">
                    <c:v>3.4409000000000002E-2</c:v>
                  </c:pt>
                  <c:pt idx="17">
                    <c:v>5.2274000000000001E-2</c:v>
                  </c:pt>
                  <c:pt idx="18">
                    <c:v>3.5612999999999999E-2</c:v>
                  </c:pt>
                  <c:pt idx="19">
                    <c:v>2.6123E-2</c:v>
                  </c:pt>
                  <c:pt idx="20">
                    <c:v>2.9122000000000002E-2</c:v>
                  </c:pt>
                  <c:pt idx="21">
                    <c:v>3.5379000000000001E-2</c:v>
                  </c:pt>
                  <c:pt idx="22">
                    <c:v>4.3326000000000003E-2</c:v>
                  </c:pt>
                  <c:pt idx="23">
                    <c:v>1.6E-2</c:v>
                  </c:pt>
                  <c:pt idx="24">
                    <c:v>1.3000000000000001E-2</c:v>
                  </c:pt>
                  <c:pt idx="25">
                    <c:v>0</c:v>
                  </c:pt>
                </c:numCache>
              </c:numRef>
            </c:plus>
            <c:minus>
              <c:numRef>
                <c:f>'Movement graphs v2'!$F$127:$F$152</c:f>
                <c:numCache>
                  <c:formatCode>General</c:formatCode>
                  <c:ptCount val="26"/>
                  <c:pt idx="0">
                    <c:v>2.7560000000000001E-2</c:v>
                  </c:pt>
                  <c:pt idx="1">
                    <c:v>3.0290999999999998E-2</c:v>
                  </c:pt>
                  <c:pt idx="2">
                    <c:v>4.1902000000000002E-2</c:v>
                  </c:pt>
                  <c:pt idx="3">
                    <c:v>3.4409000000000002E-2</c:v>
                  </c:pt>
                  <c:pt idx="4">
                    <c:v>5.2274000000000001E-2</c:v>
                  </c:pt>
                  <c:pt idx="5">
                    <c:v>3.5612999999999999E-2</c:v>
                  </c:pt>
                  <c:pt idx="6">
                    <c:v>2.6123E-2</c:v>
                  </c:pt>
                  <c:pt idx="7">
                    <c:v>2.9122000000000002E-2</c:v>
                  </c:pt>
                  <c:pt idx="8">
                    <c:v>3.5379000000000001E-2</c:v>
                  </c:pt>
                  <c:pt idx="9">
                    <c:v>4.3326000000000003E-2</c:v>
                  </c:pt>
                  <c:pt idx="10">
                    <c:v>1.6E-2</c:v>
                  </c:pt>
                  <c:pt idx="11">
                    <c:v>1.3000000000000001E-2</c:v>
                  </c:pt>
                  <c:pt idx="12">
                    <c:v>0</c:v>
                  </c:pt>
                  <c:pt idx="16">
                    <c:v>19</c:v>
                  </c:pt>
                  <c:pt idx="17">
                    <c:v>7.8405091506071987</c:v>
                  </c:pt>
                  <c:pt idx="18">
                    <c:v>5.9896298077158399</c:v>
                  </c:pt>
                  <c:pt idx="19">
                    <c:v>4.7797096090894904</c:v>
                  </c:pt>
                  <c:pt idx="20">
                    <c:v>4.0202210636308902</c:v>
                  </c:pt>
                  <c:pt idx="21">
                    <c:v>3.2197046242572895</c:v>
                  </c:pt>
                  <c:pt idx="22">
                    <c:v>2.7638111069349667</c:v>
                  </c:pt>
                  <c:pt idx="23">
                    <c:v>2.539408852778859</c:v>
                  </c:pt>
                  <c:pt idx="25">
                    <c:v>1.5726075110357223</c:v>
                  </c:pt>
                </c:numCache>
              </c:numRef>
            </c:minus>
            <c:spPr>
              <a:noFill/>
              <a:ln w="12700" cap="flat" cmpd="sng" algn="ctr">
                <a:solidFill>
                  <a:srgbClr val="FF0000"/>
                </a:solidFill>
                <a:prstDash val="solid"/>
                <a:round/>
              </a:ln>
              <a:effectLst/>
            </c:spPr>
          </c:errBars>
          <c:cat>
            <c:numRef>
              <c:f>'Movement graphs v2'!$D$189:$D$201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v2'!$E$189:$E$201</c:f>
              <c:numCache>
                <c:formatCode>0.00</c:formatCode>
                <c:ptCount val="13"/>
                <c:pt idx="0">
                  <c:v>47.26645915860172</c:v>
                </c:pt>
                <c:pt idx="1">
                  <c:v>31.899807244602997</c:v>
                </c:pt>
                <c:pt idx="2">
                  <c:v>24.925227176145871</c:v>
                </c:pt>
                <c:pt idx="3">
                  <c:v>21.87099362125014</c:v>
                </c:pt>
                <c:pt idx="4">
                  <c:v>17.025930835436604</c:v>
                </c:pt>
                <c:pt idx="5">
                  <c:v>13.842859710707893</c:v>
                </c:pt>
                <c:pt idx="6">
                  <c:v>13.127562170069893</c:v>
                </c:pt>
                <c:pt idx="7">
                  <c:v>12.036609250340254</c:v>
                </c:pt>
                <c:pt idx="8">
                  <c:v>8.8103884506280732</c:v>
                </c:pt>
                <c:pt idx="9">
                  <c:v>7.7347395061242299</c:v>
                </c:pt>
                <c:pt idx="10">
                  <c:v>6.2952918519248264</c:v>
                </c:pt>
                <c:pt idx="11">
                  <c:v>3.3566463933167312</c:v>
                </c:pt>
                <c:pt idx="12">
                  <c:v>0</c:v>
                </c:pt>
              </c:numCache>
            </c:numRef>
          </c:val>
          <c:smooth val="0"/>
          <c:extLst>
            <c:ext xmlns:c16="http://schemas.microsoft.com/office/drawing/2014/chart" uri="{C3380CC4-5D6E-409C-BE32-E72D297353CC}">
              <c16:uniqueId val="{00000000-9757-47BD-9B79-A830B88A2895}"/>
            </c:ext>
          </c:extLst>
        </c:ser>
        <c:ser>
          <c:idx val="2"/>
          <c:order val="1"/>
          <c:tx>
            <c:strRef>
              <c:f>'Movement graphs v2'!$F$188</c:f>
              <c:strCache>
                <c:ptCount val="1"/>
                <c:pt idx="0">
                  <c:v>22</c:v>
                </c:pt>
              </c:strCache>
            </c:strRef>
          </c:tx>
          <c:spPr>
            <a:ln w="12700" cap="rnd">
              <a:solidFill>
                <a:srgbClr val="000000"/>
              </a:solidFill>
              <a:prstDash val="solid"/>
              <a:round/>
            </a:ln>
            <a:effectLst/>
          </c:spPr>
          <c:marker>
            <c:symbol val="circle"/>
            <c:size val="7"/>
            <c:spPr>
              <a:solidFill>
                <a:srgbClr val="FFFFFF"/>
              </a:solidFill>
              <a:ln w="12700">
                <a:solidFill>
                  <a:srgbClr val="000000"/>
                </a:solidFill>
                <a:prstDash val="solid"/>
              </a:ln>
              <a:effectLst/>
            </c:spPr>
          </c:marker>
          <c:errBars>
            <c:errDir val="y"/>
            <c:errBarType val="both"/>
            <c:errValType val="cust"/>
            <c:noEndCap val="0"/>
            <c:plus>
              <c:numRef>
                <c:f>'Movement graphs v2'!$G$114:$G$139</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3">
                    <c:v>2.7511000000000001E-2</c:v>
                  </c:pt>
                  <c:pt idx="14">
                    <c:v>3.0723E-2</c:v>
                  </c:pt>
                  <c:pt idx="15">
                    <c:v>2.9777999999999999E-2</c:v>
                  </c:pt>
                  <c:pt idx="16">
                    <c:v>3.5833999999999998E-2</c:v>
                  </c:pt>
                  <c:pt idx="17">
                    <c:v>3.6048000000000004E-2</c:v>
                  </c:pt>
                  <c:pt idx="18">
                    <c:v>3.7173999999999999E-2</c:v>
                  </c:pt>
                  <c:pt idx="19">
                    <c:v>3.007E-2</c:v>
                  </c:pt>
                  <c:pt idx="20">
                    <c:v>3.2440000000000004E-2</c:v>
                  </c:pt>
                  <c:pt idx="21">
                    <c:v>2.5585999999999998E-2</c:v>
                  </c:pt>
                  <c:pt idx="22">
                    <c:v>2.9602999999999997E-2</c:v>
                  </c:pt>
                  <c:pt idx="23">
                    <c:v>1.6E-2</c:v>
                  </c:pt>
                  <c:pt idx="24">
                    <c:v>1.6E-2</c:v>
                  </c:pt>
                  <c:pt idx="25">
                    <c:v>0</c:v>
                  </c:pt>
                </c:numCache>
              </c:numRef>
            </c:plus>
            <c:minus>
              <c:numRef>
                <c:f>'Movement graphs v2'!$G$127:$G$152</c:f>
                <c:numCache>
                  <c:formatCode>General</c:formatCode>
                  <c:ptCount val="26"/>
                  <c:pt idx="0">
                    <c:v>2.7511000000000001E-2</c:v>
                  </c:pt>
                  <c:pt idx="1">
                    <c:v>3.0723E-2</c:v>
                  </c:pt>
                  <c:pt idx="2">
                    <c:v>2.9777999999999999E-2</c:v>
                  </c:pt>
                  <c:pt idx="3">
                    <c:v>3.5833999999999998E-2</c:v>
                  </c:pt>
                  <c:pt idx="4">
                    <c:v>3.6048000000000004E-2</c:v>
                  </c:pt>
                  <c:pt idx="5">
                    <c:v>3.7173999999999999E-2</c:v>
                  </c:pt>
                  <c:pt idx="6">
                    <c:v>3.007E-2</c:v>
                  </c:pt>
                  <c:pt idx="7">
                    <c:v>3.2440000000000004E-2</c:v>
                  </c:pt>
                  <c:pt idx="8">
                    <c:v>2.5585999999999998E-2</c:v>
                  </c:pt>
                  <c:pt idx="9">
                    <c:v>2.9602999999999997E-2</c:v>
                  </c:pt>
                  <c:pt idx="10">
                    <c:v>1.6E-2</c:v>
                  </c:pt>
                  <c:pt idx="11">
                    <c:v>1.6E-2</c:v>
                  </c:pt>
                  <c:pt idx="12">
                    <c:v>0</c:v>
                  </c:pt>
                  <c:pt idx="16">
                    <c:v>20</c:v>
                  </c:pt>
                  <c:pt idx="17">
                    <c:v>12.793317805636217</c:v>
                  </c:pt>
                  <c:pt idx="18">
                    <c:v>9.6774646057499361</c:v>
                  </c:pt>
                  <c:pt idx="19">
                    <c:v>7.7044355129650386</c:v>
                  </c:pt>
                  <c:pt idx="21">
                    <c:v>5.3910359089632296</c:v>
                  </c:pt>
                  <c:pt idx="22">
                    <c:v>4.5291343899621141</c:v>
                  </c:pt>
                  <c:pt idx="23">
                    <c:v>4.2189455739376198</c:v>
                  </c:pt>
                  <c:pt idx="25">
                    <c:v>2.6763069640936061</c:v>
                  </c:pt>
                </c:numCache>
              </c:numRef>
            </c:minus>
            <c:spPr>
              <a:noFill/>
              <a:ln w="12700" cap="flat" cmpd="sng" algn="ctr">
                <a:solidFill>
                  <a:srgbClr val="000000"/>
                </a:solidFill>
                <a:prstDash val="solid"/>
                <a:round/>
              </a:ln>
              <a:effectLst/>
            </c:spPr>
          </c:errBars>
          <c:cat>
            <c:numRef>
              <c:f>'Movement graphs v2'!$D$189:$D$201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v2'!$F$189:$F$201</c:f>
              <c:numCache>
                <c:formatCode>0.00</c:formatCode>
                <c:ptCount val="13"/>
                <c:pt idx="2">
                  <c:v>50.252885768358425</c:v>
                </c:pt>
                <c:pt idx="3">
                  <c:v>39.747128945027818</c:v>
                </c:pt>
                <c:pt idx="4">
                  <c:v>29.872781703150803</c:v>
                </c:pt>
                <c:pt idx="5">
                  <c:v>23.266477622223984</c:v>
                </c:pt>
                <c:pt idx="6">
                  <c:v>21.598643931868658</c:v>
                </c:pt>
                <c:pt idx="7">
                  <c:v>19.113984053400713</c:v>
                </c:pt>
                <c:pt idx="8">
                  <c:v>12.646445586277196</c:v>
                </c:pt>
                <c:pt idx="9">
                  <c:v>10.32796243255525</c:v>
                </c:pt>
                <c:pt idx="10">
                  <c:v>9.1094740954956137</c:v>
                </c:pt>
                <c:pt idx="11">
                  <c:v>4.6278783483729384</c:v>
                </c:pt>
                <c:pt idx="12">
                  <c:v>0</c:v>
                </c:pt>
              </c:numCache>
            </c:numRef>
          </c:val>
          <c:smooth val="0"/>
          <c:extLst>
            <c:ext xmlns:c16="http://schemas.microsoft.com/office/drawing/2014/chart" uri="{C3380CC4-5D6E-409C-BE32-E72D297353CC}">
              <c16:uniqueId val="{00000001-9757-47BD-9B79-A830B88A2895}"/>
            </c:ext>
          </c:extLst>
        </c:ser>
        <c:ser>
          <c:idx val="3"/>
          <c:order val="2"/>
          <c:tx>
            <c:strRef>
              <c:f>'Movement graphs v2'!$G$188</c:f>
              <c:strCache>
                <c:ptCount val="1"/>
                <c:pt idx="0">
                  <c:v>24</c:v>
                </c:pt>
              </c:strCache>
            </c:strRef>
          </c:tx>
          <c:spPr>
            <a:ln w="12700" cap="rnd">
              <a:solidFill>
                <a:srgbClr val="00FF00"/>
              </a:solidFill>
              <a:prstDash val="solid"/>
              <a:round/>
            </a:ln>
            <a:effectLst/>
          </c:spPr>
          <c:marker>
            <c:symbol val="diamond"/>
            <c:size val="7"/>
            <c:spPr>
              <a:solidFill>
                <a:srgbClr val="00FF00"/>
              </a:solidFill>
              <a:ln w="12700">
                <a:solidFill>
                  <a:srgbClr val="00FF00"/>
                </a:solidFill>
                <a:prstDash val="solid"/>
              </a:ln>
              <a:effectLst/>
            </c:spPr>
          </c:marker>
          <c:errBars>
            <c:errDir val="y"/>
            <c:errBarType val="both"/>
            <c:errValType val="cust"/>
            <c:noEndCap val="0"/>
            <c:plus>
              <c:numRef>
                <c:f>'Movement graphs v2'!$H$114:$H$139</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3">
                    <c:v>2.6578999999999998E-2</c:v>
                  </c:pt>
                  <c:pt idx="14">
                    <c:v>3.2063000000000001E-2</c:v>
                  </c:pt>
                  <c:pt idx="15">
                    <c:v>2.5013000000000001E-2</c:v>
                  </c:pt>
                  <c:pt idx="16">
                    <c:v>3.3628999999999999E-2</c:v>
                  </c:pt>
                  <c:pt idx="17">
                    <c:v>3.4044999999999999E-2</c:v>
                  </c:pt>
                  <c:pt idx="18">
                    <c:v>3.2266999999999997E-2</c:v>
                  </c:pt>
                  <c:pt idx="19">
                    <c:v>3.1373999999999999E-2</c:v>
                  </c:pt>
                  <c:pt idx="20">
                    <c:v>5.0748000000000001E-2</c:v>
                  </c:pt>
                  <c:pt idx="21">
                    <c:v>5.1277000000000003E-2</c:v>
                  </c:pt>
                  <c:pt idx="22">
                    <c:v>2.7366000000000001E-2</c:v>
                  </c:pt>
                  <c:pt idx="23">
                    <c:v>1.4999999999999999E-2</c:v>
                  </c:pt>
                  <c:pt idx="24">
                    <c:v>1.7000000000000001E-2</c:v>
                  </c:pt>
                  <c:pt idx="25">
                    <c:v>0</c:v>
                  </c:pt>
                </c:numCache>
              </c:numRef>
            </c:plus>
            <c:minus>
              <c:numRef>
                <c:f>'Movement graphs v2'!$H$127:$H$152</c:f>
                <c:numCache>
                  <c:formatCode>General</c:formatCode>
                  <c:ptCount val="26"/>
                  <c:pt idx="0">
                    <c:v>2.6578999999999998E-2</c:v>
                  </c:pt>
                  <c:pt idx="1">
                    <c:v>3.2063000000000001E-2</c:v>
                  </c:pt>
                  <c:pt idx="2">
                    <c:v>2.5013000000000001E-2</c:v>
                  </c:pt>
                  <c:pt idx="3">
                    <c:v>3.3628999999999999E-2</c:v>
                  </c:pt>
                  <c:pt idx="4">
                    <c:v>3.4044999999999999E-2</c:v>
                  </c:pt>
                  <c:pt idx="5">
                    <c:v>3.2266999999999997E-2</c:v>
                  </c:pt>
                  <c:pt idx="6">
                    <c:v>3.1373999999999999E-2</c:v>
                  </c:pt>
                  <c:pt idx="7">
                    <c:v>5.0748000000000001E-2</c:v>
                  </c:pt>
                  <c:pt idx="8">
                    <c:v>5.1277000000000003E-2</c:v>
                  </c:pt>
                  <c:pt idx="9">
                    <c:v>2.7366000000000001E-2</c:v>
                  </c:pt>
                  <c:pt idx="10">
                    <c:v>1.4999999999999999E-2</c:v>
                  </c:pt>
                  <c:pt idx="11">
                    <c:v>1.7000000000000001E-2</c:v>
                  </c:pt>
                  <c:pt idx="12">
                    <c:v>0</c:v>
                  </c:pt>
                  <c:pt idx="16">
                    <c:v>28</c:v>
                  </c:pt>
                  <c:pt idx="17">
                    <c:v>4.5952102907853254</c:v>
                  </c:pt>
                  <c:pt idx="18">
                    <c:v>3.6634280368050822</c:v>
                  </c:pt>
                  <c:pt idx="20">
                    <c:v>2.2532889668049267</c:v>
                  </c:pt>
                  <c:pt idx="21">
                    <c:v>1.6549457804198149</c:v>
                  </c:pt>
                  <c:pt idx="22">
                    <c:v>1.4268792673504884</c:v>
                  </c:pt>
                  <c:pt idx="23">
                    <c:v>1.3436900056350511</c:v>
                  </c:pt>
                  <c:pt idx="25">
                    <c:v>0.77305234862966621</c:v>
                  </c:pt>
                </c:numCache>
              </c:numRef>
            </c:minus>
            <c:spPr>
              <a:noFill/>
              <a:ln w="12700" cap="flat" cmpd="sng" algn="ctr">
                <a:solidFill>
                  <a:srgbClr val="00FF00"/>
                </a:solidFill>
                <a:prstDash val="solid"/>
                <a:round/>
              </a:ln>
              <a:effectLst/>
            </c:spPr>
          </c:errBars>
          <c:cat>
            <c:numRef>
              <c:f>'Movement graphs v2'!$D$189:$D$201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v2'!$G$189:$G$201</c:f>
              <c:numCache>
                <c:formatCode>0.00</c:formatCode>
                <c:ptCount val="13"/>
                <c:pt idx="0">
                  <c:v>26.205872217523332</c:v>
                </c:pt>
                <c:pt idx="1">
                  <c:v>20.943800016986362</c:v>
                </c:pt>
                <c:pt idx="2">
                  <c:v>17.06368711390742</c:v>
                </c:pt>
                <c:pt idx="3">
                  <c:v>14.493469736431472</c:v>
                </c:pt>
                <c:pt idx="4">
                  <c:v>11.792475133695511</c:v>
                </c:pt>
                <c:pt idx="5">
                  <c:v>9.8741431786599634</c:v>
                </c:pt>
                <c:pt idx="6">
                  <c:v>9.0158881616010085</c:v>
                </c:pt>
                <c:pt idx="7">
                  <c:v>8.0602417276749936</c:v>
                </c:pt>
                <c:pt idx="9">
                  <c:v>4.4352177250264404</c:v>
                </c:pt>
                <c:pt idx="10">
                  <c:v>3.4014953021851806</c:v>
                </c:pt>
                <c:pt idx="11">
                  <c:v>2.0669361399707213</c:v>
                </c:pt>
                <c:pt idx="12">
                  <c:v>0</c:v>
                </c:pt>
              </c:numCache>
            </c:numRef>
          </c:val>
          <c:smooth val="0"/>
          <c:extLst>
            <c:ext xmlns:c16="http://schemas.microsoft.com/office/drawing/2014/chart" uri="{C3380CC4-5D6E-409C-BE32-E72D297353CC}">
              <c16:uniqueId val="{00000002-9757-47BD-9B79-A830B88A2895}"/>
            </c:ext>
          </c:extLst>
        </c:ser>
        <c:ser>
          <c:idx val="4"/>
          <c:order val="3"/>
          <c:tx>
            <c:strRef>
              <c:f>'Movement graphs v2'!$H$188</c:f>
              <c:strCache>
                <c:ptCount val="1"/>
                <c:pt idx="0">
                  <c:v>25</c:v>
                </c:pt>
              </c:strCache>
            </c:strRef>
          </c:tx>
          <c:spPr>
            <a:ln w="12700" cap="rnd">
              <a:solidFill>
                <a:srgbClr val="0000FF"/>
              </a:solidFill>
              <a:prstDash val="solid"/>
              <a:round/>
            </a:ln>
            <a:effectLst/>
          </c:spPr>
          <c:marker>
            <c:symbol val="square"/>
            <c:size val="7"/>
            <c:spPr>
              <a:solidFill>
                <a:srgbClr val="0000FF"/>
              </a:solidFill>
              <a:ln w="12700">
                <a:solidFill>
                  <a:srgbClr val="0000FF"/>
                </a:solidFill>
                <a:prstDash val="solid"/>
              </a:ln>
              <a:effectLst/>
            </c:spPr>
          </c:marker>
          <c:errBars>
            <c:errDir val="y"/>
            <c:errBarType val="both"/>
            <c:errValType val="cust"/>
            <c:noEndCap val="0"/>
            <c:plus>
              <c:numRef>
                <c:f>'Movement graphs v2'!$I$114:$I$139</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3">
                    <c:v>2.8281000000000001E-2</c:v>
                  </c:pt>
                  <c:pt idx="14">
                    <c:v>3.8584E-2</c:v>
                  </c:pt>
                  <c:pt idx="15">
                    <c:v>3.3484E-2</c:v>
                  </c:pt>
                  <c:pt idx="16">
                    <c:v>3.5540000000000002E-2</c:v>
                  </c:pt>
                  <c:pt idx="17">
                    <c:v>4.3723999999999999E-2</c:v>
                  </c:pt>
                  <c:pt idx="18">
                    <c:v>4.4747000000000002E-2</c:v>
                  </c:pt>
                  <c:pt idx="19">
                    <c:v>2.7307999999999999E-2</c:v>
                  </c:pt>
                  <c:pt idx="20">
                    <c:v>0</c:v>
                  </c:pt>
                  <c:pt idx="21">
                    <c:v>2.7964999999999997E-2</c:v>
                  </c:pt>
                  <c:pt idx="22">
                    <c:v>3.0580000000000003E-2</c:v>
                  </c:pt>
                  <c:pt idx="23">
                    <c:v>0</c:v>
                  </c:pt>
                  <c:pt idx="24">
                    <c:v>0</c:v>
                  </c:pt>
                  <c:pt idx="25">
                    <c:v>0</c:v>
                  </c:pt>
                </c:numCache>
              </c:numRef>
            </c:plus>
            <c:minus>
              <c:numRef>
                <c:f>'Movement graphs v2'!$I$127:$I$152</c:f>
                <c:numCache>
                  <c:formatCode>General</c:formatCode>
                  <c:ptCount val="26"/>
                  <c:pt idx="0">
                    <c:v>2.8281000000000001E-2</c:v>
                  </c:pt>
                  <c:pt idx="1">
                    <c:v>3.8584E-2</c:v>
                  </c:pt>
                  <c:pt idx="2">
                    <c:v>3.3484E-2</c:v>
                  </c:pt>
                  <c:pt idx="3">
                    <c:v>3.5540000000000002E-2</c:v>
                  </c:pt>
                  <c:pt idx="4">
                    <c:v>4.3723999999999999E-2</c:v>
                  </c:pt>
                  <c:pt idx="5">
                    <c:v>4.4747000000000002E-2</c:v>
                  </c:pt>
                  <c:pt idx="6">
                    <c:v>2.7307999999999999E-2</c:v>
                  </c:pt>
                  <c:pt idx="7">
                    <c:v>0</c:v>
                  </c:pt>
                  <c:pt idx="8">
                    <c:v>2.7964999999999997E-2</c:v>
                  </c:pt>
                  <c:pt idx="9">
                    <c:v>3.0580000000000003E-2</c:v>
                  </c:pt>
                  <c:pt idx="10">
                    <c:v>0</c:v>
                  </c:pt>
                  <c:pt idx="11">
                    <c:v>0</c:v>
                  </c:pt>
                  <c:pt idx="12">
                    <c:v>0</c:v>
                  </c:pt>
                  <c:pt idx="16">
                    <c:v>29</c:v>
                  </c:pt>
                  <c:pt idx="17">
                    <c:v>12.097955657454968</c:v>
                  </c:pt>
                  <c:pt idx="18">
                    <c:v>8.6658615271497883</c:v>
                  </c:pt>
                  <c:pt idx="19">
                    <c:v>6.3838718373235253</c:v>
                  </c:pt>
                  <c:pt idx="20">
                    <c:v>2.5998928218713089</c:v>
                  </c:pt>
                  <c:pt idx="21">
                    <c:v>0</c:v>
                  </c:pt>
                </c:numCache>
              </c:numRef>
            </c:minus>
            <c:spPr>
              <a:noFill/>
              <a:ln w="12700" cap="flat" cmpd="sng" algn="ctr">
                <a:solidFill>
                  <a:srgbClr val="0000FF"/>
                </a:solidFill>
                <a:prstDash val="solid"/>
                <a:round/>
              </a:ln>
              <a:effectLst/>
            </c:spPr>
          </c:errBars>
          <c:cat>
            <c:numRef>
              <c:f>'Movement graphs v2'!$D$189:$D$201</c:f>
              <c:numCache>
                <c:formatCode>m/d/yyyy</c:formatCode>
                <c:ptCount val="13"/>
                <c:pt idx="0">
                  <c:v>43817</c:v>
                </c:pt>
                <c:pt idx="1">
                  <c:v>43382</c:v>
                </c:pt>
                <c:pt idx="2">
                  <c:v>43186</c:v>
                </c:pt>
                <c:pt idx="3">
                  <c:v>43019</c:v>
                </c:pt>
                <c:pt idx="4">
                  <c:v>42915</c:v>
                </c:pt>
                <c:pt idx="5">
                  <c:v>42814</c:v>
                </c:pt>
                <c:pt idx="6">
                  <c:v>42718</c:v>
                </c:pt>
                <c:pt idx="7">
                  <c:v>42666</c:v>
                </c:pt>
                <c:pt idx="8">
                  <c:v>42562</c:v>
                </c:pt>
                <c:pt idx="9">
                  <c:v>42446</c:v>
                </c:pt>
                <c:pt idx="10">
                  <c:v>42345</c:v>
                </c:pt>
                <c:pt idx="11">
                  <c:v>42277</c:v>
                </c:pt>
                <c:pt idx="12">
                  <c:v>42188</c:v>
                </c:pt>
              </c:numCache>
            </c:numRef>
          </c:cat>
          <c:val>
            <c:numRef>
              <c:f>'Movement graphs v2'!$H$189:$H$201</c:f>
              <c:numCache>
                <c:formatCode>0.00</c:formatCode>
                <c:ptCount val="13"/>
                <c:pt idx="0">
                  <c:v>28.073632861401233</c:v>
                </c:pt>
                <c:pt idx="1">
                  <c:v>22.02253287576097</c:v>
                </c:pt>
                <c:pt idx="2">
                  <c:v>17.476458012918773</c:v>
                </c:pt>
                <c:pt idx="3">
                  <c:v>14.479599215946152</c:v>
                </c:pt>
                <c:pt idx="4">
                  <c:v>11.259530953370485</c:v>
                </c:pt>
                <c:pt idx="5">
                  <c:v>9.017225186744346</c:v>
                </c:pt>
                <c:pt idx="6">
                  <c:v>8.1072689590121847</c:v>
                </c:pt>
                <c:pt idx="7">
                  <c:v>6.9744658377968225</c:v>
                </c:pt>
                <c:pt idx="8">
                  <c:v>4.0283425545753078</c:v>
                </c:pt>
                <c:pt idx="9">
                  <c:v>2.7398893104561912</c:v>
                </c:pt>
                <c:pt idx="10">
                  <c:v>1.5239380070915212</c:v>
                </c:pt>
                <c:pt idx="11">
                  <c:v>0</c:v>
                </c:pt>
              </c:numCache>
            </c:numRef>
          </c:val>
          <c:smooth val="0"/>
          <c:extLst>
            <c:ext xmlns:c16="http://schemas.microsoft.com/office/drawing/2014/chart" uri="{C3380CC4-5D6E-409C-BE32-E72D297353CC}">
              <c16:uniqueId val="{00000003-9757-47BD-9B79-A830B88A2895}"/>
            </c:ext>
          </c:extLst>
        </c:ser>
        <c:dLbls>
          <c:showLegendKey val="0"/>
          <c:showVal val="0"/>
          <c:showCatName val="0"/>
          <c:showSerName val="0"/>
          <c:showPercent val="0"/>
          <c:showBubbleSize val="0"/>
        </c:dLbls>
        <c:marker val="1"/>
        <c:smooth val="0"/>
        <c:axId val="2142526896"/>
        <c:axId val="2004665920"/>
      </c:lineChart>
      <c:dateAx>
        <c:axId val="2142526896"/>
        <c:scaling>
          <c:orientation val="minMax"/>
          <c:max val="43831"/>
          <c:min val="42186"/>
        </c:scaling>
        <c:delete val="0"/>
        <c:axPos val="b"/>
        <c:numFmt formatCode="m/d/yyyy" sourceLinked="1"/>
        <c:majorTickMark val="out"/>
        <c:minorTickMark val="in"/>
        <c:tickLblPos val="nextTo"/>
        <c:spPr>
          <a:noFill/>
          <a:ln w="12700" cap="flat" cmpd="sng" algn="ctr">
            <a:solidFill>
              <a:srgbClr val="000000"/>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004665920"/>
        <c:crosses val="autoZero"/>
        <c:auto val="1"/>
        <c:lblOffset val="100"/>
        <c:baseTimeUnit val="months"/>
        <c:majorUnit val="6"/>
        <c:majorTimeUnit val="months"/>
        <c:minorUnit val="3"/>
        <c:minorTimeUnit val="months"/>
      </c:dateAx>
      <c:valAx>
        <c:axId val="200466592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r>
                  <a:rPr lang="en-NZ">
                    <a:latin typeface="Calibri" panose="020F0502020204030204" pitchFamily="34" charset="0"/>
                  </a:rPr>
                  <a:t>Cumulative net displacement</a:t>
                </a:r>
                <a:r>
                  <a:rPr lang="en-NZ" baseline="0">
                    <a:latin typeface="Calibri" panose="020F0502020204030204" pitchFamily="34" charset="0"/>
                  </a:rPr>
                  <a:t> (m)</a:t>
                </a:r>
                <a:endParaRPr lang="en-NZ">
                  <a:latin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Calibri"/>
                  <a:cs typeface="Calibri"/>
                </a:defRPr>
              </a:pPr>
              <a:endParaRPr lang="en-US"/>
            </a:p>
          </c:txPr>
        </c:title>
        <c:numFmt formatCode="0.0" sourceLinked="0"/>
        <c:majorTickMark val="out"/>
        <c:minorTickMark val="none"/>
        <c:tickLblPos val="nextTo"/>
        <c:spPr>
          <a:noFill/>
          <a:ln w="12700">
            <a:solidFill>
              <a:srgbClr val="000000"/>
            </a:solidFill>
            <a:prstDash val="soli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crossAx val="2142526896"/>
        <c:crosses val="autoZero"/>
        <c:crossBetween val="between"/>
      </c:valAx>
      <c:spPr>
        <a:solidFill>
          <a:srgbClr val="FFFFFF"/>
        </a:solidFill>
        <a:ln w="12700">
          <a:noFill/>
          <a:prstDash val="solid"/>
        </a:ln>
        <a:effectLst/>
      </c:spPr>
    </c:plotArea>
    <c:legend>
      <c:legendPos val="t"/>
      <c:layout>
        <c:manualLayout>
          <c:xMode val="edge"/>
          <c:yMode val="edge"/>
          <c:x val="0.17964496054821824"/>
          <c:y val="4.2677364622328233E-2"/>
          <c:w val="0.63800892755933625"/>
          <c:h val="0.11559475308641975"/>
        </c:manualLayout>
      </c:layout>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a:ea typeface="Calibri"/>
              <a:cs typeface="Calibri"/>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12700" cap="flat" cmpd="sng" algn="ctr">
      <a:solidFill>
        <a:srgbClr val="000000"/>
      </a:solidFill>
      <a:prstDash val="solid"/>
      <a:round/>
    </a:ln>
    <a:effectLst/>
  </c:spPr>
  <c:txPr>
    <a:bodyPr/>
    <a:lstStyle/>
    <a:p>
      <a:pPr>
        <a:defRPr sz="1000">
          <a:latin typeface="Calibri"/>
          <a:ea typeface="Calibri"/>
          <a:cs typeface="Calibri"/>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a:noFill/>
            </a:ln>
          </c:spPr>
          <c:xVal>
            <c:numRef>
              <c:f>'SfM check points'!$A$47:$A$68</c:f>
              <c:numCache>
                <c:formatCode>General</c:formatCode>
                <c:ptCount val="22"/>
                <c:pt idx="0">
                  <c:v>438.906656</c:v>
                </c:pt>
                <c:pt idx="1">
                  <c:v>430.39125200000001</c:v>
                </c:pt>
                <c:pt idx="2">
                  <c:v>421.84334799999999</c:v>
                </c:pt>
                <c:pt idx="3">
                  <c:v>414.58833899999996</c:v>
                </c:pt>
                <c:pt idx="4">
                  <c:v>421.43516699999998</c:v>
                </c:pt>
                <c:pt idx="5">
                  <c:v>402.89071200000001</c:v>
                </c:pt>
                <c:pt idx="6">
                  <c:v>310.45947699999999</c:v>
                </c:pt>
                <c:pt idx="7">
                  <c:v>302.51167599999997</c:v>
                </c:pt>
                <c:pt idx="8">
                  <c:v>326.928291</c:v>
                </c:pt>
                <c:pt idx="9">
                  <c:v>316.25608899999997</c:v>
                </c:pt>
                <c:pt idx="10">
                  <c:v>314.481291</c:v>
                </c:pt>
                <c:pt idx="11">
                  <c:v>334.61570899999998</c:v>
                </c:pt>
                <c:pt idx="12">
                  <c:v>335.19785300000001</c:v>
                </c:pt>
                <c:pt idx="13">
                  <c:v>400.95483999999999</c:v>
                </c:pt>
                <c:pt idx="14">
                  <c:v>405.81471699999997</c:v>
                </c:pt>
                <c:pt idx="15">
                  <c:v>389.93802999999997</c:v>
                </c:pt>
                <c:pt idx="16">
                  <c:v>397.90995199999998</c:v>
                </c:pt>
                <c:pt idx="17">
                  <c:v>392.16338200000001</c:v>
                </c:pt>
                <c:pt idx="18">
                  <c:v>382.29035399999998</c:v>
                </c:pt>
                <c:pt idx="19">
                  <c:v>368.15155499999997</c:v>
                </c:pt>
                <c:pt idx="20">
                  <c:v>375.85539699999998</c:v>
                </c:pt>
                <c:pt idx="21">
                  <c:v>359.06455799999998</c:v>
                </c:pt>
              </c:numCache>
            </c:numRef>
          </c:xVal>
          <c:yVal>
            <c:numRef>
              <c:f>'SfM check points'!$C$95:$C$116</c:f>
              <c:numCache>
                <c:formatCode>General</c:formatCode>
                <c:ptCount val="22"/>
                <c:pt idx="0">
                  <c:v>9.6713863596733063E-2</c:v>
                </c:pt>
                <c:pt idx="1">
                  <c:v>-1.3693082019130998E-2</c:v>
                </c:pt>
                <c:pt idx="2">
                  <c:v>-0.17803543170907687</c:v>
                </c:pt>
                <c:pt idx="3">
                  <c:v>-0.11496580280658009</c:v>
                </c:pt>
                <c:pt idx="4">
                  <c:v>-8.1766139058174758E-2</c:v>
                </c:pt>
                <c:pt idx="5">
                  <c:v>-0.11316372684285625</c:v>
                </c:pt>
                <c:pt idx="6">
                  <c:v>-0.58221816963754236</c:v>
                </c:pt>
                <c:pt idx="7">
                  <c:v>-0.45326252494487562</c:v>
                </c:pt>
                <c:pt idx="8">
                  <c:v>4.4575181676236753E-2</c:v>
                </c:pt>
                <c:pt idx="9">
                  <c:v>7.6150722132979354E-2</c:v>
                </c:pt>
                <c:pt idx="10">
                  <c:v>0.288607909338225</c:v>
                </c:pt>
                <c:pt idx="11">
                  <c:v>0.45195836853451965</c:v>
                </c:pt>
                <c:pt idx="12">
                  <c:v>0.21005484435835342</c:v>
                </c:pt>
                <c:pt idx="13">
                  <c:v>-0.10406547283332657</c:v>
                </c:pt>
                <c:pt idx="14">
                  <c:v>-4.8292587566777456E-2</c:v>
                </c:pt>
                <c:pt idx="15">
                  <c:v>0.15008039770759751</c:v>
                </c:pt>
                <c:pt idx="16">
                  <c:v>1.9961067636529606E-2</c:v>
                </c:pt>
                <c:pt idx="17">
                  <c:v>1.4288412279370277E-2</c:v>
                </c:pt>
                <c:pt idx="18">
                  <c:v>9.0513020288483403E-2</c:v>
                </c:pt>
                <c:pt idx="19">
                  <c:v>0.15149142546636085</c:v>
                </c:pt>
                <c:pt idx="20">
                  <c:v>-0.12975587116187626</c:v>
                </c:pt>
                <c:pt idx="21">
                  <c:v>0.22482359556465781</c:v>
                </c:pt>
              </c:numCache>
            </c:numRef>
          </c:yVal>
          <c:smooth val="0"/>
          <c:extLst>
            <c:ext xmlns:c16="http://schemas.microsoft.com/office/drawing/2014/chart" uri="{C3380CC4-5D6E-409C-BE32-E72D297353CC}">
              <c16:uniqueId val="{00000001-1944-467B-9726-6152CE1147F9}"/>
            </c:ext>
          </c:extLst>
        </c:ser>
        <c:dLbls>
          <c:showLegendKey val="0"/>
          <c:showVal val="0"/>
          <c:showCatName val="0"/>
          <c:showSerName val="0"/>
          <c:showPercent val="0"/>
          <c:showBubbleSize val="0"/>
        </c:dLbls>
        <c:axId val="1711576399"/>
        <c:axId val="1673363407"/>
      </c:scatterChart>
      <c:valAx>
        <c:axId val="1711576399"/>
        <c:scaling>
          <c:orientation val="minMax"/>
          <c:min val="300"/>
        </c:scaling>
        <c:delete val="0"/>
        <c:axPos val="b"/>
        <c:title>
          <c:tx>
            <c:rich>
              <a:bodyPr/>
              <a:lstStyle/>
              <a:p>
                <a:pPr>
                  <a:defRPr/>
                </a:pPr>
                <a:r>
                  <a:rPr lang="en-NZ"/>
                  <a:t>R10</a:t>
                </a:r>
              </a:p>
            </c:rich>
          </c:tx>
          <c:overlay val="0"/>
        </c:title>
        <c:numFmt formatCode="General" sourceLinked="1"/>
        <c:majorTickMark val="out"/>
        <c:minorTickMark val="none"/>
        <c:tickLblPos val="nextTo"/>
        <c:crossAx val="1673363407"/>
        <c:crosses val="autoZero"/>
        <c:crossBetween val="midCat"/>
      </c:valAx>
      <c:valAx>
        <c:axId val="1673363407"/>
        <c:scaling>
          <c:orientation val="minMax"/>
        </c:scaling>
        <c:delete val="0"/>
        <c:axPos val="l"/>
        <c:title>
          <c:tx>
            <c:rich>
              <a:bodyPr/>
              <a:lstStyle/>
              <a:p>
                <a:pPr>
                  <a:defRPr/>
                </a:pPr>
                <a:r>
                  <a:rPr lang="en-NZ"/>
                  <a:t>Residuals</a:t>
                </a:r>
              </a:p>
            </c:rich>
          </c:tx>
          <c:overlay val="0"/>
        </c:title>
        <c:numFmt formatCode="General" sourceLinked="1"/>
        <c:majorTickMark val="out"/>
        <c:minorTickMark val="none"/>
        <c:tickLblPos val="nextTo"/>
        <c:crossAx val="17115763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R10</c:v>
          </c:tx>
          <c:spPr>
            <a:ln w="28575">
              <a:noFill/>
            </a:ln>
          </c:spPr>
          <c:marker>
            <c:symbol val="circle"/>
            <c:size val="4"/>
            <c:spPr>
              <a:ln>
                <a:noFill/>
              </a:ln>
            </c:spPr>
          </c:marker>
          <c:trendline>
            <c:trendlineType val="linear"/>
            <c:dispRSqr val="1"/>
            <c:dispEq val="1"/>
            <c:trendlineLbl>
              <c:layout>
                <c:manualLayout>
                  <c:x val="-0.16195671825707814"/>
                  <c:y val="-5.3481978119071752E-2"/>
                </c:manualLayout>
              </c:layout>
              <c:numFmt formatCode="General" sourceLinked="0"/>
              <c:txPr>
                <a:bodyPr/>
                <a:lstStyle/>
                <a:p>
                  <a:pPr>
                    <a:defRPr sz="1050"/>
                  </a:pPr>
                  <a:endParaRPr lang="en-US"/>
                </a:p>
              </c:txPr>
            </c:trendlineLbl>
          </c:trendline>
          <c:xVal>
            <c:numRef>
              <c:f>'SfM check points'!$A$47:$A$68</c:f>
              <c:numCache>
                <c:formatCode>General</c:formatCode>
                <c:ptCount val="22"/>
                <c:pt idx="0">
                  <c:v>438.906656</c:v>
                </c:pt>
                <c:pt idx="1">
                  <c:v>430.39125200000001</c:v>
                </c:pt>
                <c:pt idx="2">
                  <c:v>421.84334799999999</c:v>
                </c:pt>
                <c:pt idx="3">
                  <c:v>414.58833899999996</c:v>
                </c:pt>
                <c:pt idx="4">
                  <c:v>421.43516699999998</c:v>
                </c:pt>
                <c:pt idx="5">
                  <c:v>402.89071200000001</c:v>
                </c:pt>
                <c:pt idx="6">
                  <c:v>310.45947699999999</c:v>
                </c:pt>
                <c:pt idx="7">
                  <c:v>302.51167599999997</c:v>
                </c:pt>
                <c:pt idx="8">
                  <c:v>326.928291</c:v>
                </c:pt>
                <c:pt idx="9">
                  <c:v>316.25608899999997</c:v>
                </c:pt>
                <c:pt idx="10">
                  <c:v>314.481291</c:v>
                </c:pt>
                <c:pt idx="11">
                  <c:v>334.61570899999998</c:v>
                </c:pt>
                <c:pt idx="12">
                  <c:v>335.19785300000001</c:v>
                </c:pt>
                <c:pt idx="13">
                  <c:v>400.95483999999999</c:v>
                </c:pt>
                <c:pt idx="14">
                  <c:v>405.81471699999997</c:v>
                </c:pt>
                <c:pt idx="15">
                  <c:v>389.93802999999997</c:v>
                </c:pt>
                <c:pt idx="16">
                  <c:v>397.90995199999998</c:v>
                </c:pt>
                <c:pt idx="17">
                  <c:v>392.16338200000001</c:v>
                </c:pt>
                <c:pt idx="18">
                  <c:v>382.29035399999998</c:v>
                </c:pt>
                <c:pt idx="19">
                  <c:v>368.15155499999997</c:v>
                </c:pt>
                <c:pt idx="20">
                  <c:v>375.85539699999998</c:v>
                </c:pt>
                <c:pt idx="21">
                  <c:v>359.06455799999998</c:v>
                </c:pt>
              </c:numCache>
            </c:numRef>
          </c:xVal>
          <c:yVal>
            <c:numRef>
              <c:f>'SfM check points'!$B$47:$B$68</c:f>
              <c:numCache>
                <c:formatCode>General</c:formatCode>
                <c:ptCount val="22"/>
                <c:pt idx="0">
                  <c:v>439.08538818400001</c:v>
                </c:pt>
                <c:pt idx="1">
                  <c:v>430.43011474600002</c:v>
                </c:pt>
                <c:pt idx="2">
                  <c:v>421.68829345699999</c:v>
                </c:pt>
                <c:pt idx="3">
                  <c:v>414.47125244099999</c:v>
                </c:pt>
                <c:pt idx="4">
                  <c:v>421.37496948199998</c:v>
                </c:pt>
                <c:pt idx="5">
                  <c:v>402.73495483400001</c:v>
                </c:pt>
                <c:pt idx="6">
                  <c:v>309.51486206099997</c:v>
                </c:pt>
                <c:pt idx="7">
                  <c:v>301.66851806599999</c:v>
                </c:pt>
                <c:pt idx="8">
                  <c:v>326.66744995099998</c:v>
                </c:pt>
                <c:pt idx="9">
                  <c:v>315.98989868199999</c:v>
                </c:pt>
                <c:pt idx="10">
                  <c:v>314.42141723600002</c:v>
                </c:pt>
                <c:pt idx="11">
                  <c:v>334.78884887700002</c:v>
                </c:pt>
                <c:pt idx="12">
                  <c:v>335.131103516</c:v>
                </c:pt>
                <c:pt idx="13">
                  <c:v>400.80148315399998</c:v>
                </c:pt>
                <c:pt idx="14">
                  <c:v>405.73394775399998</c:v>
                </c:pt>
                <c:pt idx="15">
                  <c:v>390.00070190399998</c:v>
                </c:pt>
                <c:pt idx="16">
                  <c:v>397.87008666999998</c:v>
                </c:pt>
                <c:pt idx="17">
                  <c:v>392.09796142599998</c:v>
                </c:pt>
                <c:pt idx="18">
                  <c:v>382.26699829099999</c:v>
                </c:pt>
                <c:pt idx="19">
                  <c:v>368.14025878899997</c:v>
                </c:pt>
                <c:pt idx="20">
                  <c:v>375.58950805699999</c:v>
                </c:pt>
                <c:pt idx="21">
                  <c:v>359.09515380900001</c:v>
                </c:pt>
              </c:numCache>
            </c:numRef>
          </c:yVal>
          <c:smooth val="0"/>
          <c:extLst>
            <c:ext xmlns:c16="http://schemas.microsoft.com/office/drawing/2014/chart" uri="{C3380CC4-5D6E-409C-BE32-E72D297353CC}">
              <c16:uniqueId val="{00000001-2C02-472B-B3CD-DA9AA71DFA54}"/>
            </c:ext>
          </c:extLst>
        </c:ser>
        <c:dLbls>
          <c:showLegendKey val="0"/>
          <c:showVal val="0"/>
          <c:showCatName val="0"/>
          <c:showSerName val="0"/>
          <c:showPercent val="0"/>
          <c:showBubbleSize val="0"/>
        </c:dLbls>
        <c:axId val="1711594799"/>
        <c:axId val="1673368399"/>
      </c:scatterChart>
      <c:valAx>
        <c:axId val="1711594799"/>
        <c:scaling>
          <c:orientation val="minMax"/>
          <c:min val="300"/>
        </c:scaling>
        <c:delete val="0"/>
        <c:axPos val="b"/>
        <c:title>
          <c:tx>
            <c:rich>
              <a:bodyPr/>
              <a:lstStyle/>
              <a:p>
                <a:pPr>
                  <a:defRPr/>
                </a:pPr>
                <a:r>
                  <a:rPr lang="en-NZ"/>
                  <a:t>R10</a:t>
                </a:r>
              </a:p>
            </c:rich>
          </c:tx>
          <c:overlay val="0"/>
        </c:title>
        <c:numFmt formatCode="General" sourceLinked="1"/>
        <c:majorTickMark val="out"/>
        <c:minorTickMark val="none"/>
        <c:tickLblPos val="nextTo"/>
        <c:crossAx val="1673368399"/>
        <c:crosses val="autoZero"/>
        <c:crossBetween val="midCat"/>
      </c:valAx>
      <c:valAx>
        <c:axId val="1673368399"/>
        <c:scaling>
          <c:orientation val="minMax"/>
          <c:min val="300"/>
        </c:scaling>
        <c:delete val="0"/>
        <c:axPos val="l"/>
        <c:title>
          <c:tx>
            <c:rich>
              <a:bodyPr/>
              <a:lstStyle/>
              <a:p>
                <a:pPr>
                  <a:defRPr/>
                </a:pPr>
                <a:r>
                  <a:rPr lang="en-NZ"/>
                  <a:t>Raster</a:t>
                </a:r>
              </a:p>
            </c:rich>
          </c:tx>
          <c:layout>
            <c:manualLayout>
              <c:xMode val="edge"/>
              <c:yMode val="edge"/>
              <c:x val="5.0615776977538843E-2"/>
              <c:y val="0.30553052155609262"/>
            </c:manualLayout>
          </c:layout>
          <c:overlay val="0"/>
        </c:title>
        <c:numFmt formatCode="General" sourceLinked="1"/>
        <c:majorTickMark val="out"/>
        <c:minorTickMark val="none"/>
        <c:tickLblPos val="nextTo"/>
        <c:crossAx val="17115947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a:noFill/>
            </a:ln>
          </c:spPr>
          <c:xVal>
            <c:numRef>
              <c:f>'SfM check points'!$N$47:$N$63</c:f>
              <c:numCache>
                <c:formatCode>General</c:formatCode>
                <c:ptCount val="17"/>
                <c:pt idx="0">
                  <c:v>438.93248699999998</c:v>
                </c:pt>
                <c:pt idx="1">
                  <c:v>430.39842899999996</c:v>
                </c:pt>
                <c:pt idx="2">
                  <c:v>421.82415199999997</c:v>
                </c:pt>
                <c:pt idx="3">
                  <c:v>414.602216</c:v>
                </c:pt>
                <c:pt idx="4">
                  <c:v>421.36897499999998</c:v>
                </c:pt>
                <c:pt idx="5">
                  <c:v>402.93260099999998</c:v>
                </c:pt>
                <c:pt idx="6" formatCode="0.000">
                  <c:v>401.02715699999999</c:v>
                </c:pt>
                <c:pt idx="7" formatCode="0.000">
                  <c:v>405.81480199999999</c:v>
                </c:pt>
                <c:pt idx="8" formatCode="0.000">
                  <c:v>390.143595</c:v>
                </c:pt>
                <c:pt idx="9">
                  <c:v>398.23669200000001</c:v>
                </c:pt>
                <c:pt idx="10">
                  <c:v>392.21230099999997</c:v>
                </c:pt>
                <c:pt idx="11">
                  <c:v>383.23942499999998</c:v>
                </c:pt>
                <c:pt idx="12">
                  <c:v>311.83784600000001</c:v>
                </c:pt>
                <c:pt idx="13">
                  <c:v>304.54637600000001</c:v>
                </c:pt>
                <c:pt idx="14">
                  <c:v>326.978205</c:v>
                </c:pt>
                <c:pt idx="15">
                  <c:v>316.78834899999998</c:v>
                </c:pt>
                <c:pt idx="16">
                  <c:v>314.45709299999999</c:v>
                </c:pt>
              </c:numCache>
            </c:numRef>
          </c:xVal>
          <c:yVal>
            <c:numRef>
              <c:f>'SfM check points'!$O$96:$O$112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5.6843418860808015E-14</c:v>
                </c:pt>
                <c:pt idx="12">
                  <c:v>5.6843418860808015E-14</c:v>
                </c:pt>
                <c:pt idx="13">
                  <c:v>5.6843418860808015E-14</c:v>
                </c:pt>
                <c:pt idx="14">
                  <c:v>5.6843418860808015E-14</c:v>
                </c:pt>
                <c:pt idx="15">
                  <c:v>5.6843418860808015E-14</c:v>
                </c:pt>
                <c:pt idx="16">
                  <c:v>5.6843418860808015E-14</c:v>
                </c:pt>
              </c:numCache>
            </c:numRef>
          </c:yVal>
          <c:smooth val="0"/>
          <c:extLst>
            <c:ext xmlns:c16="http://schemas.microsoft.com/office/drawing/2014/chart" uri="{C3380CC4-5D6E-409C-BE32-E72D297353CC}">
              <c16:uniqueId val="{00000001-788F-46C9-85AA-60CBD747E902}"/>
            </c:ext>
          </c:extLst>
        </c:ser>
        <c:dLbls>
          <c:showLegendKey val="0"/>
          <c:showVal val="0"/>
          <c:showCatName val="0"/>
          <c:showSerName val="0"/>
          <c:showPercent val="0"/>
          <c:showBubbleSize val="0"/>
        </c:dLbls>
        <c:axId val="1803607151"/>
        <c:axId val="1591222975"/>
      </c:scatterChart>
      <c:valAx>
        <c:axId val="1803607151"/>
        <c:scaling>
          <c:orientation val="minMax"/>
          <c:min val="300"/>
        </c:scaling>
        <c:delete val="0"/>
        <c:axPos val="b"/>
        <c:title>
          <c:tx>
            <c:rich>
              <a:bodyPr/>
              <a:lstStyle/>
              <a:p>
                <a:pPr>
                  <a:defRPr/>
                </a:pPr>
                <a:r>
                  <a:rPr lang="en-NZ"/>
                  <a:t>R10</a:t>
                </a:r>
              </a:p>
            </c:rich>
          </c:tx>
          <c:overlay val="0"/>
        </c:title>
        <c:numFmt formatCode="General" sourceLinked="1"/>
        <c:majorTickMark val="out"/>
        <c:minorTickMark val="none"/>
        <c:tickLblPos val="nextTo"/>
        <c:crossAx val="1591222975"/>
        <c:crosses val="autoZero"/>
        <c:crossBetween val="midCat"/>
      </c:valAx>
      <c:valAx>
        <c:axId val="1591222975"/>
        <c:scaling>
          <c:orientation val="minMax"/>
        </c:scaling>
        <c:delete val="0"/>
        <c:axPos val="l"/>
        <c:title>
          <c:tx>
            <c:rich>
              <a:bodyPr/>
              <a:lstStyle/>
              <a:p>
                <a:pPr>
                  <a:defRPr/>
                </a:pPr>
                <a:r>
                  <a:rPr lang="en-NZ"/>
                  <a:t>Residuals</a:t>
                </a:r>
              </a:p>
            </c:rich>
          </c:tx>
          <c:overlay val="0"/>
        </c:title>
        <c:numFmt formatCode="General" sourceLinked="1"/>
        <c:majorTickMark val="out"/>
        <c:minorTickMark val="none"/>
        <c:tickLblPos val="nextTo"/>
        <c:crossAx val="18036071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Raster</c:v>
          </c:tx>
          <c:spPr>
            <a:ln w="28575">
              <a:noFill/>
            </a:ln>
          </c:spPr>
          <c:trendline>
            <c:trendlineType val="linear"/>
            <c:dispRSqr val="1"/>
            <c:dispEq val="1"/>
            <c:trendlineLbl>
              <c:layout>
                <c:manualLayout>
                  <c:x val="-0.34398769703171012"/>
                  <c:y val="-6.7006330091091558E-4"/>
                </c:manualLayout>
              </c:layout>
              <c:numFmt formatCode="General" sourceLinked="0"/>
              <c:txPr>
                <a:bodyPr/>
                <a:lstStyle/>
                <a:p>
                  <a:pPr>
                    <a:defRPr sz="1200"/>
                  </a:pPr>
                  <a:endParaRPr lang="en-US"/>
                </a:p>
              </c:txPr>
            </c:trendlineLbl>
          </c:trendline>
          <c:xVal>
            <c:numRef>
              <c:f>'SfM check points'!$N$47:$N$63</c:f>
              <c:numCache>
                <c:formatCode>General</c:formatCode>
                <c:ptCount val="17"/>
                <c:pt idx="0">
                  <c:v>438.93248699999998</c:v>
                </c:pt>
                <c:pt idx="1">
                  <c:v>430.39842899999996</c:v>
                </c:pt>
                <c:pt idx="2">
                  <c:v>421.82415199999997</c:v>
                </c:pt>
                <c:pt idx="3">
                  <c:v>414.602216</c:v>
                </c:pt>
                <c:pt idx="4">
                  <c:v>421.36897499999998</c:v>
                </c:pt>
                <c:pt idx="5">
                  <c:v>402.93260099999998</c:v>
                </c:pt>
                <c:pt idx="6" formatCode="0.000">
                  <c:v>401.02715699999999</c:v>
                </c:pt>
                <c:pt idx="7" formatCode="0.000">
                  <c:v>405.81480199999999</c:v>
                </c:pt>
                <c:pt idx="8" formatCode="0.000">
                  <c:v>390.143595</c:v>
                </c:pt>
                <c:pt idx="9">
                  <c:v>398.23669200000001</c:v>
                </c:pt>
                <c:pt idx="10">
                  <c:v>392.21230099999997</c:v>
                </c:pt>
                <c:pt idx="11">
                  <c:v>383.23942499999998</c:v>
                </c:pt>
                <c:pt idx="12">
                  <c:v>311.83784600000001</c:v>
                </c:pt>
                <c:pt idx="13">
                  <c:v>304.54637600000001</c:v>
                </c:pt>
                <c:pt idx="14">
                  <c:v>326.978205</c:v>
                </c:pt>
                <c:pt idx="15">
                  <c:v>316.78834899999998</c:v>
                </c:pt>
                <c:pt idx="16">
                  <c:v>314.45709299999999</c:v>
                </c:pt>
              </c:numCache>
            </c:numRef>
          </c:xVal>
          <c:yVal>
            <c:numRef>
              <c:f>'SfM check points'!$O$47:$O$63</c:f>
              <c:numCache>
                <c:formatCode>General</c:formatCode>
                <c:ptCount val="17"/>
                <c:pt idx="0">
                  <c:v>438.98248699999999</c:v>
                </c:pt>
                <c:pt idx="1">
                  <c:v>430.44842899999998</c:v>
                </c:pt>
                <c:pt idx="2">
                  <c:v>421.87415199999998</c:v>
                </c:pt>
                <c:pt idx="3">
                  <c:v>414.65221600000001</c:v>
                </c:pt>
                <c:pt idx="4">
                  <c:v>421.41897499999999</c:v>
                </c:pt>
                <c:pt idx="5">
                  <c:v>402.98260099999999</c:v>
                </c:pt>
                <c:pt idx="6">
                  <c:v>401.077157</c:v>
                </c:pt>
                <c:pt idx="7">
                  <c:v>405.864802</c:v>
                </c:pt>
                <c:pt idx="8">
                  <c:v>390.19359500000002</c:v>
                </c:pt>
                <c:pt idx="9">
                  <c:v>398.28669200000002</c:v>
                </c:pt>
                <c:pt idx="10">
                  <c:v>392.26230099999998</c:v>
                </c:pt>
                <c:pt idx="11">
                  <c:v>383.28942499999999</c:v>
                </c:pt>
                <c:pt idx="12">
                  <c:v>311.88784600000002</c:v>
                </c:pt>
                <c:pt idx="13">
                  <c:v>304.59637600000002</c:v>
                </c:pt>
                <c:pt idx="14">
                  <c:v>327.02820500000001</c:v>
                </c:pt>
                <c:pt idx="15">
                  <c:v>316.83834899999999</c:v>
                </c:pt>
                <c:pt idx="16">
                  <c:v>314.507093</c:v>
                </c:pt>
              </c:numCache>
            </c:numRef>
          </c:yVal>
          <c:smooth val="0"/>
          <c:extLst>
            <c:ext xmlns:c16="http://schemas.microsoft.com/office/drawing/2014/chart" uri="{C3380CC4-5D6E-409C-BE32-E72D297353CC}">
              <c16:uniqueId val="{00000001-BD79-4261-A672-BB078E30EAE8}"/>
            </c:ext>
          </c:extLst>
        </c:ser>
        <c:dLbls>
          <c:showLegendKey val="0"/>
          <c:showVal val="0"/>
          <c:showCatName val="0"/>
          <c:showSerName val="0"/>
          <c:showPercent val="0"/>
          <c:showBubbleSize val="0"/>
        </c:dLbls>
        <c:axId val="1803604751"/>
        <c:axId val="1791299887"/>
      </c:scatterChart>
      <c:valAx>
        <c:axId val="1803604751"/>
        <c:scaling>
          <c:orientation val="minMax"/>
          <c:min val="300"/>
        </c:scaling>
        <c:delete val="0"/>
        <c:axPos val="b"/>
        <c:title>
          <c:tx>
            <c:rich>
              <a:bodyPr/>
              <a:lstStyle/>
              <a:p>
                <a:pPr>
                  <a:defRPr/>
                </a:pPr>
                <a:r>
                  <a:rPr lang="en-NZ"/>
                  <a:t>R10</a:t>
                </a:r>
              </a:p>
            </c:rich>
          </c:tx>
          <c:overlay val="0"/>
        </c:title>
        <c:numFmt formatCode="General" sourceLinked="1"/>
        <c:majorTickMark val="out"/>
        <c:minorTickMark val="none"/>
        <c:tickLblPos val="nextTo"/>
        <c:crossAx val="1791299887"/>
        <c:crosses val="autoZero"/>
        <c:crossBetween val="midCat"/>
      </c:valAx>
      <c:valAx>
        <c:axId val="1791299887"/>
        <c:scaling>
          <c:orientation val="minMax"/>
          <c:min val="300"/>
        </c:scaling>
        <c:delete val="0"/>
        <c:axPos val="l"/>
        <c:title>
          <c:tx>
            <c:rich>
              <a:bodyPr/>
              <a:lstStyle/>
              <a:p>
                <a:pPr>
                  <a:defRPr/>
                </a:pPr>
                <a:r>
                  <a:rPr lang="en-NZ"/>
                  <a:t>Raster</a:t>
                </a:r>
              </a:p>
            </c:rich>
          </c:tx>
          <c:overlay val="0"/>
        </c:title>
        <c:numFmt formatCode="General" sourceLinked="1"/>
        <c:majorTickMark val="out"/>
        <c:minorTickMark val="none"/>
        <c:tickLblPos val="nextTo"/>
        <c:crossAx val="18036047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a:noFill/>
            </a:ln>
          </c:spPr>
          <c:xVal>
            <c:numRef>
              <c:f>'SfM check points'!$T$49:$T$61</c:f>
              <c:numCache>
                <c:formatCode>General</c:formatCode>
                <c:ptCount val="13"/>
                <c:pt idx="0">
                  <c:v>430.41637950000001</c:v>
                </c:pt>
                <c:pt idx="1">
                  <c:v>421.8580235</c:v>
                </c:pt>
                <c:pt idx="2">
                  <c:v>414.62479350000001</c:v>
                </c:pt>
                <c:pt idx="3">
                  <c:v>421.39187649999997</c:v>
                </c:pt>
                <c:pt idx="4">
                  <c:v>402.93796549999996</c:v>
                </c:pt>
                <c:pt idx="5">
                  <c:v>401.02795049999997</c:v>
                </c:pt>
                <c:pt idx="6">
                  <c:v>405.84742349999999</c:v>
                </c:pt>
                <c:pt idx="7">
                  <c:v>390.11113599999999</c:v>
                </c:pt>
                <c:pt idx="8">
                  <c:v>398.14483250000001</c:v>
                </c:pt>
                <c:pt idx="9">
                  <c:v>392.21311700000001</c:v>
                </c:pt>
                <c:pt idx="10">
                  <c:v>382.93592000000001</c:v>
                </c:pt>
                <c:pt idx="11">
                  <c:v>375.94901599999997</c:v>
                </c:pt>
                <c:pt idx="12">
                  <c:v>359.55111849999997</c:v>
                </c:pt>
              </c:numCache>
            </c:numRef>
          </c:xVal>
          <c:yVal>
            <c:numRef>
              <c:f>'SfM check points'!$Y$93:$Y$105</c:f>
              <c:numCache>
                <c:formatCode>General</c:formatCode>
                <c:ptCount val="13"/>
                <c:pt idx="0">
                  <c:v>0.12225223602177948</c:v>
                </c:pt>
                <c:pt idx="1">
                  <c:v>-1.8335239207431187E-2</c:v>
                </c:pt>
                <c:pt idx="2">
                  <c:v>-0.2894267089690743</c:v>
                </c:pt>
                <c:pt idx="3">
                  <c:v>-0.18346343493277573</c:v>
                </c:pt>
                <c:pt idx="4">
                  <c:v>0.28584653973530294</c:v>
                </c:pt>
                <c:pt idx="5">
                  <c:v>-0.10877237543195406</c:v>
                </c:pt>
                <c:pt idx="6">
                  <c:v>-6.756930292067409E-2</c:v>
                </c:pt>
                <c:pt idx="7">
                  <c:v>-7.0080444554605492E-2</c:v>
                </c:pt>
                <c:pt idx="8">
                  <c:v>7.7917645606021324E-2</c:v>
                </c:pt>
                <c:pt idx="9">
                  <c:v>-1.9387656950300425E-2</c:v>
                </c:pt>
                <c:pt idx="10">
                  <c:v>0.30780444950886476</c:v>
                </c:pt>
                <c:pt idx="11">
                  <c:v>0.13970728127662824</c:v>
                </c:pt>
                <c:pt idx="12">
                  <c:v>-0.13014256290369985</c:v>
                </c:pt>
              </c:numCache>
            </c:numRef>
          </c:yVal>
          <c:smooth val="0"/>
          <c:extLst>
            <c:ext xmlns:c16="http://schemas.microsoft.com/office/drawing/2014/chart" uri="{C3380CC4-5D6E-409C-BE32-E72D297353CC}">
              <c16:uniqueId val="{00000001-28BA-4AC2-A068-68F8B3BBF8B1}"/>
            </c:ext>
          </c:extLst>
        </c:ser>
        <c:dLbls>
          <c:showLegendKey val="0"/>
          <c:showVal val="0"/>
          <c:showCatName val="0"/>
          <c:showSerName val="0"/>
          <c:showPercent val="0"/>
          <c:showBubbleSize val="0"/>
        </c:dLbls>
        <c:axId val="1786374655"/>
        <c:axId val="1804796735"/>
      </c:scatterChart>
      <c:valAx>
        <c:axId val="1786374655"/>
        <c:scaling>
          <c:orientation val="minMax"/>
        </c:scaling>
        <c:delete val="0"/>
        <c:axPos val="b"/>
        <c:title>
          <c:tx>
            <c:rich>
              <a:bodyPr/>
              <a:lstStyle/>
              <a:p>
                <a:pPr>
                  <a:defRPr/>
                </a:pPr>
                <a:r>
                  <a:rPr lang="en-NZ"/>
                  <a:t>R10</a:t>
                </a:r>
              </a:p>
            </c:rich>
          </c:tx>
          <c:overlay val="0"/>
        </c:title>
        <c:numFmt formatCode="General" sourceLinked="1"/>
        <c:majorTickMark val="out"/>
        <c:minorTickMark val="none"/>
        <c:tickLblPos val="nextTo"/>
        <c:crossAx val="1804796735"/>
        <c:crosses val="autoZero"/>
        <c:crossBetween val="midCat"/>
      </c:valAx>
      <c:valAx>
        <c:axId val="1804796735"/>
        <c:scaling>
          <c:orientation val="minMax"/>
        </c:scaling>
        <c:delete val="0"/>
        <c:axPos val="l"/>
        <c:title>
          <c:tx>
            <c:rich>
              <a:bodyPr/>
              <a:lstStyle/>
              <a:p>
                <a:pPr>
                  <a:defRPr/>
                </a:pPr>
                <a:r>
                  <a:rPr lang="en-NZ"/>
                  <a:t>Residuals</a:t>
                </a:r>
              </a:p>
            </c:rich>
          </c:tx>
          <c:overlay val="0"/>
        </c:title>
        <c:numFmt formatCode="General" sourceLinked="1"/>
        <c:majorTickMark val="out"/>
        <c:minorTickMark val="none"/>
        <c:tickLblPos val="nextTo"/>
        <c:crossAx val="178637465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a:noFill/>
            </a:ln>
          </c:spPr>
          <c:trendline>
            <c:trendlineType val="linear"/>
            <c:dispRSqr val="1"/>
            <c:dispEq val="1"/>
            <c:trendlineLbl>
              <c:layout>
                <c:manualLayout>
                  <c:x val="-0.15814530417500075"/>
                  <c:y val="-2.0081033560125371E-2"/>
                </c:manualLayout>
              </c:layout>
              <c:numFmt formatCode="General" sourceLinked="0"/>
            </c:trendlineLbl>
          </c:trendline>
          <c:xVal>
            <c:numRef>
              <c:f>'SfM check points'!$T$49:$T$61</c:f>
              <c:numCache>
                <c:formatCode>General</c:formatCode>
                <c:ptCount val="13"/>
                <c:pt idx="0">
                  <c:v>430.41637950000001</c:v>
                </c:pt>
                <c:pt idx="1">
                  <c:v>421.8580235</c:v>
                </c:pt>
                <c:pt idx="2">
                  <c:v>414.62479350000001</c:v>
                </c:pt>
                <c:pt idx="3">
                  <c:v>421.39187649999997</c:v>
                </c:pt>
                <c:pt idx="4">
                  <c:v>402.93796549999996</c:v>
                </c:pt>
                <c:pt idx="5">
                  <c:v>401.02795049999997</c:v>
                </c:pt>
                <c:pt idx="6">
                  <c:v>405.84742349999999</c:v>
                </c:pt>
                <c:pt idx="7">
                  <c:v>390.11113599999999</c:v>
                </c:pt>
                <c:pt idx="8">
                  <c:v>398.14483250000001</c:v>
                </c:pt>
                <c:pt idx="9">
                  <c:v>392.21311700000001</c:v>
                </c:pt>
                <c:pt idx="10">
                  <c:v>382.93592000000001</c:v>
                </c:pt>
                <c:pt idx="11">
                  <c:v>375.94901599999997</c:v>
                </c:pt>
                <c:pt idx="12">
                  <c:v>359.55111849999997</c:v>
                </c:pt>
              </c:numCache>
            </c:numRef>
          </c:xVal>
          <c:yVal>
            <c:numRef>
              <c:f>'SfM check points'!$U$49:$U$61</c:f>
              <c:numCache>
                <c:formatCode>General</c:formatCode>
                <c:ptCount val="13"/>
                <c:pt idx="0">
                  <c:v>430.38729858400001</c:v>
                </c:pt>
                <c:pt idx="1">
                  <c:v>421.55569458000002</c:v>
                </c:pt>
                <c:pt idx="2">
                  <c:v>414.426605225</c:v>
                </c:pt>
                <c:pt idx="3">
                  <c:v>421.66470336899999</c:v>
                </c:pt>
                <c:pt idx="4">
                  <c:v>402.81152343799999</c:v>
                </c:pt>
                <c:pt idx="5">
                  <c:v>400.942230225</c:v>
                </c:pt>
                <c:pt idx="6">
                  <c:v>405.76040649399999</c:v>
                </c:pt>
                <c:pt idx="7">
                  <c:v>390.16815185500002</c:v>
                </c:pt>
                <c:pt idx="8">
                  <c:v>398.10656738300003</c:v>
                </c:pt>
                <c:pt idx="9">
                  <c:v>392.50054931599999</c:v>
                </c:pt>
                <c:pt idx="10">
                  <c:v>383.05291748000002</c:v>
                </c:pt>
                <c:pt idx="11">
                  <c:v>375.79440307599998</c:v>
                </c:pt>
                <c:pt idx="12">
                  <c:v>359.47616577100001</c:v>
                </c:pt>
              </c:numCache>
            </c:numRef>
          </c:yVal>
          <c:smooth val="0"/>
          <c:extLst>
            <c:ext xmlns:c16="http://schemas.microsoft.com/office/drawing/2014/chart" uri="{C3380CC4-5D6E-409C-BE32-E72D297353CC}">
              <c16:uniqueId val="{00000001-3B84-4933-8047-E92FF87C462E}"/>
            </c:ext>
          </c:extLst>
        </c:ser>
        <c:dLbls>
          <c:showLegendKey val="0"/>
          <c:showVal val="0"/>
          <c:showCatName val="0"/>
          <c:showSerName val="0"/>
          <c:showPercent val="0"/>
          <c:showBubbleSize val="0"/>
        </c:dLbls>
        <c:axId val="1711593599"/>
        <c:axId val="1673350511"/>
      </c:scatterChart>
      <c:valAx>
        <c:axId val="1711593599"/>
        <c:scaling>
          <c:orientation val="minMax"/>
          <c:min val="350"/>
        </c:scaling>
        <c:delete val="0"/>
        <c:axPos val="b"/>
        <c:title>
          <c:tx>
            <c:rich>
              <a:bodyPr/>
              <a:lstStyle/>
              <a:p>
                <a:pPr>
                  <a:defRPr/>
                </a:pPr>
                <a:r>
                  <a:rPr lang="en-NZ"/>
                  <a:t>R10</a:t>
                </a:r>
              </a:p>
            </c:rich>
          </c:tx>
          <c:overlay val="0"/>
        </c:title>
        <c:numFmt formatCode="General" sourceLinked="1"/>
        <c:majorTickMark val="out"/>
        <c:minorTickMark val="none"/>
        <c:tickLblPos val="nextTo"/>
        <c:crossAx val="1673350511"/>
        <c:crosses val="autoZero"/>
        <c:crossBetween val="midCat"/>
      </c:valAx>
      <c:valAx>
        <c:axId val="1673350511"/>
        <c:scaling>
          <c:orientation val="minMax"/>
          <c:min val="350"/>
        </c:scaling>
        <c:delete val="0"/>
        <c:axPos val="l"/>
        <c:title>
          <c:tx>
            <c:rich>
              <a:bodyPr/>
              <a:lstStyle/>
              <a:p>
                <a:pPr>
                  <a:defRPr/>
                </a:pPr>
                <a:r>
                  <a:rPr lang="en-NZ"/>
                  <a:t>Raster</a:t>
                </a:r>
              </a:p>
            </c:rich>
          </c:tx>
          <c:overlay val="0"/>
        </c:title>
        <c:numFmt formatCode="General" sourceLinked="1"/>
        <c:majorTickMark val="out"/>
        <c:minorTickMark val="none"/>
        <c:tickLblPos val="nextTo"/>
        <c:crossAx val="17115935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3" Type="http://schemas.openxmlformats.org/officeDocument/2006/relationships/chart" Target="../charts/chart32.xml"/><Relationship Id="rId18" Type="http://schemas.openxmlformats.org/officeDocument/2006/relationships/chart" Target="../charts/chart37.xml"/><Relationship Id="rId26" Type="http://schemas.openxmlformats.org/officeDocument/2006/relationships/chart" Target="../charts/chart45.xml"/><Relationship Id="rId3" Type="http://schemas.openxmlformats.org/officeDocument/2006/relationships/chart" Target="../charts/chart22.xml"/><Relationship Id="rId21" Type="http://schemas.openxmlformats.org/officeDocument/2006/relationships/chart" Target="../charts/chart40.xml"/><Relationship Id="rId34" Type="http://schemas.openxmlformats.org/officeDocument/2006/relationships/chart" Target="../charts/chart53.xml"/><Relationship Id="rId7" Type="http://schemas.openxmlformats.org/officeDocument/2006/relationships/chart" Target="../charts/chart26.xml"/><Relationship Id="rId12" Type="http://schemas.openxmlformats.org/officeDocument/2006/relationships/chart" Target="../charts/chart31.xml"/><Relationship Id="rId17" Type="http://schemas.openxmlformats.org/officeDocument/2006/relationships/chart" Target="../charts/chart36.xml"/><Relationship Id="rId25" Type="http://schemas.openxmlformats.org/officeDocument/2006/relationships/chart" Target="../charts/chart44.xml"/><Relationship Id="rId33" Type="http://schemas.openxmlformats.org/officeDocument/2006/relationships/chart" Target="../charts/chart52.xml"/><Relationship Id="rId2" Type="http://schemas.openxmlformats.org/officeDocument/2006/relationships/chart" Target="../charts/chart21.xml"/><Relationship Id="rId16" Type="http://schemas.openxmlformats.org/officeDocument/2006/relationships/chart" Target="../charts/chart35.xml"/><Relationship Id="rId20" Type="http://schemas.openxmlformats.org/officeDocument/2006/relationships/chart" Target="../charts/chart39.xml"/><Relationship Id="rId29" Type="http://schemas.openxmlformats.org/officeDocument/2006/relationships/chart" Target="../charts/chart48.xml"/><Relationship Id="rId1" Type="http://schemas.openxmlformats.org/officeDocument/2006/relationships/chart" Target="../charts/chart20.xml"/><Relationship Id="rId6" Type="http://schemas.openxmlformats.org/officeDocument/2006/relationships/chart" Target="../charts/chart25.xml"/><Relationship Id="rId11" Type="http://schemas.openxmlformats.org/officeDocument/2006/relationships/chart" Target="../charts/chart30.xml"/><Relationship Id="rId24" Type="http://schemas.openxmlformats.org/officeDocument/2006/relationships/chart" Target="../charts/chart43.xml"/><Relationship Id="rId32" Type="http://schemas.openxmlformats.org/officeDocument/2006/relationships/chart" Target="../charts/chart51.xml"/><Relationship Id="rId5" Type="http://schemas.openxmlformats.org/officeDocument/2006/relationships/chart" Target="../charts/chart24.xml"/><Relationship Id="rId15" Type="http://schemas.openxmlformats.org/officeDocument/2006/relationships/chart" Target="../charts/chart34.xml"/><Relationship Id="rId23" Type="http://schemas.openxmlformats.org/officeDocument/2006/relationships/chart" Target="../charts/chart42.xml"/><Relationship Id="rId28" Type="http://schemas.openxmlformats.org/officeDocument/2006/relationships/chart" Target="../charts/chart47.xml"/><Relationship Id="rId10" Type="http://schemas.openxmlformats.org/officeDocument/2006/relationships/chart" Target="../charts/chart29.xml"/><Relationship Id="rId19" Type="http://schemas.openxmlformats.org/officeDocument/2006/relationships/chart" Target="../charts/chart38.xml"/><Relationship Id="rId31" Type="http://schemas.openxmlformats.org/officeDocument/2006/relationships/chart" Target="../charts/chart50.xml"/><Relationship Id="rId4" Type="http://schemas.openxmlformats.org/officeDocument/2006/relationships/chart" Target="../charts/chart23.xml"/><Relationship Id="rId9" Type="http://schemas.openxmlformats.org/officeDocument/2006/relationships/chart" Target="../charts/chart28.xml"/><Relationship Id="rId14" Type="http://schemas.openxmlformats.org/officeDocument/2006/relationships/chart" Target="../charts/chart33.xml"/><Relationship Id="rId22" Type="http://schemas.openxmlformats.org/officeDocument/2006/relationships/chart" Target="../charts/chart41.xml"/><Relationship Id="rId27" Type="http://schemas.openxmlformats.org/officeDocument/2006/relationships/chart" Target="../charts/chart46.xml"/><Relationship Id="rId30" Type="http://schemas.openxmlformats.org/officeDocument/2006/relationships/chart" Target="../charts/chart49.xml"/><Relationship Id="rId8" Type="http://schemas.openxmlformats.org/officeDocument/2006/relationships/chart" Target="../charts/chart2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6.xml"/><Relationship Id="rId2" Type="http://schemas.openxmlformats.org/officeDocument/2006/relationships/chart" Target="../charts/chart55.xml"/><Relationship Id="rId1" Type="http://schemas.openxmlformats.org/officeDocument/2006/relationships/chart" Target="../charts/chart54.xml"/><Relationship Id="rId6" Type="http://schemas.openxmlformats.org/officeDocument/2006/relationships/chart" Target="../charts/chart59.xml"/><Relationship Id="rId5" Type="http://schemas.openxmlformats.org/officeDocument/2006/relationships/chart" Target="../charts/chart58.xml"/><Relationship Id="rId4" Type="http://schemas.openxmlformats.org/officeDocument/2006/relationships/chart" Target="../charts/chart57.xml"/></Relationships>
</file>

<file path=xl/drawings/drawing1.xml><?xml version="1.0" encoding="utf-8"?>
<xdr:wsDr xmlns:xdr="http://schemas.openxmlformats.org/drawingml/2006/spreadsheetDrawing" xmlns:a="http://schemas.openxmlformats.org/drawingml/2006/main">
  <xdr:twoCellAnchor>
    <xdr:from>
      <xdr:col>16</xdr:col>
      <xdr:colOff>426720</xdr:colOff>
      <xdr:row>1</xdr:row>
      <xdr:rowOff>95250</xdr:rowOff>
    </xdr:from>
    <xdr:to>
      <xdr:col>21</xdr:col>
      <xdr:colOff>0</xdr:colOff>
      <xdr:row>13</xdr:row>
      <xdr:rowOff>160020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291465</xdr:colOff>
      <xdr:row>6</xdr:row>
      <xdr:rowOff>108585</xdr:rowOff>
    </xdr:from>
    <xdr:to>
      <xdr:col>22</xdr:col>
      <xdr:colOff>9525</xdr:colOff>
      <xdr:row>18</xdr:row>
      <xdr:rowOff>150495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281940</xdr:colOff>
      <xdr:row>16</xdr:row>
      <xdr:rowOff>72390</xdr:rowOff>
    </xdr:from>
    <xdr:to>
      <xdr:col>13</xdr:col>
      <xdr:colOff>99060</xdr:colOff>
      <xdr:row>28</xdr:row>
      <xdr:rowOff>167640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234315</xdr:colOff>
      <xdr:row>28</xdr:row>
      <xdr:rowOff>7620</xdr:rowOff>
    </xdr:from>
    <xdr:to>
      <xdr:col>18</xdr:col>
      <xdr:colOff>226695</xdr:colOff>
      <xdr:row>39</xdr:row>
      <xdr:rowOff>95250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217170</xdr:colOff>
      <xdr:row>28</xdr:row>
      <xdr:rowOff>22860</xdr:rowOff>
    </xdr:from>
    <xdr:to>
      <xdr:col>22</xdr:col>
      <xdr:colOff>110490</xdr:colOff>
      <xdr:row>39</xdr:row>
      <xdr:rowOff>99060</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38100</xdr:colOff>
      <xdr:row>44</xdr:row>
      <xdr:rowOff>91440</xdr:rowOff>
    </xdr:from>
    <xdr:to>
      <xdr:col>12</xdr:col>
      <xdr:colOff>464820</xdr:colOff>
      <xdr:row>57</xdr:row>
      <xdr:rowOff>3810</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59</xdr:row>
      <xdr:rowOff>3810</xdr:rowOff>
    </xdr:from>
    <xdr:to>
      <xdr:col>17</xdr:col>
      <xdr:colOff>601980</xdr:colOff>
      <xdr:row>69</xdr:row>
      <xdr:rowOff>91440</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30480</xdr:colOff>
      <xdr:row>59</xdr:row>
      <xdr:rowOff>0</xdr:rowOff>
    </xdr:from>
    <xdr:to>
      <xdr:col>21</xdr:col>
      <xdr:colOff>533400</xdr:colOff>
      <xdr:row>69</xdr:row>
      <xdr:rowOff>76200</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73</xdr:row>
      <xdr:rowOff>0</xdr:rowOff>
    </xdr:from>
    <xdr:to>
      <xdr:col>12</xdr:col>
      <xdr:colOff>426720</xdr:colOff>
      <xdr:row>85</xdr:row>
      <xdr:rowOff>95250</xdr:rowOff>
    </xdr:to>
    <xdr:graphicFrame macro="">
      <xdr:nvGraphicFramePr>
        <xdr:cNvPr id="13" name="Chart 12">
          <a:extLst>
            <a:ext uri="{FF2B5EF4-FFF2-40B4-BE49-F238E27FC236}">
              <a16:creationId xmlns:a16="http://schemas.microsoft.com/office/drawing/2014/main" id="{00000000-0008-0000-01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0</xdr:colOff>
      <xdr:row>88</xdr:row>
      <xdr:rowOff>3810</xdr:rowOff>
    </xdr:from>
    <xdr:to>
      <xdr:col>16</xdr:col>
      <xdr:colOff>601980</xdr:colOff>
      <xdr:row>98</xdr:row>
      <xdr:rowOff>91440</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30480</xdr:colOff>
      <xdr:row>88</xdr:row>
      <xdr:rowOff>0</xdr:rowOff>
    </xdr:from>
    <xdr:to>
      <xdr:col>20</xdr:col>
      <xdr:colOff>533400</xdr:colOff>
      <xdr:row>98</xdr:row>
      <xdr:rowOff>76200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30480</xdr:colOff>
      <xdr:row>103</xdr:row>
      <xdr:rowOff>22860</xdr:rowOff>
    </xdr:from>
    <xdr:to>
      <xdr:col>12</xdr:col>
      <xdr:colOff>457200</xdr:colOff>
      <xdr:row>115</xdr:row>
      <xdr:rowOff>118110</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579120</xdr:colOff>
      <xdr:row>118</xdr:row>
      <xdr:rowOff>3810</xdr:rowOff>
    </xdr:from>
    <xdr:to>
      <xdr:col>16</xdr:col>
      <xdr:colOff>571500</xdr:colOff>
      <xdr:row>128</xdr:row>
      <xdr:rowOff>91440</xdr:rowOff>
    </xdr:to>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0</xdr:colOff>
      <xdr:row>118</xdr:row>
      <xdr:rowOff>0</xdr:rowOff>
    </xdr:from>
    <xdr:to>
      <xdr:col>20</xdr:col>
      <xdr:colOff>502920</xdr:colOff>
      <xdr:row>128</xdr:row>
      <xdr:rowOff>76200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99060</xdr:colOff>
      <xdr:row>131</xdr:row>
      <xdr:rowOff>38100</xdr:rowOff>
    </xdr:from>
    <xdr:to>
      <xdr:col>12</xdr:col>
      <xdr:colOff>525780</xdr:colOff>
      <xdr:row>143</xdr:row>
      <xdr:rowOff>133350</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601980</xdr:colOff>
      <xdr:row>147</xdr:row>
      <xdr:rowOff>163830</xdr:rowOff>
    </xdr:from>
    <xdr:to>
      <xdr:col>16</xdr:col>
      <xdr:colOff>594360</xdr:colOff>
      <xdr:row>157</xdr:row>
      <xdr:rowOff>68580</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22860</xdr:colOff>
      <xdr:row>147</xdr:row>
      <xdr:rowOff>160020</xdr:rowOff>
    </xdr:from>
    <xdr:to>
      <xdr:col>24</xdr:col>
      <xdr:colOff>381000</xdr:colOff>
      <xdr:row>157</xdr:row>
      <xdr:rowOff>53340</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121920</xdr:colOff>
      <xdr:row>160</xdr:row>
      <xdr:rowOff>15240</xdr:rowOff>
    </xdr:from>
    <xdr:to>
      <xdr:col>12</xdr:col>
      <xdr:colOff>548640</xdr:colOff>
      <xdr:row>172</xdr:row>
      <xdr:rowOff>110490</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213360</xdr:colOff>
      <xdr:row>158</xdr:row>
      <xdr:rowOff>26670</xdr:rowOff>
    </xdr:from>
    <xdr:to>
      <xdr:col>24</xdr:col>
      <xdr:colOff>30480</xdr:colOff>
      <xdr:row>166</xdr:row>
      <xdr:rowOff>0</xdr:rowOff>
    </xdr:to>
    <xdr:graphicFrame macro="">
      <xdr:nvGraphicFramePr>
        <xdr:cNvPr id="23" name="Chart 22">
          <a:extLst>
            <a:ext uri="{FF2B5EF4-FFF2-40B4-BE49-F238E27FC236}">
              <a16:creationId xmlns:a16="http://schemas.microsoft.com/office/drawing/2014/main" id="{00000000-0008-0000-01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202851</xdr:colOff>
      <xdr:row>39</xdr:row>
      <xdr:rowOff>103019</xdr:rowOff>
    </xdr:from>
    <xdr:to>
      <xdr:col>11</xdr:col>
      <xdr:colOff>600845</xdr:colOff>
      <xdr:row>52</xdr:row>
      <xdr:rowOff>7769</xdr:rowOff>
    </xdr:to>
    <xdr:graphicFrame macro="">
      <xdr:nvGraphicFramePr>
        <xdr:cNvPr id="3" name="Chart 2">
          <a:extLst>
            <a:ext uri="{FF2B5EF4-FFF2-40B4-BE49-F238E27FC236}">
              <a16:creationId xmlns:a16="http://schemas.microsoft.com/office/drawing/2014/main" id="{87811EF5-717F-414B-850D-BD9EF5016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48</xdr:col>
      <xdr:colOff>257736</xdr:colOff>
      <xdr:row>24</xdr:row>
      <xdr:rowOff>156882</xdr:rowOff>
    </xdr:from>
    <xdr:to>
      <xdr:col>60</xdr:col>
      <xdr:colOff>46747</xdr:colOff>
      <xdr:row>37</xdr:row>
      <xdr:rowOff>39220</xdr:rowOff>
    </xdr:to>
    <xdr:graphicFrame macro="">
      <xdr:nvGraphicFramePr>
        <xdr:cNvPr id="5" name="Chart 4">
          <a:extLst>
            <a:ext uri="{FF2B5EF4-FFF2-40B4-BE49-F238E27FC236}">
              <a16:creationId xmlns:a16="http://schemas.microsoft.com/office/drawing/2014/main" id="{608953AA-C0F7-4704-971F-05D973D6B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48</xdr:col>
      <xdr:colOff>224118</xdr:colOff>
      <xdr:row>42</xdr:row>
      <xdr:rowOff>11206</xdr:rowOff>
    </xdr:from>
    <xdr:to>
      <xdr:col>60</xdr:col>
      <xdr:colOff>13129</xdr:colOff>
      <xdr:row>54</xdr:row>
      <xdr:rowOff>84044</xdr:rowOff>
    </xdr:to>
    <xdr:graphicFrame macro="">
      <xdr:nvGraphicFramePr>
        <xdr:cNvPr id="6" name="Chart 5">
          <a:extLst>
            <a:ext uri="{FF2B5EF4-FFF2-40B4-BE49-F238E27FC236}">
              <a16:creationId xmlns:a16="http://schemas.microsoft.com/office/drawing/2014/main" id="{A31DDEC1-15BB-4ACD-91DA-9226834A4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179294</xdr:colOff>
      <xdr:row>57</xdr:row>
      <xdr:rowOff>0</xdr:rowOff>
    </xdr:from>
    <xdr:to>
      <xdr:col>59</xdr:col>
      <xdr:colOff>573423</xdr:colOff>
      <xdr:row>69</xdr:row>
      <xdr:rowOff>72838</xdr:rowOff>
    </xdr:to>
    <xdr:graphicFrame macro="">
      <xdr:nvGraphicFramePr>
        <xdr:cNvPr id="8" name="Chart 7">
          <a:extLst>
            <a:ext uri="{FF2B5EF4-FFF2-40B4-BE49-F238E27FC236}">
              <a16:creationId xmlns:a16="http://schemas.microsoft.com/office/drawing/2014/main" id="{BA648E23-70E7-450F-81F1-C7F287BD33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48</xdr:col>
      <xdr:colOff>190500</xdr:colOff>
      <xdr:row>8</xdr:row>
      <xdr:rowOff>22412</xdr:rowOff>
    </xdr:from>
    <xdr:to>
      <xdr:col>59</xdr:col>
      <xdr:colOff>584629</xdr:colOff>
      <xdr:row>20</xdr:row>
      <xdr:rowOff>95250</xdr:rowOff>
    </xdr:to>
    <xdr:graphicFrame macro="">
      <xdr:nvGraphicFramePr>
        <xdr:cNvPr id="9" name="Chart 8">
          <a:extLst>
            <a:ext uri="{FF2B5EF4-FFF2-40B4-BE49-F238E27FC236}">
              <a16:creationId xmlns:a16="http://schemas.microsoft.com/office/drawing/2014/main" id="{4B189FEE-6CEE-4A01-99A2-73786DCD0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119065</xdr:colOff>
      <xdr:row>259</xdr:row>
      <xdr:rowOff>132051</xdr:rowOff>
    </xdr:from>
    <xdr:to>
      <xdr:col>11</xdr:col>
      <xdr:colOff>892969</xdr:colOff>
      <xdr:row>275</xdr:row>
      <xdr:rowOff>38100</xdr:rowOff>
    </xdr:to>
    <xdr:graphicFrame macro="">
      <xdr:nvGraphicFramePr>
        <xdr:cNvPr id="10" name="Chart 9">
          <a:extLst>
            <a:ext uri="{FF2B5EF4-FFF2-40B4-BE49-F238E27FC236}">
              <a16:creationId xmlns:a16="http://schemas.microsoft.com/office/drawing/2014/main" id="{B95A66D9-6AE2-403F-A29C-61DFFB08E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0</xdr:colOff>
      <xdr:row>73</xdr:row>
      <xdr:rowOff>0</xdr:rowOff>
    </xdr:from>
    <xdr:to>
      <xdr:col>59</xdr:col>
      <xdr:colOff>394129</xdr:colOff>
      <xdr:row>85</xdr:row>
      <xdr:rowOff>72838</xdr:rowOff>
    </xdr:to>
    <xdr:graphicFrame macro="">
      <xdr:nvGraphicFramePr>
        <xdr:cNvPr id="12" name="Chart 11">
          <a:extLst>
            <a:ext uri="{FF2B5EF4-FFF2-40B4-BE49-F238E27FC236}">
              <a16:creationId xmlns:a16="http://schemas.microsoft.com/office/drawing/2014/main" id="{BC432C71-927D-44F6-9307-B47DF7EF6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0</xdr:colOff>
      <xdr:row>91</xdr:row>
      <xdr:rowOff>0</xdr:rowOff>
    </xdr:from>
    <xdr:to>
      <xdr:col>59</xdr:col>
      <xdr:colOff>394129</xdr:colOff>
      <xdr:row>103</xdr:row>
      <xdr:rowOff>72838</xdr:rowOff>
    </xdr:to>
    <xdr:graphicFrame macro="">
      <xdr:nvGraphicFramePr>
        <xdr:cNvPr id="13" name="Chart 12">
          <a:extLst>
            <a:ext uri="{FF2B5EF4-FFF2-40B4-BE49-F238E27FC236}">
              <a16:creationId xmlns:a16="http://schemas.microsoft.com/office/drawing/2014/main" id="{9849D43B-425C-4125-BC79-42B94D83C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47</xdr:col>
      <xdr:colOff>476250</xdr:colOff>
      <xdr:row>106</xdr:row>
      <xdr:rowOff>95250</xdr:rowOff>
    </xdr:from>
    <xdr:to>
      <xdr:col>59</xdr:col>
      <xdr:colOff>298879</xdr:colOff>
      <xdr:row>118</xdr:row>
      <xdr:rowOff>168088</xdr:rowOff>
    </xdr:to>
    <xdr:graphicFrame macro="">
      <xdr:nvGraphicFramePr>
        <xdr:cNvPr id="14" name="Chart 13">
          <a:extLst>
            <a:ext uri="{FF2B5EF4-FFF2-40B4-BE49-F238E27FC236}">
              <a16:creationId xmlns:a16="http://schemas.microsoft.com/office/drawing/2014/main" id="{08F0F0B4-D3D8-44A5-AD01-4E81D39A3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48</xdr:col>
      <xdr:colOff>0</xdr:colOff>
      <xdr:row>125</xdr:row>
      <xdr:rowOff>16565</xdr:rowOff>
    </xdr:from>
    <xdr:to>
      <xdr:col>59</xdr:col>
      <xdr:colOff>435542</xdr:colOff>
      <xdr:row>137</xdr:row>
      <xdr:rowOff>89403</xdr:rowOff>
    </xdr:to>
    <xdr:graphicFrame macro="">
      <xdr:nvGraphicFramePr>
        <xdr:cNvPr id="15" name="Chart 14">
          <a:extLst>
            <a:ext uri="{FF2B5EF4-FFF2-40B4-BE49-F238E27FC236}">
              <a16:creationId xmlns:a16="http://schemas.microsoft.com/office/drawing/2014/main" id="{8E8CFD79-EBE6-42FC-8ACD-7E1D43B01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48</xdr:col>
      <xdr:colOff>0</xdr:colOff>
      <xdr:row>141</xdr:row>
      <xdr:rowOff>0</xdr:rowOff>
    </xdr:from>
    <xdr:to>
      <xdr:col>59</xdr:col>
      <xdr:colOff>427746</xdr:colOff>
      <xdr:row>153</xdr:row>
      <xdr:rowOff>72838</xdr:rowOff>
    </xdr:to>
    <xdr:graphicFrame macro="">
      <xdr:nvGraphicFramePr>
        <xdr:cNvPr id="16" name="Chart 15">
          <a:extLst>
            <a:ext uri="{FF2B5EF4-FFF2-40B4-BE49-F238E27FC236}">
              <a16:creationId xmlns:a16="http://schemas.microsoft.com/office/drawing/2014/main" id="{1DD75F3B-BC28-46B6-8AE8-FC1A72139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48</xdr:col>
      <xdr:colOff>0</xdr:colOff>
      <xdr:row>155</xdr:row>
      <xdr:rowOff>0</xdr:rowOff>
    </xdr:from>
    <xdr:to>
      <xdr:col>59</xdr:col>
      <xdr:colOff>394129</xdr:colOff>
      <xdr:row>167</xdr:row>
      <xdr:rowOff>72838</xdr:rowOff>
    </xdr:to>
    <xdr:graphicFrame macro="">
      <xdr:nvGraphicFramePr>
        <xdr:cNvPr id="17" name="Chart 16">
          <a:extLst>
            <a:ext uri="{FF2B5EF4-FFF2-40B4-BE49-F238E27FC236}">
              <a16:creationId xmlns:a16="http://schemas.microsoft.com/office/drawing/2014/main" id="{1B502F27-541C-4316-96E8-5B4128B0F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48</xdr:col>
      <xdr:colOff>156883</xdr:colOff>
      <xdr:row>186</xdr:row>
      <xdr:rowOff>134470</xdr:rowOff>
    </xdr:from>
    <xdr:to>
      <xdr:col>59</xdr:col>
      <xdr:colOff>551012</xdr:colOff>
      <xdr:row>199</xdr:row>
      <xdr:rowOff>16808</xdr:rowOff>
    </xdr:to>
    <xdr:graphicFrame macro="">
      <xdr:nvGraphicFramePr>
        <xdr:cNvPr id="19" name="Chart 18">
          <a:extLst>
            <a:ext uri="{FF2B5EF4-FFF2-40B4-BE49-F238E27FC236}">
              <a16:creationId xmlns:a16="http://schemas.microsoft.com/office/drawing/2014/main" id="{B38C5F70-0D34-40CB-A9CA-901ACF530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875959</xdr:colOff>
      <xdr:row>259</xdr:row>
      <xdr:rowOff>158184</xdr:rowOff>
    </xdr:from>
    <xdr:to>
      <xdr:col>19</xdr:col>
      <xdr:colOff>481354</xdr:colOff>
      <xdr:row>275</xdr:row>
      <xdr:rowOff>64233</xdr:rowOff>
    </xdr:to>
    <xdr:graphicFrame macro="">
      <xdr:nvGraphicFramePr>
        <xdr:cNvPr id="20" name="Chart 19">
          <a:extLst>
            <a:ext uri="{FF2B5EF4-FFF2-40B4-BE49-F238E27FC236}">
              <a16:creationId xmlns:a16="http://schemas.microsoft.com/office/drawing/2014/main" id="{49501CE0-7C24-4229-86DB-C8C18EF7E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285750</xdr:colOff>
      <xdr:row>327</xdr:row>
      <xdr:rowOff>23813</xdr:rowOff>
    </xdr:from>
    <xdr:to>
      <xdr:col>28</xdr:col>
      <xdr:colOff>270272</xdr:colOff>
      <xdr:row>342</xdr:row>
      <xdr:rowOff>120362</xdr:rowOff>
    </xdr:to>
    <xdr:graphicFrame macro="">
      <xdr:nvGraphicFramePr>
        <xdr:cNvPr id="21" name="Chart 20">
          <a:extLst>
            <a:ext uri="{FF2B5EF4-FFF2-40B4-BE49-F238E27FC236}">
              <a16:creationId xmlns:a16="http://schemas.microsoft.com/office/drawing/2014/main" id="{6962AE35-E9A8-44D6-90EC-374E7F35C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598715</xdr:colOff>
      <xdr:row>327</xdr:row>
      <xdr:rowOff>142875</xdr:rowOff>
    </xdr:from>
    <xdr:to>
      <xdr:col>15</xdr:col>
      <xdr:colOff>345112</xdr:colOff>
      <xdr:row>343</xdr:row>
      <xdr:rowOff>48924</xdr:rowOff>
    </xdr:to>
    <xdr:graphicFrame macro="">
      <xdr:nvGraphicFramePr>
        <xdr:cNvPr id="22" name="Chart 21">
          <a:extLst>
            <a:ext uri="{FF2B5EF4-FFF2-40B4-BE49-F238E27FC236}">
              <a16:creationId xmlns:a16="http://schemas.microsoft.com/office/drawing/2014/main" id="{98391F13-C98D-44D4-A781-F7A9E0F57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48</xdr:col>
      <xdr:colOff>168088</xdr:colOff>
      <xdr:row>203</xdr:row>
      <xdr:rowOff>168088</xdr:rowOff>
    </xdr:from>
    <xdr:to>
      <xdr:col>59</xdr:col>
      <xdr:colOff>562217</xdr:colOff>
      <xdr:row>216</xdr:row>
      <xdr:rowOff>50426</xdr:rowOff>
    </xdr:to>
    <xdr:graphicFrame macro="">
      <xdr:nvGraphicFramePr>
        <xdr:cNvPr id="23" name="Chart 22">
          <a:extLst>
            <a:ext uri="{FF2B5EF4-FFF2-40B4-BE49-F238E27FC236}">
              <a16:creationId xmlns:a16="http://schemas.microsoft.com/office/drawing/2014/main" id="{A97CF38E-3ADE-48DF-9FB6-339280B74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48</xdr:col>
      <xdr:colOff>224118</xdr:colOff>
      <xdr:row>219</xdr:row>
      <xdr:rowOff>168088</xdr:rowOff>
    </xdr:from>
    <xdr:to>
      <xdr:col>60</xdr:col>
      <xdr:colOff>13129</xdr:colOff>
      <xdr:row>232</xdr:row>
      <xdr:rowOff>50426</xdr:rowOff>
    </xdr:to>
    <xdr:graphicFrame macro="">
      <xdr:nvGraphicFramePr>
        <xdr:cNvPr id="24" name="Chart 23">
          <a:extLst>
            <a:ext uri="{FF2B5EF4-FFF2-40B4-BE49-F238E27FC236}">
              <a16:creationId xmlns:a16="http://schemas.microsoft.com/office/drawing/2014/main" id="{D733A3A5-228B-414F-8452-E57178EB4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48</xdr:col>
      <xdr:colOff>272142</xdr:colOff>
      <xdr:row>235</xdr:row>
      <xdr:rowOff>13607</xdr:rowOff>
    </xdr:from>
    <xdr:to>
      <xdr:col>60</xdr:col>
      <xdr:colOff>61153</xdr:colOff>
      <xdr:row>247</xdr:row>
      <xdr:rowOff>86445</xdr:rowOff>
    </xdr:to>
    <xdr:graphicFrame macro="">
      <xdr:nvGraphicFramePr>
        <xdr:cNvPr id="25" name="Chart 24">
          <a:extLst>
            <a:ext uri="{FF2B5EF4-FFF2-40B4-BE49-F238E27FC236}">
              <a16:creationId xmlns:a16="http://schemas.microsoft.com/office/drawing/2014/main" id="{E62302DB-CA0E-4E37-8E92-478EB61FA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131271</xdr:colOff>
      <xdr:row>276</xdr:row>
      <xdr:rowOff>130669</xdr:rowOff>
    </xdr:from>
    <xdr:to>
      <xdr:col>10</xdr:col>
      <xdr:colOff>557893</xdr:colOff>
      <xdr:row>292</xdr:row>
      <xdr:rowOff>36718</xdr:rowOff>
    </xdr:to>
    <xdr:graphicFrame macro="">
      <xdr:nvGraphicFramePr>
        <xdr:cNvPr id="26" name="Chart 25">
          <a:extLst>
            <a:ext uri="{FF2B5EF4-FFF2-40B4-BE49-F238E27FC236}">
              <a16:creationId xmlns:a16="http://schemas.microsoft.com/office/drawing/2014/main" id="{FE747C82-890E-4073-A290-9CA400CEED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102053</xdr:colOff>
      <xdr:row>309</xdr:row>
      <xdr:rowOff>115661</xdr:rowOff>
    </xdr:from>
    <xdr:to>
      <xdr:col>11</xdr:col>
      <xdr:colOff>246326</xdr:colOff>
      <xdr:row>325</xdr:row>
      <xdr:rowOff>21710</xdr:rowOff>
    </xdr:to>
    <xdr:graphicFrame macro="">
      <xdr:nvGraphicFramePr>
        <xdr:cNvPr id="27" name="Chart 26">
          <a:extLst>
            <a:ext uri="{FF2B5EF4-FFF2-40B4-BE49-F238E27FC236}">
              <a16:creationId xmlns:a16="http://schemas.microsoft.com/office/drawing/2014/main" id="{1BD441FA-8664-44C2-B0AB-3D187513B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136071</xdr:colOff>
      <xdr:row>293</xdr:row>
      <xdr:rowOff>23812</xdr:rowOff>
    </xdr:from>
    <xdr:to>
      <xdr:col>11</xdr:col>
      <xdr:colOff>276943</xdr:colOff>
      <xdr:row>308</xdr:row>
      <xdr:rowOff>120361</xdr:rowOff>
    </xdr:to>
    <xdr:graphicFrame macro="">
      <xdr:nvGraphicFramePr>
        <xdr:cNvPr id="28" name="Chart 27">
          <a:extLst>
            <a:ext uri="{FF2B5EF4-FFF2-40B4-BE49-F238E27FC236}">
              <a16:creationId xmlns:a16="http://schemas.microsoft.com/office/drawing/2014/main" id="{3691EB7B-C545-48CF-BE9D-3A5D9CE9A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11</xdr:col>
      <xdr:colOff>381000</xdr:colOff>
      <xdr:row>277</xdr:row>
      <xdr:rowOff>0</xdr:rowOff>
    </xdr:from>
    <xdr:to>
      <xdr:col>18</xdr:col>
      <xdr:colOff>188498</xdr:colOff>
      <xdr:row>292</xdr:row>
      <xdr:rowOff>96549</xdr:rowOff>
    </xdr:to>
    <xdr:graphicFrame macro="">
      <xdr:nvGraphicFramePr>
        <xdr:cNvPr id="29" name="Chart 28">
          <a:extLst>
            <a:ext uri="{FF2B5EF4-FFF2-40B4-BE49-F238E27FC236}">
              <a16:creationId xmlns:a16="http://schemas.microsoft.com/office/drawing/2014/main" id="{AB733964-8B1D-4387-8350-DB807A06A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381000</xdr:colOff>
      <xdr:row>293</xdr:row>
      <xdr:rowOff>142875</xdr:rowOff>
    </xdr:from>
    <xdr:to>
      <xdr:col>18</xdr:col>
      <xdr:colOff>498060</xdr:colOff>
      <xdr:row>309</xdr:row>
      <xdr:rowOff>48924</xdr:rowOff>
    </xdr:to>
    <xdr:graphicFrame macro="">
      <xdr:nvGraphicFramePr>
        <xdr:cNvPr id="30" name="Chart 29">
          <a:extLst>
            <a:ext uri="{FF2B5EF4-FFF2-40B4-BE49-F238E27FC236}">
              <a16:creationId xmlns:a16="http://schemas.microsoft.com/office/drawing/2014/main" id="{2F8C3BE8-0984-46ED-A6B6-15AC9E36F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11</xdr:col>
      <xdr:colOff>380999</xdr:colOff>
      <xdr:row>309</xdr:row>
      <xdr:rowOff>166687</xdr:rowOff>
    </xdr:from>
    <xdr:to>
      <xdr:col>18</xdr:col>
      <xdr:colOff>485585</xdr:colOff>
      <xdr:row>325</xdr:row>
      <xdr:rowOff>72736</xdr:rowOff>
    </xdr:to>
    <xdr:graphicFrame macro="">
      <xdr:nvGraphicFramePr>
        <xdr:cNvPr id="31" name="Chart 30">
          <a:extLst>
            <a:ext uri="{FF2B5EF4-FFF2-40B4-BE49-F238E27FC236}">
              <a16:creationId xmlns:a16="http://schemas.microsoft.com/office/drawing/2014/main" id="{E64E6EA9-069D-4F73-ABE8-5A738735D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10</xdr:col>
      <xdr:colOff>14558</xdr:colOff>
      <xdr:row>61</xdr:row>
      <xdr:rowOff>137606</xdr:rowOff>
    </xdr:from>
    <xdr:to>
      <xdr:col>16</xdr:col>
      <xdr:colOff>107837</xdr:colOff>
      <xdr:row>78</xdr:row>
      <xdr:rowOff>139107</xdr:rowOff>
    </xdr:to>
    <xdr:graphicFrame macro="">
      <xdr:nvGraphicFramePr>
        <xdr:cNvPr id="11" name="Chart 10">
          <a:extLst>
            <a:ext uri="{FF2B5EF4-FFF2-40B4-BE49-F238E27FC236}">
              <a16:creationId xmlns:a16="http://schemas.microsoft.com/office/drawing/2014/main" id="{718FECC5-1C12-40E5-827B-351DBA9CA2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16</xdr:col>
      <xdr:colOff>128404</xdr:colOff>
      <xdr:row>61</xdr:row>
      <xdr:rowOff>164347</xdr:rowOff>
    </xdr:from>
    <xdr:to>
      <xdr:col>29</xdr:col>
      <xdr:colOff>513219</xdr:colOff>
      <xdr:row>71</xdr:row>
      <xdr:rowOff>38566</xdr:rowOff>
    </xdr:to>
    <xdr:graphicFrame macro="">
      <xdr:nvGraphicFramePr>
        <xdr:cNvPr id="32" name="Chart 31">
          <a:extLst>
            <a:ext uri="{FF2B5EF4-FFF2-40B4-BE49-F238E27FC236}">
              <a16:creationId xmlns:a16="http://schemas.microsoft.com/office/drawing/2014/main" id="{FB2D9CEF-0948-464C-9CAF-17A1E449C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16</xdr:col>
      <xdr:colOff>127955</xdr:colOff>
      <xdr:row>75</xdr:row>
      <xdr:rowOff>90406</xdr:rowOff>
    </xdr:from>
    <xdr:to>
      <xdr:col>29</xdr:col>
      <xdr:colOff>514675</xdr:colOff>
      <xdr:row>84</xdr:row>
      <xdr:rowOff>140922</xdr:rowOff>
    </xdr:to>
    <xdr:graphicFrame macro="">
      <xdr:nvGraphicFramePr>
        <xdr:cNvPr id="34" name="Chart 33">
          <a:extLst>
            <a:ext uri="{FF2B5EF4-FFF2-40B4-BE49-F238E27FC236}">
              <a16:creationId xmlns:a16="http://schemas.microsoft.com/office/drawing/2014/main" id="{607742D9-C1B2-4500-B604-175076B2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10</xdr:col>
      <xdr:colOff>7312</xdr:colOff>
      <xdr:row>78</xdr:row>
      <xdr:rowOff>150668</xdr:rowOff>
    </xdr:from>
    <xdr:to>
      <xdr:col>16</xdr:col>
      <xdr:colOff>103312</xdr:colOff>
      <xdr:row>95</xdr:row>
      <xdr:rowOff>152167</xdr:rowOff>
    </xdr:to>
    <xdr:graphicFrame macro="">
      <xdr:nvGraphicFramePr>
        <xdr:cNvPr id="35" name="Chart 34">
          <a:extLst>
            <a:ext uri="{FF2B5EF4-FFF2-40B4-BE49-F238E27FC236}">
              <a16:creationId xmlns:a16="http://schemas.microsoft.com/office/drawing/2014/main" id="{9871DDE5-C4E0-4434-BA36-E274BCA70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16</xdr:col>
      <xdr:colOff>120375</xdr:colOff>
      <xdr:row>88</xdr:row>
      <xdr:rowOff>92830</xdr:rowOff>
    </xdr:from>
    <xdr:to>
      <xdr:col>29</xdr:col>
      <xdr:colOff>505190</xdr:colOff>
      <xdr:row>97</xdr:row>
      <xdr:rowOff>147157</xdr:rowOff>
    </xdr:to>
    <xdr:graphicFrame macro="">
      <xdr:nvGraphicFramePr>
        <xdr:cNvPr id="36" name="Chart 35">
          <a:extLst>
            <a:ext uri="{FF2B5EF4-FFF2-40B4-BE49-F238E27FC236}">
              <a16:creationId xmlns:a16="http://schemas.microsoft.com/office/drawing/2014/main" id="{789D3505-88B9-4366-9606-DA4063D38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9</xdr:col>
      <xdr:colOff>612624</xdr:colOff>
      <xdr:row>95</xdr:row>
      <xdr:rowOff>150667</xdr:rowOff>
    </xdr:from>
    <xdr:to>
      <xdr:col>16</xdr:col>
      <xdr:colOff>85169</xdr:colOff>
      <xdr:row>112</xdr:row>
      <xdr:rowOff>152168</xdr:rowOff>
    </xdr:to>
    <xdr:graphicFrame macro="">
      <xdr:nvGraphicFramePr>
        <xdr:cNvPr id="37" name="Chart 36">
          <a:extLst>
            <a:ext uri="{FF2B5EF4-FFF2-40B4-BE49-F238E27FC236}">
              <a16:creationId xmlns:a16="http://schemas.microsoft.com/office/drawing/2014/main" id="{C3B37F02-A2A1-43F7-B880-CA26E4A00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48</xdr:col>
      <xdr:colOff>0</xdr:colOff>
      <xdr:row>170</xdr:row>
      <xdr:rowOff>0</xdr:rowOff>
    </xdr:from>
    <xdr:to>
      <xdr:col>59</xdr:col>
      <xdr:colOff>394129</xdr:colOff>
      <xdr:row>182</xdr:row>
      <xdr:rowOff>72838</xdr:rowOff>
    </xdr:to>
    <xdr:graphicFrame macro="">
      <xdr:nvGraphicFramePr>
        <xdr:cNvPr id="38" name="Chart 37">
          <a:extLst>
            <a:ext uri="{FF2B5EF4-FFF2-40B4-BE49-F238E27FC236}">
              <a16:creationId xmlns:a16="http://schemas.microsoft.com/office/drawing/2014/main" id="{F4D55033-6928-4235-844E-943EB65C4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16</xdr:col>
      <xdr:colOff>96997</xdr:colOff>
      <xdr:row>101</xdr:row>
      <xdr:rowOff>92830</xdr:rowOff>
    </xdr:from>
    <xdr:to>
      <xdr:col>29</xdr:col>
      <xdr:colOff>487527</xdr:colOff>
      <xdr:row>110</xdr:row>
      <xdr:rowOff>150967</xdr:rowOff>
    </xdr:to>
    <xdr:graphicFrame macro="">
      <xdr:nvGraphicFramePr>
        <xdr:cNvPr id="39" name="Chart 38">
          <a:extLst>
            <a:ext uri="{FF2B5EF4-FFF2-40B4-BE49-F238E27FC236}">
              <a16:creationId xmlns:a16="http://schemas.microsoft.com/office/drawing/2014/main" id="{E2309975-560B-4F97-9A1E-DDEE02B08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9</xdr:col>
      <xdr:colOff>612624</xdr:colOff>
      <xdr:row>112</xdr:row>
      <xdr:rowOff>150668</xdr:rowOff>
    </xdr:from>
    <xdr:to>
      <xdr:col>16</xdr:col>
      <xdr:colOff>85169</xdr:colOff>
      <xdr:row>129</xdr:row>
      <xdr:rowOff>152167</xdr:rowOff>
    </xdr:to>
    <xdr:graphicFrame macro="">
      <xdr:nvGraphicFramePr>
        <xdr:cNvPr id="40" name="Chart 39">
          <a:extLst>
            <a:ext uri="{FF2B5EF4-FFF2-40B4-BE49-F238E27FC236}">
              <a16:creationId xmlns:a16="http://schemas.microsoft.com/office/drawing/2014/main" id="{5A7144A3-DA9D-4BC6-B210-3A55C494A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590549</xdr:colOff>
      <xdr:row>53</xdr:row>
      <xdr:rowOff>119902</xdr:rowOff>
    </xdr:from>
    <xdr:to>
      <xdr:col>8</xdr:col>
      <xdr:colOff>336176</xdr:colOff>
      <xdr:row>63</xdr:row>
      <xdr:rowOff>103654</xdr:rowOff>
    </xdr:to>
    <xdr:graphicFrame macro="">
      <xdr:nvGraphicFramePr>
        <xdr:cNvPr id="15" name="Chart 14">
          <a:extLst>
            <a:ext uri="{FF2B5EF4-FFF2-40B4-BE49-F238E27FC236}">
              <a16:creationId xmlns:a16="http://schemas.microsoft.com/office/drawing/2014/main" id="{DC210796-5592-48A4-8BBF-D2854A68D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579344</xdr:colOff>
      <xdr:row>43</xdr:row>
      <xdr:rowOff>39781</xdr:rowOff>
    </xdr:from>
    <xdr:to>
      <xdr:col>8</xdr:col>
      <xdr:colOff>313765</xdr:colOff>
      <xdr:row>53</xdr:row>
      <xdr:rowOff>47625</xdr:rowOff>
    </xdr:to>
    <xdr:graphicFrame macro="">
      <xdr:nvGraphicFramePr>
        <xdr:cNvPr id="16" name="Chart 15">
          <a:extLst>
            <a:ext uri="{FF2B5EF4-FFF2-40B4-BE49-F238E27FC236}">
              <a16:creationId xmlns:a16="http://schemas.microsoft.com/office/drawing/2014/main" id="{9DD3E77A-DBA4-4337-B2BB-8F2DBFDB5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593913</xdr:colOff>
      <xdr:row>53</xdr:row>
      <xdr:rowOff>123265</xdr:rowOff>
    </xdr:from>
    <xdr:to>
      <xdr:col>14</xdr:col>
      <xdr:colOff>560294</xdr:colOff>
      <xdr:row>63</xdr:row>
      <xdr:rowOff>165848</xdr:rowOff>
    </xdr:to>
    <xdr:graphicFrame macro="">
      <xdr:nvGraphicFramePr>
        <xdr:cNvPr id="21" name="Chart 20">
          <a:extLst>
            <a:ext uri="{FF2B5EF4-FFF2-40B4-BE49-F238E27FC236}">
              <a16:creationId xmlns:a16="http://schemas.microsoft.com/office/drawing/2014/main" id="{833E0D76-97CF-4349-B0DD-4AE3B220D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590550</xdr:colOff>
      <xdr:row>43</xdr:row>
      <xdr:rowOff>49307</xdr:rowOff>
    </xdr:from>
    <xdr:to>
      <xdr:col>14</xdr:col>
      <xdr:colOff>582705</xdr:colOff>
      <xdr:row>53</xdr:row>
      <xdr:rowOff>76201</xdr:rowOff>
    </xdr:to>
    <xdr:graphicFrame macro="">
      <xdr:nvGraphicFramePr>
        <xdr:cNvPr id="22" name="Chart 21">
          <a:extLst>
            <a:ext uri="{FF2B5EF4-FFF2-40B4-BE49-F238E27FC236}">
              <a16:creationId xmlns:a16="http://schemas.microsoft.com/office/drawing/2014/main" id="{7CE38454-2B4F-4683-A2B2-C778F0A5A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579344</xdr:colOff>
      <xdr:row>53</xdr:row>
      <xdr:rowOff>121584</xdr:rowOff>
    </xdr:from>
    <xdr:to>
      <xdr:col>22</xdr:col>
      <xdr:colOff>11206</xdr:colOff>
      <xdr:row>63</xdr:row>
      <xdr:rowOff>124386</xdr:rowOff>
    </xdr:to>
    <xdr:graphicFrame macro="">
      <xdr:nvGraphicFramePr>
        <xdr:cNvPr id="23" name="Chart 22">
          <a:extLst>
            <a:ext uri="{FF2B5EF4-FFF2-40B4-BE49-F238E27FC236}">
              <a16:creationId xmlns:a16="http://schemas.microsoft.com/office/drawing/2014/main" id="{889B328C-A2E4-4B3D-9870-4D6E7E925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579344</xdr:colOff>
      <xdr:row>43</xdr:row>
      <xdr:rowOff>30255</xdr:rowOff>
    </xdr:from>
    <xdr:to>
      <xdr:col>21</xdr:col>
      <xdr:colOff>593912</xdr:colOff>
      <xdr:row>53</xdr:row>
      <xdr:rowOff>76199</xdr:rowOff>
    </xdr:to>
    <xdr:graphicFrame macro="">
      <xdr:nvGraphicFramePr>
        <xdr:cNvPr id="24" name="Chart 23">
          <a:extLst>
            <a:ext uri="{FF2B5EF4-FFF2-40B4-BE49-F238E27FC236}">
              <a16:creationId xmlns:a16="http://schemas.microsoft.com/office/drawing/2014/main" id="{82C129E1-9390-4469-A46F-F9E891D80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am McColl" id="{F2034354-9DAB-4AB4-88C2-A816C50D1F74}" userId="Sam McCol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3" dT="2020-11-05T23:21:08.39" personId="{F2034354-9DAB-4AB4-88C2-A816C50D1F74}" id="{2AEC85B1-C835-42CB-8DF0-A1DEC8574BB1}">
    <text>Not sure this is still correct</text>
  </threadedComment>
</ThreadedComments>
</file>

<file path=xl/threadedComments/threadedComment2.xml><?xml version="1.0" encoding="utf-8"?>
<ThreadedComments xmlns="http://schemas.microsoft.com/office/spreadsheetml/2018/threadedcomments" xmlns:x="http://schemas.openxmlformats.org/spreadsheetml/2006/main">
  <threadedComment ref="U5" dT="2020-11-05T23:21:08.39" personId="{F2034354-9DAB-4AB4-88C2-A816C50D1F74}" id="{2372F856-1047-4DA2-8813-02201A757CFB}">
    <text>Not sure this is still correct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Q39"/>
  <sheetViews>
    <sheetView topLeftCell="A16" workbookViewId="0">
      <selection activeCell="B20" sqref="B20"/>
    </sheetView>
  </sheetViews>
  <sheetFormatPr defaultRowHeight="14.4" x14ac:dyDescent="0.3"/>
  <cols>
    <col min="2" max="2" width="8.6640625" customWidth="1"/>
    <col min="3" max="3" width="11.88671875" customWidth="1"/>
    <col min="4" max="4" width="11.5546875" customWidth="1"/>
    <col min="5" max="5" width="11.109375" customWidth="1"/>
    <col min="13" max="13" width="9.109375" style="4"/>
  </cols>
  <sheetData>
    <row r="3" spans="1:17" x14ac:dyDescent="0.3">
      <c r="B3" t="s">
        <v>462</v>
      </c>
      <c r="C3" t="s">
        <v>440</v>
      </c>
      <c r="D3" t="s">
        <v>441</v>
      </c>
      <c r="E3" t="s">
        <v>442</v>
      </c>
      <c r="F3" t="s">
        <v>443</v>
      </c>
      <c r="G3" t="s">
        <v>427</v>
      </c>
      <c r="H3" t="s">
        <v>428</v>
      </c>
      <c r="I3" t="s">
        <v>429</v>
      </c>
      <c r="J3" t="s">
        <v>438</v>
      </c>
      <c r="K3" t="s">
        <v>456</v>
      </c>
      <c r="L3" t="s">
        <v>457</v>
      </c>
      <c r="M3" s="4" t="s">
        <v>459</v>
      </c>
      <c r="N3" t="s">
        <v>458</v>
      </c>
      <c r="O3" t="s">
        <v>447</v>
      </c>
    </row>
    <row r="4" spans="1:17" x14ac:dyDescent="0.3">
      <c r="A4" t="s">
        <v>461</v>
      </c>
      <c r="B4">
        <v>1</v>
      </c>
      <c r="C4" s="1">
        <v>43881</v>
      </c>
      <c r="D4">
        <f>'Dec2019-Feb2020'!F6</f>
        <v>1844611.1935320001</v>
      </c>
      <c r="E4" s="21">
        <f>'Dec2019-Feb2020'!G6</f>
        <v>5596719.5433409996</v>
      </c>
      <c r="F4" s="21">
        <f>'Dec2019-Feb2020'!H6</f>
        <v>438.87606</v>
      </c>
      <c r="G4">
        <f>SQRT(((D4-D5)^2)+((E4-E5)^2))</f>
        <v>0.31242689980256133</v>
      </c>
      <c r="H4">
        <f>F4-F5</f>
        <v>-0.14348575000002484</v>
      </c>
      <c r="I4">
        <f>SQRT((G4^2)+(H4^2))</f>
        <v>0.34380041909996173</v>
      </c>
      <c r="J4">
        <f>(I4/(C4-C5))*365</f>
        <v>7.8233885892447647E-2</v>
      </c>
      <c r="K4" s="10">
        <f>IF((VLOOKUP((CONCATENATE((IF((D4-D5) &lt; 0, "A", "1")), (IF((E4-E5) &lt; 0,"B", "")))), $O$4:$P$7, 2, 0))=90,(90-(DEGREES((ASIN((E4-E5)/(SQRT((E4-E5)^2+(D4-D5)^2))))))),(270+((DEGREES((ASIN((E4-E5)/(SQRT((E4-E5)^2+(D4-D5)^2)))))))))</f>
        <v>213.0302063079252</v>
      </c>
      <c r="L4" s="10">
        <f>IF(I4&gt;0,-ASIN(H4/I4)*180/PI(),ASIN(H4/I4)*180/PI())</f>
        <v>24.667512903632453</v>
      </c>
      <c r="M4" s="26">
        <f>G4/200*18.8*20</f>
        <v>0.58736257162881533</v>
      </c>
      <c r="N4" s="10">
        <f>360-K4+90</f>
        <v>236.9697936920748</v>
      </c>
      <c r="O4" s="3" t="s">
        <v>448</v>
      </c>
      <c r="P4">
        <v>90</v>
      </c>
      <c r="Q4" t="s">
        <v>449</v>
      </c>
    </row>
    <row r="5" spans="1:17" x14ac:dyDescent="0.3">
      <c r="A5" t="s">
        <v>460</v>
      </c>
      <c r="B5">
        <v>1</v>
      </c>
      <c r="C5" s="1">
        <v>42277</v>
      </c>
      <c r="D5">
        <f>Sept2015!F6</f>
        <v>1844611.3638300002</v>
      </c>
      <c r="E5">
        <f>Sept2015!G6</f>
        <v>5596719.8052745005</v>
      </c>
      <c r="F5">
        <f>Sept2015!H6</f>
        <v>439.01954575000002</v>
      </c>
      <c r="O5" t="s">
        <v>450</v>
      </c>
      <c r="P5">
        <v>270</v>
      </c>
      <c r="Q5" t="s">
        <v>451</v>
      </c>
    </row>
    <row r="6" spans="1:17" x14ac:dyDescent="0.3">
      <c r="C6" s="1"/>
      <c r="O6" t="s">
        <v>452</v>
      </c>
      <c r="P6">
        <v>270</v>
      </c>
      <c r="Q6" t="s">
        <v>453</v>
      </c>
    </row>
    <row r="7" spans="1:17" x14ac:dyDescent="0.3">
      <c r="C7" s="1"/>
      <c r="O7" t="s">
        <v>454</v>
      </c>
      <c r="P7">
        <v>90</v>
      </c>
      <c r="Q7" t="s">
        <v>455</v>
      </c>
    </row>
    <row r="8" spans="1:17" x14ac:dyDescent="0.3">
      <c r="A8" t="s">
        <v>461</v>
      </c>
      <c r="B8">
        <v>22</v>
      </c>
      <c r="C8" s="1">
        <v>43186</v>
      </c>
      <c r="D8">
        <f>'Mar2018'!F7</f>
        <v>1844327.083837</v>
      </c>
      <c r="E8">
        <f>'Mar2018'!G7</f>
        <v>5596603.2046760004</v>
      </c>
      <c r="F8">
        <f>'Mar2018'!H7</f>
        <v>430.403682</v>
      </c>
      <c r="G8">
        <f>SQRT(((D8-D9)^2)+((E8-E9)^2))</f>
        <v>1218.0997736710906</v>
      </c>
      <c r="H8">
        <f t="shared" ref="H8" si="0">F8-F9</f>
        <v>119.64913624999997</v>
      </c>
      <c r="I8">
        <f t="shared" ref="I8" si="1">SQRT((G8^2)+(H8^2))</f>
        <v>1223.9619987658657</v>
      </c>
      <c r="J8">
        <f>(I8/(C8-C9))*365</f>
        <v>447.64141237428959</v>
      </c>
      <c r="K8" s="10">
        <f>IF((VLOOKUP((CONCATENATE((IF((D8-D9) &lt; 0, "A", "1")), (IF((E8-E9) &lt; 0,"B", "")))), $O$4:$P$7, 2, 0))=90,(90-(DEGREES((ASIN((E8-E9)/(SQRT((E8-E9)^2+(D8-D9)^2))))))),(270+((DEGREES((ASIN((E8-E9)/(SQRT((E8-E9)^2+(D8-D9)^2)))))))))</f>
        <v>357.56665549767678</v>
      </c>
      <c r="L8" s="11">
        <f>IF(I8&gt;0,-ASIN(H8/I8)*180/PI(),ASIN(H8/I8)*180/PI())</f>
        <v>-5.6099423748745796</v>
      </c>
      <c r="M8" s="4">
        <f>G8/200*18.8*5</f>
        <v>572.50689362541254</v>
      </c>
      <c r="N8" s="10">
        <f>360-K8+90</f>
        <v>92.433344502323223</v>
      </c>
    </row>
    <row r="9" spans="1:17" x14ac:dyDescent="0.3">
      <c r="A9" t="s">
        <v>460</v>
      </c>
      <c r="B9">
        <v>22</v>
      </c>
      <c r="C9" s="1">
        <v>42188</v>
      </c>
      <c r="D9" s="8">
        <f>July2015!F28</f>
        <v>1844378.8008300001</v>
      </c>
      <c r="E9">
        <f>July2015!G28</f>
        <v>5595386.2032745006</v>
      </c>
      <c r="F9">
        <f>July2015!H28</f>
        <v>310.75454575000003</v>
      </c>
    </row>
    <row r="10" spans="1:17" x14ac:dyDescent="0.3">
      <c r="C10" s="1"/>
    </row>
    <row r="11" spans="1:17" x14ac:dyDescent="0.3">
      <c r="C11" s="1"/>
    </row>
    <row r="12" spans="1:17" x14ac:dyDescent="0.3">
      <c r="A12" t="s">
        <v>461</v>
      </c>
      <c r="B12">
        <v>21</v>
      </c>
      <c r="C12" s="1">
        <v>43382</v>
      </c>
      <c r="D12">
        <f>'Movement graphs'!D33</f>
        <v>1844715.236543</v>
      </c>
      <c r="E12">
        <f>'Movement graphs'!E33</f>
        <v>5595570.9072749997</v>
      </c>
      <c r="F12">
        <f>'Movement graphs'!F33</f>
        <v>340.395309</v>
      </c>
      <c r="G12">
        <f>SQRT(((D12-D13)^2)+((E12-E13)^2))</f>
        <v>308.62212662503049</v>
      </c>
      <c r="H12">
        <f t="shared" ref="H12" si="2">F12-F13</f>
        <v>34.484763249999958</v>
      </c>
      <c r="I12">
        <f t="shared" ref="I12" si="3">SQRT((G12^2)+(H12^2))</f>
        <v>310.54277634323569</v>
      </c>
      <c r="J12">
        <f>(I12/(C12-C13))*365</f>
        <v>94.931418228878584</v>
      </c>
      <c r="K12" s="10">
        <f>IF((VLOOKUP((CONCATENATE((IF((D12-D13) &lt; 0, "A", "1")), (IF((E12-E13) &lt; 0,"B", "")))), $O$4:$P$7, 2, 0))=90,(90-(DEGREES((ASIN((E12-E13)/(SQRT((E12-E13)^2+(D12-D13)^2))))))),(270+((DEGREES((ASIN((E12-E13)/(SQRT((E12-E13)^2+(D12-D13)^2)))))))))</f>
        <v>70.613043969756433</v>
      </c>
      <c r="L12" s="11">
        <f>IF(I12&gt;0,-ASIN(H12/I12)*180/PI(),ASIN(H12/I12)*180/PI())</f>
        <v>-6.3756591061788885</v>
      </c>
      <c r="M12" s="4">
        <f>G12/200*18.8*5</f>
        <v>145.05239951376436</v>
      </c>
      <c r="N12" s="10">
        <f>360-K12+90</f>
        <v>379.3869560302436</v>
      </c>
    </row>
    <row r="13" spans="1:17" x14ac:dyDescent="0.3">
      <c r="A13" t="s">
        <v>460</v>
      </c>
      <c r="B13">
        <v>21</v>
      </c>
      <c r="C13" s="1">
        <f>'Movement graphs'!B44</f>
        <v>42188</v>
      </c>
      <c r="D13" s="9">
        <f>'Movement graphs'!D44</f>
        <v>1844424.1138300002</v>
      </c>
      <c r="E13" s="9">
        <f>'Movement graphs'!E44</f>
        <v>5595468.4612745009</v>
      </c>
      <c r="F13" s="9">
        <f>'Movement graphs'!F44</f>
        <v>305.91054575000004</v>
      </c>
    </row>
    <row r="14" spans="1:17" x14ac:dyDescent="0.3">
      <c r="C14" s="1"/>
    </row>
    <row r="15" spans="1:17" x14ac:dyDescent="0.3">
      <c r="C15" s="1"/>
    </row>
    <row r="16" spans="1:17" x14ac:dyDescent="0.3">
      <c r="A16" t="s">
        <v>461</v>
      </c>
      <c r="B16">
        <v>19</v>
      </c>
      <c r="C16" s="1">
        <v>43382</v>
      </c>
      <c r="D16">
        <f>'Movement graphs'!D62</f>
        <v>1844643.5233690001</v>
      </c>
      <c r="E16">
        <f>'Movement graphs'!E62</f>
        <v>5595686.1368650002</v>
      </c>
      <c r="F16">
        <f>'Movement graphs'!F62</f>
        <v>358.35370799999998</v>
      </c>
      <c r="G16">
        <f>SQRT(((D16-D17)^2)+((E16-E17)^2))</f>
        <v>314.45557464092701</v>
      </c>
      <c r="H16">
        <f t="shared" ref="H16" si="4">F16-F17</f>
        <v>-1.3938377500000456</v>
      </c>
      <c r="I16">
        <f t="shared" ref="I16" si="5">SQRT((G16^2)+(H16^2))</f>
        <v>314.45866374839943</v>
      </c>
      <c r="J16">
        <f>(I16/(C16-C17))*365</f>
        <v>96.128485986738525</v>
      </c>
      <c r="K16" s="10">
        <f>IF((VLOOKUP((CONCATENATE((IF((D16-D17) &lt; 0, "A", "1")), (IF((E16-E17) &lt; 0,"B", "")))), $O$4:$P$7, 2, 0))=90,(90-(DEGREES((ASIN((E16-E17)/(SQRT((E16-E17)^2+(D16-D17)^2))))))),(270+((DEGREES((ASIN((E16-E17)/(SQRT((E16-E17)^2+(D16-D17)^2)))))))))</f>
        <v>111.11765745095049</v>
      </c>
      <c r="L16" s="11">
        <f>IF(I16&gt;0,-ASIN(H16/I16)*180/PI(),ASIN(H16/I16)*180/PI())</f>
        <v>0.2539643238221575</v>
      </c>
      <c r="M16" s="26">
        <f>G16/200*18.8*20</f>
        <v>591.17648032494276</v>
      </c>
      <c r="N16" s="10">
        <f>360-K16+90</f>
        <v>338.8823425490495</v>
      </c>
    </row>
    <row r="17" spans="1:14" x14ac:dyDescent="0.3">
      <c r="A17" t="s">
        <v>460</v>
      </c>
      <c r="B17">
        <v>19</v>
      </c>
      <c r="C17" s="1">
        <v>42188</v>
      </c>
      <c r="D17">
        <f>'Movement graphs'!D72</f>
        <v>1844350.1858300001</v>
      </c>
      <c r="E17">
        <f>'Movement graphs'!E72</f>
        <v>5595799.4302745005</v>
      </c>
      <c r="F17">
        <f>'Movement graphs'!F72</f>
        <v>359.74754575000003</v>
      </c>
    </row>
    <row r="20" spans="1:14" x14ac:dyDescent="0.3">
      <c r="A20" t="s">
        <v>461</v>
      </c>
      <c r="B20">
        <v>14</v>
      </c>
      <c r="C20" s="1">
        <v>43382</v>
      </c>
      <c r="D20">
        <f>'Movement graphs'!D91</f>
        <v>1844492.341974</v>
      </c>
      <c r="E20">
        <f>'Movement graphs'!E91</f>
        <v>5595542.530735</v>
      </c>
      <c r="F20">
        <f>'Movement graphs'!F91</f>
        <v>309.12802900000003</v>
      </c>
      <c r="G20">
        <f>SQRT(((D20-D21)^2)+((E20-E21)^2))</f>
        <v>450.82998141448866</v>
      </c>
      <c r="H20">
        <f t="shared" ref="H20" si="6">F20-F21</f>
        <v>-83.201516749999996</v>
      </c>
      <c r="I20">
        <f t="shared" ref="I20" si="7">SQRT((G20^2)+(H20^2))</f>
        <v>458.4431966249349</v>
      </c>
      <c r="J20">
        <f>(I20/(C20-C21))*365</f>
        <v>140.14385826474143</v>
      </c>
      <c r="K20" s="10">
        <f>IF((VLOOKUP((CONCATENATE((IF((D20-D21) &lt; 0, "A", "1")), (IF((E20-E21) &lt; 0,"B", "")))), $O$4:$P$7, 2, 0))=90,(90-(DEGREES((ASIN((E20-E21)/(SQRT((E20-E21)^2+(D20-D21)^2))))))),(270+((DEGREES((ASIN((E20-E21)/(SQRT((E20-E21)^2+(D20-D21)^2)))))))))</f>
        <v>204.0649537452972</v>
      </c>
      <c r="L20" s="11">
        <f>IF(I20&gt;0,-ASIN(H20/I20)*180/PI(),ASIN(H20/I20)*180/PI())</f>
        <v>10.456389954308781</v>
      </c>
      <c r="M20" s="26">
        <f>G20/200*18.8*20</f>
        <v>847.56036505923873</v>
      </c>
      <c r="N20" s="10">
        <f>360-K20+90</f>
        <v>245.9350462547028</v>
      </c>
    </row>
    <row r="21" spans="1:14" x14ac:dyDescent="0.3">
      <c r="A21" t="s">
        <v>460</v>
      </c>
      <c r="B21">
        <v>14</v>
      </c>
      <c r="C21" s="1">
        <v>42188</v>
      </c>
      <c r="D21">
        <f>'Movement graphs'!D102</f>
        <v>1844676.1778300002</v>
      </c>
      <c r="E21">
        <f>'Movement graphs'!E102</f>
        <v>5595954.1762745008</v>
      </c>
      <c r="F21">
        <f>'Movement graphs'!F102</f>
        <v>392.32954575000002</v>
      </c>
    </row>
    <row r="24" spans="1:14" x14ac:dyDescent="0.3">
      <c r="A24" t="s">
        <v>461</v>
      </c>
      <c r="B24">
        <v>11</v>
      </c>
      <c r="C24" s="1">
        <v>43382</v>
      </c>
      <c r="D24">
        <f>'Movement graphs'!D121</f>
        <v>1844569.6195090001</v>
      </c>
      <c r="E24">
        <f>'Movement graphs'!E121</f>
        <v>5596016.7005279996</v>
      </c>
      <c r="F24">
        <f>'Movement graphs'!F121</f>
        <v>397.55543499999999</v>
      </c>
      <c r="G24">
        <f>SQRT(((D24-D25)^2)+((E24-E25)^2))</f>
        <v>312.76087558323667</v>
      </c>
      <c r="H24">
        <f t="shared" ref="H24" si="8">F24-F25</f>
        <v>-8.3511107500000321</v>
      </c>
      <c r="I24">
        <f t="shared" ref="I24" si="9">SQRT((G24^2)+(H24^2))</f>
        <v>312.87234832492243</v>
      </c>
      <c r="J24">
        <f>(I24/(C24-C25))*365</f>
        <v>95.643557067501405</v>
      </c>
      <c r="K24" s="10">
        <f>IF((VLOOKUP((CONCATENATE((IF((D24-D25) &lt; 0, "A", "1")), (IF((E24-E25) &lt; 0,"B", "")))), $O$4:$P$7, 2, 0))=90,(90-(DEGREES((ASIN((E24-E25)/(SQRT((E24-E25)^2+(D24-D25)^2))))))),(270+((DEGREES((ASIN((E24-E25)/(SQRT((E24-E25)^2+(D24-D25)^2)))))))))</f>
        <v>132.84697891655188</v>
      </c>
      <c r="L24" s="11">
        <f>IF(I24&gt;0,-ASIN(H24/I24)*180/PI(),ASIN(H24/I24)*180/PI())</f>
        <v>1.5295063206695729</v>
      </c>
      <c r="M24" s="26">
        <f>G24/200*18.8*20</f>
        <v>587.99044609648502</v>
      </c>
      <c r="N24" s="10">
        <f>360-K24+90</f>
        <v>317.15302108344815</v>
      </c>
    </row>
    <row r="25" spans="1:14" x14ac:dyDescent="0.3">
      <c r="A25" t="s">
        <v>460</v>
      </c>
      <c r="B25">
        <v>11</v>
      </c>
      <c r="C25" s="1">
        <v>42188</v>
      </c>
      <c r="D25">
        <f>'Movement graphs'!D130</f>
        <v>1844340.31183</v>
      </c>
      <c r="E25">
        <f>'Movement graphs'!E130</f>
        <v>5596229.3912745006</v>
      </c>
      <c r="F25">
        <f>'Movement graphs'!F130</f>
        <v>405.90654575000002</v>
      </c>
    </row>
    <row r="28" spans="1:14" x14ac:dyDescent="0.3">
      <c r="A28" t="s">
        <v>461</v>
      </c>
      <c r="B28">
        <v>5</v>
      </c>
      <c r="C28" s="1">
        <v>43382</v>
      </c>
      <c r="D28">
        <f>'Movement graphs'!D148</f>
        <v>1844577.5881060001</v>
      </c>
      <c r="E28">
        <f>'Movement graphs'!E148</f>
        <v>5596364.29954</v>
      </c>
      <c r="F28">
        <f>'Movement graphs'!F148</f>
        <v>414.58305899999999</v>
      </c>
      <c r="G28">
        <f>SQRT(((D28-D29)^2)+((E28-E29)^2))</f>
        <v>148.10794304425099</v>
      </c>
      <c r="H28">
        <f t="shared" ref="H28" si="10">F28-F29</f>
        <v>-7.31948675000001</v>
      </c>
      <c r="I28">
        <f t="shared" ref="I28" si="11">SQRT((G28^2)+(H28^2))</f>
        <v>148.28869707122834</v>
      </c>
      <c r="J28">
        <f>(I28/(C28-C29))*365</f>
        <v>45.331134364320221</v>
      </c>
      <c r="K28" s="10">
        <f>IF((VLOOKUP((CONCATENATE((IF((D28-D29) &lt; 0, "A", "1")), (IF((E28-E29) &lt; 0,"B", "")))), $O$4:$P$7, 2, 0))=90,(90-(DEGREES((ASIN((E28-E29)/(SQRT((E28-E29)^2+(D28-D29)^2))))))),(270+((DEGREES((ASIN((E28-E29)/(SQRT((E28-E29)^2+(D28-D29)^2)))))))))</f>
        <v>115.99934821223849</v>
      </c>
      <c r="L28" s="11">
        <f>IF(I28&gt;0,-ASIN(H28/I28)*180/PI(),ASIN(H28/I28)*180/PI())</f>
        <v>2.8292525821961321</v>
      </c>
      <c r="M28" s="26">
        <f>G28/200*18.8*20</f>
        <v>278.44293292319185</v>
      </c>
      <c r="N28" s="10">
        <f>360-K28+90</f>
        <v>334.00065178776151</v>
      </c>
    </row>
    <row r="29" spans="1:14" x14ac:dyDescent="0.3">
      <c r="A29" t="s">
        <v>460</v>
      </c>
      <c r="B29">
        <v>5</v>
      </c>
      <c r="C29" s="1">
        <v>42188</v>
      </c>
      <c r="D29">
        <f>'Movement graphs'!D159</f>
        <v>1844444.4688300001</v>
      </c>
      <c r="E29">
        <f>'Movement graphs'!E159</f>
        <v>5596429.2242745012</v>
      </c>
      <c r="F29">
        <f>'Movement graphs'!F159</f>
        <v>421.90254575</v>
      </c>
    </row>
    <row r="32" spans="1:14" x14ac:dyDescent="0.3">
      <c r="A32" t="s">
        <v>461</v>
      </c>
      <c r="B32">
        <v>20</v>
      </c>
      <c r="C32" s="1">
        <v>43382</v>
      </c>
      <c r="D32">
        <v>1844629.443554</v>
      </c>
      <c r="E32">
        <v>5595610.6536769997</v>
      </c>
      <c r="F32">
        <v>332.55132900000001</v>
      </c>
      <c r="G32">
        <f>SQRT(((D32-D33)^2)+((E32-E33)^2))</f>
        <v>9.1995263329217298</v>
      </c>
      <c r="H32">
        <f>F32-F33</f>
        <v>-2.8902167499999791</v>
      </c>
      <c r="I32">
        <f>SQRT((G32^2)+(H32^2))</f>
        <v>9.6428542253889109</v>
      </c>
      <c r="J32">
        <f>(I32/(C32-C33))*365</f>
        <v>2.947773695365957</v>
      </c>
      <c r="K32" s="10">
        <f>IF((VLOOKUP((CONCATENATE((IF((D32-D33) &lt; 0, "A", "1")), (IF((E32-E33) &lt; 0,"B", "")))), $O$4:$P$7, 2, 0))=90,(90-(DEGREES((ASIN((E32-E33)/(SQRT((E32-E33)^2+(D32-D33)^2))))))),(270+((DEGREES((ASIN((E32-E33)/(SQRT((E32-E33)^2+(D32-D33)^2)))))))))</f>
        <v>179.18580747707443</v>
      </c>
      <c r="L32" s="11">
        <f>IF(I32&gt;0,-ASIN(H32/I32)*180/PI(),ASIN(H32/I32)*180/PI())</f>
        <v>17.441163142707119</v>
      </c>
      <c r="M32" s="26">
        <f>G32/200*18.8*20</f>
        <v>17.295109505892853</v>
      </c>
      <c r="N32" s="10">
        <f>360-K32+90</f>
        <v>270.81419252292557</v>
      </c>
    </row>
    <row r="33" spans="1:12" x14ac:dyDescent="0.3">
      <c r="A33" t="s">
        <v>460</v>
      </c>
      <c r="B33">
        <v>20</v>
      </c>
      <c r="C33" s="1">
        <v>42188</v>
      </c>
      <c r="D33">
        <v>1844629.3128300002</v>
      </c>
      <c r="E33">
        <v>5595619.8522745008</v>
      </c>
      <c r="F33">
        <v>335.44154574999999</v>
      </c>
      <c r="K33" s="10"/>
    </row>
    <row r="34" spans="1:12" x14ac:dyDescent="0.3">
      <c r="C34" s="9">
        <f>C32-C33</f>
        <v>1194</v>
      </c>
      <c r="I34">
        <f>I32/C34*365</f>
        <v>2.947773695365957</v>
      </c>
      <c r="J34">
        <f>AVERAGE(I30,I34)</f>
        <v>2.947773695365957</v>
      </c>
    </row>
    <row r="38" spans="1:12" x14ac:dyDescent="0.3">
      <c r="C38" s="1"/>
      <c r="K38" s="10"/>
      <c r="L38" s="11"/>
    </row>
    <row r="39" spans="1:12" x14ac:dyDescent="0.3">
      <c r="C39" s="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49CB-A1C1-4B4F-B2F9-141954964A9A}">
  <sheetPr codeName="Sheet17"/>
  <dimension ref="A1:AC74"/>
  <sheetViews>
    <sheetView zoomScale="85" zoomScaleNormal="85" workbookViewId="0">
      <selection activeCell="C3" sqref="C3"/>
    </sheetView>
  </sheetViews>
  <sheetFormatPr defaultRowHeight="14.4" x14ac:dyDescent="0.3"/>
  <cols>
    <col min="4" max="4" width="12.44140625" customWidth="1"/>
    <col min="5" max="7" width="10.6640625" customWidth="1"/>
    <col min="8" max="8" width="11.5546875" customWidth="1"/>
    <col min="9" max="9" width="12.5546875" customWidth="1"/>
    <col min="10" max="10" width="10.6640625" bestFit="1" customWidth="1"/>
    <col min="11" max="12" width="10.5546875" bestFit="1" customWidth="1"/>
    <col min="13" max="13" width="9.33203125" bestFit="1" customWidth="1"/>
    <col min="14" max="14" width="10.33203125" bestFit="1" customWidth="1"/>
  </cols>
  <sheetData>
    <row r="1" spans="1:28" x14ac:dyDescent="0.3">
      <c r="B1" t="s">
        <v>539</v>
      </c>
      <c r="P1" s="28" t="s">
        <v>545</v>
      </c>
      <c r="Q1" s="28"/>
      <c r="R1" s="28"/>
      <c r="S1" s="28"/>
    </row>
    <row r="2" spans="1:28" x14ac:dyDescent="0.3">
      <c r="P2" s="28" t="s">
        <v>440</v>
      </c>
      <c r="Q2" s="28" t="s">
        <v>541</v>
      </c>
      <c r="R2" s="28" t="s">
        <v>542</v>
      </c>
      <c r="S2" s="28" t="s">
        <v>543</v>
      </c>
    </row>
    <row r="3" spans="1:28" x14ac:dyDescent="0.3">
      <c r="P3" s="28" t="s">
        <v>546</v>
      </c>
      <c r="Q3" s="28" t="s">
        <v>548</v>
      </c>
      <c r="R3" s="28" t="s">
        <v>549</v>
      </c>
      <c r="S3" s="28" t="s">
        <v>469</v>
      </c>
    </row>
    <row r="4" spans="1:28" x14ac:dyDescent="0.3">
      <c r="D4" s="5" t="s">
        <v>460</v>
      </c>
      <c r="E4" s="5"/>
      <c r="F4" s="5"/>
      <c r="G4" s="5"/>
      <c r="H4" s="5"/>
      <c r="I4" s="5" t="s">
        <v>461</v>
      </c>
      <c r="J4" s="5"/>
      <c r="K4" s="5"/>
      <c r="L4" s="5"/>
      <c r="M4" s="5"/>
    </row>
    <row r="5" spans="1:28" x14ac:dyDescent="0.3">
      <c r="A5" s="28" t="s">
        <v>547</v>
      </c>
      <c r="C5" t="s">
        <v>544</v>
      </c>
      <c r="D5" s="5" t="s">
        <v>540</v>
      </c>
      <c r="E5" s="5" t="s">
        <v>440</v>
      </c>
      <c r="F5" s="5" t="s">
        <v>541</v>
      </c>
      <c r="G5" s="5" t="s">
        <v>542</v>
      </c>
      <c r="H5" s="5" t="s">
        <v>543</v>
      </c>
      <c r="I5" s="5" t="s">
        <v>540</v>
      </c>
      <c r="J5" s="5" t="s">
        <v>440</v>
      </c>
      <c r="K5" s="5" t="s">
        <v>541</v>
      </c>
      <c r="L5" s="5" t="s">
        <v>542</v>
      </c>
      <c r="M5" s="5" t="s">
        <v>543</v>
      </c>
      <c r="N5" s="21" t="s">
        <v>427</v>
      </c>
      <c r="O5" s="21" t="s">
        <v>428</v>
      </c>
      <c r="P5" s="21" t="s">
        <v>429</v>
      </c>
      <c r="Q5" t="s">
        <v>550</v>
      </c>
      <c r="R5" s="21" t="s">
        <v>438</v>
      </c>
      <c r="S5" s="21" t="s">
        <v>456</v>
      </c>
      <c r="T5" s="21" t="s">
        <v>457</v>
      </c>
      <c r="U5" s="4" t="s">
        <v>459</v>
      </c>
      <c r="V5" s="21" t="s">
        <v>458</v>
      </c>
      <c r="Y5" s="21" t="s">
        <v>447</v>
      </c>
    </row>
    <row r="6" spans="1:28" x14ac:dyDescent="0.3">
      <c r="A6" s="28">
        <v>4</v>
      </c>
      <c r="B6" s="21"/>
      <c r="C6" s="27" t="s">
        <v>23</v>
      </c>
      <c r="D6" s="3" t="s">
        <v>384</v>
      </c>
      <c r="E6" s="1" cm="1">
        <f t="array" aca="1" ref="E6" ca="1">INDIRECT("'"&amp;$D6&amp;"'!"&amp;(P$3&amp;$A6))</f>
        <v>42188</v>
      </c>
      <c r="F6" s="23" cm="1">
        <f t="array" aca="1" ref="F6" ca="1">INDIRECT("'"&amp;$D6&amp;"'!"&amp;(Q$3&amp;$A6))</f>
        <v>1844287.3058300002</v>
      </c>
      <c r="G6" s="23" cm="1">
        <f t="array" aca="1" ref="G6" ca="1">INDIRECT("'"&amp;$D6&amp;"'!"&amp;(R$3&amp;$A6))</f>
        <v>5596665.7112745009</v>
      </c>
      <c r="H6" s="23" cm="1">
        <f t="array" aca="1" ref="H6" ca="1">INDIRECT("'"&amp;$D6&amp;"'!"&amp;(S$3&amp;$A6))</f>
        <v>432.59354575000003</v>
      </c>
      <c r="I6" s="3" t="s">
        <v>380</v>
      </c>
      <c r="J6" s="1" cm="1">
        <f t="array" aca="1" ref="J6" ca="1">INDIRECT("'"&amp;$I6&amp;"'!"&amp;(P$3&amp;$A6))</f>
        <v>42562</v>
      </c>
      <c r="K6" s="23" cm="1">
        <f t="array" aca="1" ref="K6" ca="1">INDIRECT("'"&amp;$I6&amp;"'!"&amp;(Q$3&amp;$A6))</f>
        <v>1844287.3049679999</v>
      </c>
      <c r="L6" s="23" cm="1">
        <f t="array" aca="1" ref="L6" ca="1">INDIRECT("'"&amp;$I6&amp;"'!"&amp;(R$3&amp;$A6))</f>
        <v>5596665.6741739996</v>
      </c>
      <c r="M6" s="23" cm="1">
        <f t="array" aca="1" ref="M6" ca="1">INDIRECT("'"&amp;$I6&amp;"'!"&amp;(S$3&amp;$A6))</f>
        <v>432.58048200000002</v>
      </c>
      <c r="N6" s="7">
        <f ca="1">SQRT(((F6-K6)^2)+((G6-L6)^2))</f>
        <v>3.7110513948620263E-2</v>
      </c>
      <c r="O6" s="7">
        <f ca="1">H6-M6</f>
        <v>1.3063750000014807E-2</v>
      </c>
      <c r="P6" s="23">
        <f ca="1">SQRT((N6^2)+(O6^2))</f>
        <v>3.934274786531345E-2</v>
      </c>
      <c r="Q6" s="11">
        <f ca="1">J6-E6</f>
        <v>374</v>
      </c>
      <c r="R6" s="23">
        <f ca="1">(P6/(J6-E6))*365</f>
        <v>3.8395997248233719E-2</v>
      </c>
      <c r="S6" s="11">
        <f ca="1">IF((VLOOKUP((CONCATENATE((IF((K6-F6) &lt; 0, "A", "1")), (IF((L6-G6) &lt; 0,"B", "")))), $Y$6:$Z$9, 2, 0))=90,(90-(DEGREES((ASIN((L6-G6)/(SQRT((L6-G6)^2+(K6-F6)^2))))))),(270+((DEGREES((ASIN((L6-G6)/(SQRT((L6-G6)^2+(K6-F6)^2)))))))))</f>
        <v>181.33098183890911</v>
      </c>
      <c r="T6" s="11">
        <f ca="1">IF(N6&gt;0,-ATAN(O6/N6)*180/PI(),ATAN(O6/N6)*180/PI())</f>
        <v>-19.393234909709744</v>
      </c>
      <c r="U6" s="11">
        <f ca="1">R6*50</f>
        <v>1.9197998624116859</v>
      </c>
      <c r="V6" s="11">
        <f ca="1">360-S6+90</f>
        <v>268.66901816109089</v>
      </c>
      <c r="Y6" s="3" t="s">
        <v>448</v>
      </c>
      <c r="Z6" s="21">
        <v>90</v>
      </c>
      <c r="AA6" s="21" t="s">
        <v>449</v>
      </c>
      <c r="AB6" s="21"/>
    </row>
    <row r="7" spans="1:28" x14ac:dyDescent="0.3">
      <c r="A7" s="28">
        <v>5</v>
      </c>
      <c r="C7" s="27" t="s">
        <v>551</v>
      </c>
      <c r="D7" s="3" t="s">
        <v>377</v>
      </c>
      <c r="E7" s="1" cm="1">
        <f t="array" aca="1" ref="E7" ca="1">INDIRECT("'"&amp;$D7&amp;"'!"&amp;(P$3&amp;$A7))</f>
        <v>42814</v>
      </c>
      <c r="F7" s="23" cm="1">
        <f t="array" aca="1" ref="F7" ca="1">INDIRECT("'"&amp;$D7&amp;"'!"&amp;(Q$3&amp;$A7))</f>
        <v>1844289.3111719999</v>
      </c>
      <c r="G7" s="23" cm="1">
        <f t="array" aca="1" ref="G7" ca="1">INDIRECT("'"&amp;$D7&amp;"'!"&amp;(R$3&amp;$A7))</f>
        <v>5596663.8387529999</v>
      </c>
      <c r="H7" s="23" cm="1">
        <f t="array" aca="1" ref="H7" ca="1">INDIRECT("'"&amp;$D7&amp;"'!"&amp;(S$3&amp;$A7))</f>
        <v>432.65434800000003</v>
      </c>
      <c r="I7" t="s">
        <v>526</v>
      </c>
      <c r="J7" s="1" cm="1">
        <f t="array" aca="1" ref="J7" ca="1">INDIRECT("'"&amp;$I7&amp;"'!"&amp;(P$3&amp;$A7))</f>
        <v>43881</v>
      </c>
      <c r="K7" s="23" cm="1">
        <f t="array" aca="1" ref="K7" ca="1">INDIRECT("'"&amp;$I7&amp;"'!"&amp;(Q$3&amp;$A7))</f>
        <v>1844289.209184</v>
      </c>
      <c r="L7" s="23" cm="1">
        <f t="array" aca="1" ref="L7" ca="1">INDIRECT("'"&amp;$I7&amp;"'!"&amp;(R$3&amp;$A7))</f>
        <v>5596663.7021359997</v>
      </c>
      <c r="M7" s="23" cm="1">
        <f t="array" aca="1" ref="M7" ca="1">INDIRECT("'"&amp;$I7&amp;"'!"&amp;(S$3&amp;$A7))</f>
        <v>432.59008499999999</v>
      </c>
      <c r="N7" s="23">
        <f ca="1">SQRT(((F7-K7)^2)+((G7-L7)^2))</f>
        <v>0.17048682313868713</v>
      </c>
      <c r="O7" s="23">
        <f ca="1">H7-M7</f>
        <v>6.4263000000039483E-2</v>
      </c>
      <c r="P7" s="23">
        <f ca="1">SQRT((N7^2)+(O7^2))</f>
        <v>0.18219629533260839</v>
      </c>
      <c r="Q7" s="11">
        <f ca="1">J7-E7</f>
        <v>1067</v>
      </c>
      <c r="R7" s="23">
        <f ca="1">(P7/(J7-E7))*365</f>
        <v>6.2325817991004749E-2</v>
      </c>
      <c r="S7" s="11">
        <f t="shared" ref="S7:S37" ca="1" si="0">IF((VLOOKUP((CONCATENATE((IF((K7-F7) &lt; 0, "A", "1")), (IF((L7-G7) &lt; 0,"B", "")))), $Y$6:$Z$9, 2, 0))=90,(90-(DEGREES((ASIN((L7-G7)/(SQRT((L7-G7)^2+(K7-F7)^2))))))),(270+((DEGREES((ASIN((L7-G7)/(SQRT((L7-G7)^2+(K7-F7)^2)))))))))</f>
        <v>216.74225746651601</v>
      </c>
      <c r="T7" s="11">
        <f t="shared" ref="T7:T37" ca="1" si="1">IF(N7&gt;0,-ATAN(O7/N7)*180/PI(),ATAN(O7/N7)*180/PI())</f>
        <v>-20.653343733772971</v>
      </c>
      <c r="U7" s="11">
        <f t="shared" ref="U7:U37" ca="1" si="2">R7*50</f>
        <v>3.1162908995502376</v>
      </c>
      <c r="V7" s="11">
        <f t="shared" ref="V7:V37" ca="1" si="3">360-S7+90</f>
        <v>233.25774253348399</v>
      </c>
      <c r="Y7" s="21" t="s">
        <v>450</v>
      </c>
      <c r="Z7" s="21">
        <v>270</v>
      </c>
      <c r="AA7" s="21" t="s">
        <v>451</v>
      </c>
      <c r="AB7" s="21"/>
    </row>
    <row r="8" spans="1:28" x14ac:dyDescent="0.3">
      <c r="A8" s="28">
        <v>6</v>
      </c>
      <c r="C8" s="27">
        <v>1</v>
      </c>
      <c r="D8" s="3" t="s">
        <v>383</v>
      </c>
      <c r="E8" s="1" cm="1">
        <f t="array" aca="1" ref="E8" ca="1">INDIRECT("'"&amp;$D8&amp;"'!"&amp;(P$3&amp;$A8))</f>
        <v>42277</v>
      </c>
      <c r="F8" s="23" cm="1">
        <f t="array" aca="1" ref="F8" ca="1">INDIRECT("'"&amp;$D8&amp;"'!"&amp;(Q$3&amp;$A8))</f>
        <v>1844611.3638300002</v>
      </c>
      <c r="G8" s="23" cm="1">
        <f t="array" aca="1" ref="G8" ca="1">INDIRECT("'"&amp;$D8&amp;"'!"&amp;(R$3&amp;$A8))</f>
        <v>5596719.8052745005</v>
      </c>
      <c r="H8" s="23" cm="1">
        <f t="array" aca="1" ref="H8" ca="1">INDIRECT("'"&amp;$D8&amp;"'!"&amp;(S$3&amp;$A8))</f>
        <v>439.01954575000002</v>
      </c>
      <c r="I8" s="21" t="s">
        <v>526</v>
      </c>
      <c r="J8" s="1" cm="1">
        <f t="array" aca="1" ref="J8" ca="1">INDIRECT("'"&amp;$I8&amp;"'!"&amp;(P$3&amp;$A8))</f>
        <v>43881</v>
      </c>
      <c r="K8" s="23" cm="1">
        <f t="array" aca="1" ref="K8" ca="1">INDIRECT("'"&amp;$I8&amp;"'!"&amp;(Q$3&amp;$A8))</f>
        <v>1844611.1935320001</v>
      </c>
      <c r="L8" s="23" cm="1">
        <f t="array" aca="1" ref="L8" ca="1">INDIRECT("'"&amp;$I8&amp;"'!"&amp;(R$3&amp;$A8))</f>
        <v>5596719.5433409996</v>
      </c>
      <c r="M8" s="23" cm="1">
        <f t="array" aca="1" ref="M8" ca="1">INDIRECT("'"&amp;$I8&amp;"'!"&amp;(S$3&amp;$A8))</f>
        <v>438.87606</v>
      </c>
      <c r="N8" s="23">
        <f ca="1">SQRT(((F8-K8)^2)+((G8-L8)^2))</f>
        <v>0.31242689980256133</v>
      </c>
      <c r="O8" s="23">
        <f t="shared" ref="O8:O37" ca="1" si="4">H8-M8</f>
        <v>0.14348575000002484</v>
      </c>
      <c r="P8" s="23">
        <f t="shared" ref="P8:P37" ca="1" si="5">SQRT((N8^2)+(O8^2))</f>
        <v>0.34380041909996173</v>
      </c>
      <c r="Q8" s="11">
        <f t="shared" ref="Q8:Q37" ca="1" si="6">J8-E8</f>
        <v>1604</v>
      </c>
      <c r="R8" s="23">
        <f t="shared" ref="R8:R37" ca="1" si="7">(P8/(J8-E8))*365</f>
        <v>7.8233885892447647E-2</v>
      </c>
      <c r="S8" s="11">
        <f t="shared" ca="1" si="0"/>
        <v>213.0302063079252</v>
      </c>
      <c r="T8" s="11">
        <f t="shared" ca="1" si="1"/>
        <v>-24.667512903632456</v>
      </c>
      <c r="U8" s="11">
        <f t="shared" ca="1" si="2"/>
        <v>3.9116942946223823</v>
      </c>
      <c r="V8" s="11">
        <f t="shared" ca="1" si="3"/>
        <v>236.9697936920748</v>
      </c>
      <c r="Y8" s="21" t="s">
        <v>452</v>
      </c>
      <c r="Z8" s="21">
        <v>270</v>
      </c>
      <c r="AA8" s="21" t="s">
        <v>453</v>
      </c>
      <c r="AB8" s="21"/>
    </row>
    <row r="9" spans="1:28" x14ac:dyDescent="0.3">
      <c r="A9" s="28">
        <v>7</v>
      </c>
      <c r="C9" s="27">
        <v>2</v>
      </c>
      <c r="D9" s="3" t="s">
        <v>384</v>
      </c>
      <c r="E9" s="1" cm="1">
        <f t="array" aca="1" ref="E9" ca="1">INDIRECT("'"&amp;$D9&amp;"'!"&amp;(P$3&amp;$A9))</f>
        <v>42188</v>
      </c>
      <c r="F9" s="23" cm="1">
        <f t="array" aca="1" ref="F9" ca="1">INDIRECT("'"&amp;$D9&amp;"'!"&amp;(Q$3&amp;$A9))</f>
        <v>1844327.1818300001</v>
      </c>
      <c r="G9" s="23" cm="1">
        <f t="array" aca="1" ref="G9" ca="1">INDIRECT("'"&amp;$D9&amp;"'!"&amp;(R$3&amp;$A9))</f>
        <v>5596603.3272745013</v>
      </c>
      <c r="H9" s="23" cm="1">
        <f t="array" aca="1" ref="H9" ca="1">INDIRECT("'"&amp;$D9&amp;"'!"&amp;(S$3&amp;$A9))</f>
        <v>430.49454574999999</v>
      </c>
      <c r="I9" s="21" t="s">
        <v>526</v>
      </c>
      <c r="J9" s="1" cm="1">
        <f t="array" aca="1" ref="J9" ca="1">INDIRECT("'"&amp;$I9&amp;"'!"&amp;(P$3&amp;$A9))</f>
        <v>43881</v>
      </c>
      <c r="K9" s="23" cm="1">
        <f t="array" aca="1" ref="K9" ca="1">INDIRECT("'"&amp;$I9&amp;"'!"&amp;(Q$3&amp;$A9))</f>
        <v>1844327.0349940001</v>
      </c>
      <c r="L9" s="23" cm="1">
        <f t="array" aca="1" ref="L9" ca="1">INDIRECT("'"&amp;$I9&amp;"'!"&amp;(R$3&amp;$A9))</f>
        <v>5596603.1033340003</v>
      </c>
      <c r="M9" s="23" cm="1">
        <f t="array" aca="1" ref="M9" ca="1">INDIRECT("'"&amp;$I9&amp;"'!"&amp;(S$3&amp;$A9))</f>
        <v>430.35041999999999</v>
      </c>
      <c r="N9" s="23">
        <f t="shared" ref="N9:N37" ca="1" si="8">SQRT(((F9-K9)^2)+((G9-L9)^2))</f>
        <v>0.2677875256392076</v>
      </c>
      <c r="O9" s="23">
        <f t="shared" ca="1" si="4"/>
        <v>0.14412575000000061</v>
      </c>
      <c r="P9" s="23">
        <f t="shared" ca="1" si="5"/>
        <v>0.30410917562781947</v>
      </c>
      <c r="Q9" s="11">
        <f t="shared" ca="1" si="6"/>
        <v>1693</v>
      </c>
      <c r="R9" s="23">
        <f t="shared" ca="1" si="7"/>
        <v>6.5563998289518075E-2</v>
      </c>
      <c r="S9" s="11">
        <f t="shared" ca="1" si="0"/>
        <v>213.25253617235202</v>
      </c>
      <c r="T9" s="11">
        <f t="shared" ca="1" si="1"/>
        <v>-28.289553019882216</v>
      </c>
      <c r="U9" s="11">
        <f t="shared" ca="1" si="2"/>
        <v>3.2781999144759038</v>
      </c>
      <c r="V9" s="11">
        <f t="shared" ca="1" si="3"/>
        <v>236.74746382764798</v>
      </c>
      <c r="Y9" s="21" t="s">
        <v>454</v>
      </c>
      <c r="Z9" s="21">
        <v>90</v>
      </c>
      <c r="AA9" s="21" t="s">
        <v>455</v>
      </c>
      <c r="AB9" s="21"/>
    </row>
    <row r="10" spans="1:28" x14ac:dyDescent="0.3">
      <c r="A10" s="28">
        <v>8</v>
      </c>
      <c r="C10" s="27">
        <v>3</v>
      </c>
      <c r="D10" s="3" t="s">
        <v>383</v>
      </c>
      <c r="E10" s="1" cm="1">
        <f t="array" aca="1" ref="E10" ca="1">INDIRECT("'"&amp;$D10&amp;"'!"&amp;(P$3&amp;$A10))</f>
        <v>42277</v>
      </c>
      <c r="F10" s="23" cm="1">
        <f t="array" aca="1" ref="F10" ca="1">INDIRECT("'"&amp;$D10&amp;"'!"&amp;(Q$3&amp;$A10))</f>
        <v>1844275.8458300002</v>
      </c>
      <c r="G10" s="23" cm="1">
        <f t="array" aca="1" ref="G10" ca="1">INDIRECT("'"&amp;$D10&amp;"'!"&amp;(R$3&amp;$A10))</f>
        <v>5596483.0532745002</v>
      </c>
      <c r="H10" s="23" cm="1">
        <f t="array" aca="1" ref="H10" ca="1">INDIRECT("'"&amp;$D10&amp;"'!"&amp;(S$3&amp;$A10))</f>
        <v>434.69554575000001</v>
      </c>
      <c r="I10" s="21" t="s">
        <v>526</v>
      </c>
      <c r="J10" s="1" cm="1">
        <f t="array" aca="1" ref="J10" ca="1">INDIRECT("'"&amp;$I10&amp;"'!"&amp;(P$3&amp;$A10))</f>
        <v>43881</v>
      </c>
      <c r="K10" s="23" cm="1">
        <f t="array" aca="1" ref="K10" ca="1">INDIRECT("'"&amp;$I10&amp;"'!"&amp;(Q$3&amp;$A10))</f>
        <v>1844275.7236540001</v>
      </c>
      <c r="L10" s="23" cm="1">
        <f t="array" aca="1" ref="L10" ca="1">INDIRECT("'"&amp;$I10&amp;"'!"&amp;(R$3&amp;$A10))</f>
        <v>5596482.7774860002</v>
      </c>
      <c r="M10" s="23" cm="1">
        <f t="array" aca="1" ref="M10" ca="1">INDIRECT("'"&amp;$I10&amp;"'!"&amp;(S$3&amp;$A10))</f>
        <v>434.64107899999999</v>
      </c>
      <c r="N10" s="23">
        <f t="shared" ca="1" si="8"/>
        <v>0.30163930733640276</v>
      </c>
      <c r="O10" s="23">
        <f t="shared" ca="1" si="4"/>
        <v>5.4466750000017328E-2</v>
      </c>
      <c r="P10" s="23">
        <f t="shared" ca="1" si="5"/>
        <v>0.30651737077358149</v>
      </c>
      <c r="Q10" s="11">
        <f t="shared" ca="1" si="6"/>
        <v>1604</v>
      </c>
      <c r="R10" s="23">
        <f t="shared" ca="1" si="7"/>
        <v>6.9749900456581818E-2</v>
      </c>
      <c r="S10" s="11">
        <f t="shared" ca="1" si="0"/>
        <v>203.89363690893305</v>
      </c>
      <c r="T10" s="11">
        <f t="shared" ca="1" si="1"/>
        <v>-10.235556462092179</v>
      </c>
      <c r="U10" s="11">
        <f t="shared" ca="1" si="2"/>
        <v>3.4874950228290911</v>
      </c>
      <c r="V10" s="11">
        <f t="shared" ca="1" si="3"/>
        <v>246.10636309106695</v>
      </c>
    </row>
    <row r="11" spans="1:28" x14ac:dyDescent="0.3">
      <c r="A11" s="28">
        <v>9</v>
      </c>
      <c r="C11" s="27">
        <v>4</v>
      </c>
      <c r="D11" s="3" t="s">
        <v>384</v>
      </c>
      <c r="E11" s="1" cm="1">
        <f t="array" aca="1" ref="E11" ca="1">INDIRECT("'"&amp;$D11&amp;"'!"&amp;(P$3&amp;$A11))</f>
        <v>42188</v>
      </c>
      <c r="F11" s="23" cm="1">
        <f t="array" aca="1" ref="F11" ca="1">INDIRECT("'"&amp;$D11&amp;"'!"&amp;(Q$3&amp;$A11))</f>
        <v>1844444.4688300001</v>
      </c>
      <c r="G11" s="23" cm="1">
        <f t="array" aca="1" ref="G11" ca="1">INDIRECT("'"&amp;$D11&amp;"'!"&amp;(R$3&amp;$A11))</f>
        <v>5596429.2242745012</v>
      </c>
      <c r="H11" s="23" cm="1">
        <f t="array" aca="1" ref="H11" ca="1">INDIRECT("'"&amp;$D11&amp;"'!"&amp;(S$3&amp;$A11))</f>
        <v>421.90254575</v>
      </c>
      <c r="I11" s="21" t="s">
        <v>526</v>
      </c>
      <c r="J11" s="1" cm="1">
        <f t="array" aca="1" ref="J11" ca="1">INDIRECT("'"&amp;$I11&amp;"'!"&amp;(P$3&amp;$A11))</f>
        <v>43817</v>
      </c>
      <c r="K11" s="23" cm="1">
        <f t="array" aca="1" ref="K11" ca="1">INDIRECT("'"&amp;$I11&amp;"'!"&amp;(Q$3&amp;$A11))</f>
        <v>1844444.35604</v>
      </c>
      <c r="L11" s="23" cm="1">
        <f t="array" aca="1" ref="L11" ca="1">INDIRECT("'"&amp;$I11&amp;"'!"&amp;(R$3&amp;$A11))</f>
        <v>5596428.7459509997</v>
      </c>
      <c r="M11" s="23" cm="1">
        <f t="array" aca="1" ref="M11" ca="1">INDIRECT("'"&amp;$I11&amp;"'!"&amp;(S$3&amp;$A11))</f>
        <v>421.83188999999999</v>
      </c>
      <c r="N11" s="23">
        <f t="shared" ca="1" si="8"/>
        <v>0.49144171196227021</v>
      </c>
      <c r="O11" s="23">
        <f t="shared" ca="1" si="4"/>
        <v>7.065575000001445E-2</v>
      </c>
      <c r="P11" s="23">
        <f t="shared" ca="1" si="5"/>
        <v>0.49649490557756126</v>
      </c>
      <c r="Q11" s="11">
        <f t="shared" ca="1" si="6"/>
        <v>1629</v>
      </c>
      <c r="R11" s="23">
        <f t="shared" ca="1" si="7"/>
        <v>0.11124655649834858</v>
      </c>
      <c r="S11" s="11">
        <f t="shared" ca="1" si="0"/>
        <v>193.26813083560168</v>
      </c>
      <c r="T11" s="11">
        <f t="shared" ca="1" si="1"/>
        <v>-8.1814868188117238</v>
      </c>
      <c r="U11" s="11">
        <f t="shared" ca="1" si="2"/>
        <v>5.5623278249174293</v>
      </c>
      <c r="V11" s="11">
        <f t="shared" ca="1" si="3"/>
        <v>256.73186916439829</v>
      </c>
    </row>
    <row r="12" spans="1:28" x14ac:dyDescent="0.3">
      <c r="A12" s="28">
        <v>10</v>
      </c>
      <c r="C12" s="27">
        <v>5</v>
      </c>
      <c r="D12" s="3" t="s">
        <v>384</v>
      </c>
      <c r="E12" s="1" cm="1">
        <f t="array" aca="1" ref="E12" ca="1">INDIRECT("'"&amp;$D12&amp;"'!"&amp;(P$3&amp;$A12))</f>
        <v>42188</v>
      </c>
      <c r="F12" s="23" cm="1">
        <f t="array" aca="1" ref="F12" ca="1">INDIRECT("'"&amp;$D12&amp;"'!"&amp;(Q$3&amp;$A12))</f>
        <v>1844577.6928300001</v>
      </c>
      <c r="G12" s="23" cm="1">
        <f t="array" aca="1" ref="G12" ca="1">INDIRECT("'"&amp;$D12&amp;"'!"&amp;(R$3&amp;$A12))</f>
        <v>5596364.9712745007</v>
      </c>
      <c r="H12" s="23" cm="1">
        <f t="array" aca="1" ref="H12" ca="1">INDIRECT("'"&amp;$D12&amp;"'!"&amp;(S$3&amp;$A12))</f>
        <v>414.71554574999999</v>
      </c>
      <c r="I12" s="21" t="s">
        <v>526</v>
      </c>
      <c r="J12" s="1" cm="1">
        <f t="array" aca="1" ref="J12" ca="1">INDIRECT("'"&amp;$I12&amp;"'!"&amp;(P$3&amp;$A12))</f>
        <v>43817</v>
      </c>
      <c r="K12" s="23" cm="1">
        <f t="array" aca="1" ref="K12" ca="1">INDIRECT("'"&amp;$I12&amp;"'!"&amp;(Q$3&amp;$A12))</f>
        <v>1844577.582804</v>
      </c>
      <c r="L12" s="23" cm="1">
        <f t="array" aca="1" ref="L12" ca="1">INDIRECT("'"&amp;$I12&amp;"'!"&amp;(R$3&amp;$A12))</f>
        <v>5596364.1203709999</v>
      </c>
      <c r="M12" s="23" cm="1">
        <f t="array" aca="1" ref="M12" ca="1">INDIRECT("'"&amp;$I12&amp;"'!"&amp;(S$3&amp;$A12))</f>
        <v>414.53913499999999</v>
      </c>
      <c r="N12" s="23">
        <f t="shared" ca="1" si="8"/>
        <v>0.85798746399312842</v>
      </c>
      <c r="O12" s="23">
        <f t="shared" ca="1" si="4"/>
        <v>0.17641075000000228</v>
      </c>
      <c r="P12" s="23">
        <f t="shared" ca="1" si="5"/>
        <v>0.87593563752419801</v>
      </c>
      <c r="Q12" s="11">
        <f t="shared" ca="1" si="6"/>
        <v>1629</v>
      </c>
      <c r="R12" s="23">
        <f t="shared" ca="1" si="7"/>
        <v>0.19626550503151155</v>
      </c>
      <c r="S12" s="11">
        <f t="shared" ca="1" si="0"/>
        <v>187.36774476534572</v>
      </c>
      <c r="T12" s="11">
        <f t="shared" ca="1" si="1"/>
        <v>-11.618659704910211</v>
      </c>
      <c r="U12" s="11">
        <f t="shared" ca="1" si="2"/>
        <v>9.8132752515755772</v>
      </c>
      <c r="V12" s="11">
        <f t="shared" ca="1" si="3"/>
        <v>262.63225523465428</v>
      </c>
    </row>
    <row r="13" spans="1:28" x14ac:dyDescent="0.3">
      <c r="A13" s="28">
        <v>11</v>
      </c>
      <c r="C13" s="27">
        <v>6</v>
      </c>
      <c r="D13" s="3" t="s">
        <v>384</v>
      </c>
      <c r="E13" s="1" cm="1">
        <f t="array" aca="1" ref="E13" ca="1">INDIRECT("'"&amp;$D13&amp;"'!"&amp;(P$3&amp;$A13))</f>
        <v>42188</v>
      </c>
      <c r="F13" s="23" cm="1">
        <f t="array" aca="1" ref="F13" ca="1">INDIRECT("'"&amp;$D13&amp;"'!"&amp;(Q$3&amp;$A13))</f>
        <v>1844789.2888300002</v>
      </c>
      <c r="G13" s="23" cm="1">
        <f t="array" aca="1" ref="G13" ca="1">INDIRECT("'"&amp;$D13&amp;"'!"&amp;(R$3&amp;$A13))</f>
        <v>5596420.2022745013</v>
      </c>
      <c r="H13" s="23" cm="1">
        <f t="array" aca="1" ref="H13" ca="1">INDIRECT("'"&amp;$D13&amp;"'!"&amp;(S$3&amp;$A13))</f>
        <v>421.45054575</v>
      </c>
      <c r="I13" s="21" t="s">
        <v>526</v>
      </c>
      <c r="J13" s="1" cm="1">
        <f t="array" aca="1" ref="J13" ca="1">INDIRECT("'"&amp;$I13&amp;"'!"&amp;(P$3&amp;$A13))</f>
        <v>43817</v>
      </c>
      <c r="K13" s="23" cm="1">
        <f t="array" aca="1" ref="K13" ca="1">INDIRECT("'"&amp;$I13&amp;"'!"&amp;(Q$3&amp;$A13))</f>
        <v>1844789.064982</v>
      </c>
      <c r="L13" s="23" cm="1">
        <f t="array" aca="1" ref="L13" ca="1">INDIRECT("'"&amp;$I13&amp;"'!"&amp;(R$3&amp;$A13))</f>
        <v>5596419.657199</v>
      </c>
      <c r="M13" s="23" cm="1">
        <f t="array" aca="1" ref="M13" ca="1">INDIRECT("'"&amp;$I13&amp;"'!"&amp;(S$3&amp;$A13))</f>
        <v>421.31316500000003</v>
      </c>
      <c r="N13" s="23">
        <f t="shared" ca="1" si="8"/>
        <v>0.58924971727926367</v>
      </c>
      <c r="O13" s="23">
        <f t="shared" ca="1" si="4"/>
        <v>0.13738074999997707</v>
      </c>
      <c r="P13" s="23">
        <f t="shared" ca="1" si="5"/>
        <v>0.60505264215954668</v>
      </c>
      <c r="Q13" s="11">
        <f t="shared" ca="1" si="6"/>
        <v>1629</v>
      </c>
      <c r="R13" s="23">
        <f t="shared" ca="1" si="7"/>
        <v>0.13557042012782969</v>
      </c>
      <c r="S13" s="11">
        <f t="shared" ca="1" si="0"/>
        <v>202.32665106560768</v>
      </c>
      <c r="T13" s="11">
        <f t="shared" ca="1" si="1"/>
        <v>-13.123799831432439</v>
      </c>
      <c r="U13" s="11">
        <f t="shared" ca="1" si="2"/>
        <v>6.7785210063914842</v>
      </c>
      <c r="V13" s="11">
        <f t="shared" ca="1" si="3"/>
        <v>247.67334893439232</v>
      </c>
    </row>
    <row r="14" spans="1:28" x14ac:dyDescent="0.3">
      <c r="A14" s="28">
        <v>12</v>
      </c>
      <c r="C14" s="27">
        <v>7</v>
      </c>
      <c r="D14" s="3" t="s">
        <v>384</v>
      </c>
      <c r="E14" s="1" cm="1">
        <f t="array" aca="1" ref="E14" ca="1">INDIRECT("'"&amp;$D14&amp;"'!"&amp;(P$3&amp;$A14))</f>
        <v>42188</v>
      </c>
      <c r="F14" s="23" cm="1">
        <f t="array" aca="1" ref="F14" ca="1">INDIRECT("'"&amp;$D14&amp;"'!"&amp;(Q$3&amp;$A14))</f>
        <v>1844897.4278300002</v>
      </c>
      <c r="G14" s="23" cm="1">
        <f t="array" aca="1" ref="G14" ca="1">INDIRECT("'"&amp;$D14&amp;"'!"&amp;(R$3&amp;$A14))</f>
        <v>5596315.6522745006</v>
      </c>
      <c r="H14" s="23" cm="1">
        <f t="array" aca="1" ref="H14" ca="1">INDIRECT("'"&amp;$D14&amp;"'!"&amp;(S$3&amp;$A14))</f>
        <v>399.10854575000002</v>
      </c>
      <c r="I14" s="21" t="s">
        <v>526</v>
      </c>
      <c r="J14" s="1" cm="1">
        <f t="array" aca="1" ref="J14" ca="1">INDIRECT("'"&amp;$I14&amp;"'!"&amp;(P$3&amp;$A14))</f>
        <v>43817</v>
      </c>
      <c r="K14" s="23" cm="1">
        <f t="array" aca="1" ref="K14" ca="1">INDIRECT("'"&amp;$I14&amp;"'!"&amp;(Q$3&amp;$A14))</f>
        <v>1844897.302599</v>
      </c>
      <c r="L14" s="23" cm="1">
        <f t="array" aca="1" ref="L14" ca="1">INDIRECT("'"&amp;$I14&amp;"'!"&amp;(R$3&amp;$A14))</f>
        <v>5596315.2713759998</v>
      </c>
      <c r="M14" s="23" cm="1">
        <f t="array" aca="1" ref="M14" ca="1">INDIRECT("'"&amp;$I14&amp;"'!"&amp;(S$3&amp;$A14))</f>
        <v>399.038813</v>
      </c>
      <c r="N14" s="23">
        <f t="shared" ca="1" si="8"/>
        <v>0.40095694444597907</v>
      </c>
      <c r="O14" s="23">
        <f t="shared" ca="1" si="4"/>
        <v>6.9732750000014221E-2</v>
      </c>
      <c r="P14" s="23">
        <f t="shared" ca="1" si="5"/>
        <v>0.4069755861498579</v>
      </c>
      <c r="Q14" s="11">
        <f t="shared" ca="1" si="6"/>
        <v>1629</v>
      </c>
      <c r="R14" s="23">
        <f t="shared" ca="1" si="7"/>
        <v>9.1188513778206345E-2</v>
      </c>
      <c r="S14" s="11">
        <f t="shared" ca="1" si="0"/>
        <v>198.19972104971393</v>
      </c>
      <c r="T14" s="11">
        <f t="shared" ca="1" si="1"/>
        <v>-9.8659605542411821</v>
      </c>
      <c r="U14" s="11">
        <f t="shared" ca="1" si="2"/>
        <v>4.5594256889103173</v>
      </c>
      <c r="V14" s="11">
        <f t="shared" ca="1" si="3"/>
        <v>251.80027895028607</v>
      </c>
    </row>
    <row r="15" spans="1:28" x14ac:dyDescent="0.3">
      <c r="A15" s="28">
        <v>13</v>
      </c>
      <c r="C15" s="27">
        <v>8</v>
      </c>
      <c r="D15" s="3" t="s">
        <v>384</v>
      </c>
      <c r="E15" s="1" cm="1">
        <f t="array" aca="1" ref="E15" ca="1">INDIRECT("'"&amp;$D15&amp;"'!"&amp;(P$3&amp;$A15))</f>
        <v>42188</v>
      </c>
      <c r="F15" s="23" cm="1">
        <f t="array" aca="1" ref="F15" ca="1">INDIRECT("'"&amp;$D15&amp;"'!"&amp;(Q$3&amp;$A15))</f>
        <v>1844684.9408300002</v>
      </c>
      <c r="G15" s="23" cm="1">
        <f t="array" aca="1" ref="G15" ca="1">INDIRECT("'"&amp;$D15&amp;"'!"&amp;(R$3&amp;$A15))</f>
        <v>5596192.1942745009</v>
      </c>
      <c r="H15" s="23" cm="1">
        <f t="array" aca="1" ref="H15" ca="1">INDIRECT("'"&amp;$D15&amp;"'!"&amp;(S$3&amp;$A15))</f>
        <v>403.08254575000001</v>
      </c>
      <c r="I15" s="3" t="s">
        <v>374</v>
      </c>
      <c r="J15" s="1" cm="1">
        <f t="array" aca="1" ref="J15" ca="1">INDIRECT("'"&amp;$I15&amp;"'!"&amp;(P$3&amp;$A15))</f>
        <v>43019</v>
      </c>
      <c r="K15" s="23" cm="1">
        <f t="array" aca="1" ref="K15" ca="1">INDIRECT("'"&amp;$I15&amp;"'!"&amp;(Q$3&amp;$A15))</f>
        <v>1844684.8533950001</v>
      </c>
      <c r="L15" s="23" cm="1">
        <f t="array" aca="1" ref="L15" ca="1">INDIRECT("'"&amp;$I15&amp;"'!"&amp;(R$3&amp;$A15))</f>
        <v>5596191.5718029998</v>
      </c>
      <c r="M15" s="23" cm="1">
        <f t="array" aca="1" ref="M15" ca="1">INDIRECT("'"&amp;$I15&amp;"'!"&amp;(S$3&amp;$A15))</f>
        <v>402.94071200000002</v>
      </c>
      <c r="N15" s="23">
        <f t="shared" ca="1" si="8"/>
        <v>0.62858225313016225</v>
      </c>
      <c r="O15" s="23">
        <f t="shared" ca="1" si="4"/>
        <v>0.14183374999998932</v>
      </c>
      <c r="P15" s="23">
        <f t="shared" ca="1" si="5"/>
        <v>0.64438533626181382</v>
      </c>
      <c r="Q15" s="11">
        <f t="shared" ca="1" si="6"/>
        <v>831</v>
      </c>
      <c r="R15" s="23">
        <f t="shared" ca="1" si="7"/>
        <v>0.28303327043990617</v>
      </c>
      <c r="S15" s="11">
        <f t="shared" ca="1" si="0"/>
        <v>187.99569764816226</v>
      </c>
      <c r="T15" s="11">
        <f t="shared" ca="1" si="1"/>
        <v>-12.715320136664424</v>
      </c>
      <c r="U15" s="11">
        <f t="shared" ca="1" si="2"/>
        <v>14.151663521995308</v>
      </c>
      <c r="V15" s="11">
        <f t="shared" ca="1" si="3"/>
        <v>262.00430235183774</v>
      </c>
    </row>
    <row r="16" spans="1:28" x14ac:dyDescent="0.3">
      <c r="A16" s="28">
        <v>14</v>
      </c>
      <c r="C16" s="27">
        <v>9</v>
      </c>
      <c r="D16" s="3" t="s">
        <v>384</v>
      </c>
      <c r="E16" s="1" cm="1">
        <f t="array" aca="1" ref="E16" ca="1">INDIRECT("'"&amp;$D16&amp;"'!"&amp;(P$3&amp;$A16))</f>
        <v>42188</v>
      </c>
      <c r="F16" s="23" cm="1">
        <f t="array" aca="1" ref="F16" ca="1">INDIRECT("'"&amp;$D16&amp;"'!"&amp;(Q$3&amp;$A16))</f>
        <v>1844488.6208300001</v>
      </c>
      <c r="G16" s="23" cm="1">
        <f t="array" aca="1" ref="G16" ca="1">INDIRECT("'"&amp;$D16&amp;"'!"&amp;(R$3&amp;$A16))</f>
        <v>5596190.8352745008</v>
      </c>
      <c r="H16" s="23" cm="1">
        <f t="array" aca="1" ref="H16" ca="1">INDIRECT("'"&amp;$D16&amp;"'!"&amp;(S$3&amp;$A16))</f>
        <v>401.19754575000002</v>
      </c>
      <c r="I16" s="3" t="s">
        <v>375</v>
      </c>
      <c r="J16" s="1" cm="1">
        <f t="array" aca="1" ref="J16" ca="1">INDIRECT("'"&amp;$I16&amp;"'!"&amp;(P$3&amp;$A16))</f>
        <v>43186</v>
      </c>
      <c r="K16" s="23" cm="1">
        <f t="array" aca="1" ref="K16" ca="1">INDIRECT("'"&amp;$I16&amp;"'!"&amp;(Q$3&amp;$A16))</f>
        <v>1844488.3019980001</v>
      </c>
      <c r="L16" s="23" cm="1">
        <f t="array" aca="1" ref="L16" ca="1">INDIRECT("'"&amp;$I16&amp;"'!"&amp;(R$3&amp;$A16))</f>
        <v>5596189.7617180003</v>
      </c>
      <c r="M16" s="23" cm="1">
        <f t="array" aca="1" ref="M16" ca="1">INDIRECT("'"&amp;$I16&amp;"'!"&amp;(S$3&amp;$A16))</f>
        <v>400.87438400000002</v>
      </c>
      <c r="N16" s="23">
        <f t="shared" ca="1" si="8"/>
        <v>1.1199006223652577</v>
      </c>
      <c r="O16" s="23">
        <f t="shared" ca="1" si="4"/>
        <v>0.32316174999999703</v>
      </c>
      <c r="P16" s="23">
        <f t="shared" ca="1" si="5"/>
        <v>1.1655946639536199</v>
      </c>
      <c r="Q16" s="11">
        <f t="shared" ca="1" si="6"/>
        <v>998</v>
      </c>
      <c r="R16" s="23">
        <f t="shared" ca="1" si="7"/>
        <v>0.42629464162632391</v>
      </c>
      <c r="S16" s="11">
        <f t="shared" ca="1" si="0"/>
        <v>196.54071913206022</v>
      </c>
      <c r="T16" s="11">
        <f t="shared" ca="1" si="1"/>
        <v>-16.09617665895524</v>
      </c>
      <c r="U16" s="11">
        <f t="shared" ca="1" si="2"/>
        <v>21.314732081316194</v>
      </c>
      <c r="V16" s="11">
        <f t="shared" ca="1" si="3"/>
        <v>253.45928086793978</v>
      </c>
    </row>
    <row r="17" spans="1:23" x14ac:dyDescent="0.3">
      <c r="A17" s="28">
        <v>15</v>
      </c>
      <c r="C17" s="27">
        <v>10</v>
      </c>
      <c r="D17" s="3" t="s">
        <v>384</v>
      </c>
      <c r="E17" s="1" cm="1">
        <f t="array" aca="1" ref="E17" ca="1">INDIRECT("'"&amp;$D17&amp;"'!"&amp;(P$3&amp;$A17))</f>
        <v>42188</v>
      </c>
      <c r="F17" s="23" cm="1">
        <f t="array" aca="1" ref="F17" ca="1">INDIRECT("'"&amp;$D17&amp;"'!"&amp;(Q$3&amp;$A17))</f>
        <v>1844340.31183</v>
      </c>
      <c r="G17" s="23" cm="1">
        <f t="array" aca="1" ref="G17" ca="1">INDIRECT("'"&amp;$D17&amp;"'!"&amp;(R$3&amp;$A17))</f>
        <v>5596229.3912745006</v>
      </c>
      <c r="H17" s="23" cm="1">
        <f t="array" aca="1" ref="H17" ca="1">INDIRECT("'"&amp;$D17&amp;"'!"&amp;(S$3&amp;$A17))</f>
        <v>405.90654575000002</v>
      </c>
      <c r="I17" s="21" t="s">
        <v>526</v>
      </c>
      <c r="J17" s="1" cm="1">
        <f t="array" aca="1" ref="J17" ca="1">INDIRECT("'"&amp;$I17&amp;"'!"&amp;(P$3&amp;$A17))</f>
        <v>43817</v>
      </c>
      <c r="K17" s="23" cm="1">
        <f t="array" aca="1" ref="K17" ca="1">INDIRECT("'"&amp;$I17&amp;"'!"&amp;(Q$3&amp;$A17))</f>
        <v>1844340.191511</v>
      </c>
      <c r="L17" s="23" cm="1">
        <f t="array" aca="1" ref="L17" ca="1">INDIRECT("'"&amp;$I17&amp;"'!"&amp;(R$3&amp;$A17))</f>
        <v>5596228.825677</v>
      </c>
      <c r="M17" s="23" cm="1">
        <f t="array" aca="1" ref="M17" ca="1">INDIRECT("'"&amp;$I17&amp;"'!"&amp;(S$3&amp;$A17))</f>
        <v>405.79440399999999</v>
      </c>
      <c r="N17" s="23">
        <f t="shared" ca="1" si="8"/>
        <v>0.57825357283805479</v>
      </c>
      <c r="O17" s="23">
        <f t="shared" ca="1" si="4"/>
        <v>0.11214175000003479</v>
      </c>
      <c r="P17" s="23">
        <f t="shared" ca="1" si="5"/>
        <v>0.58902713570178233</v>
      </c>
      <c r="Q17" s="11">
        <f t="shared" ca="1" si="6"/>
        <v>1629</v>
      </c>
      <c r="R17" s="23">
        <f t="shared" ca="1" si="7"/>
        <v>0.13197968356731157</v>
      </c>
      <c r="S17" s="11">
        <f t="shared" ca="1" si="0"/>
        <v>192.00945346978756</v>
      </c>
      <c r="T17" s="11">
        <f t="shared" ca="1" si="1"/>
        <v>-10.975235247958675</v>
      </c>
      <c r="U17" s="11">
        <f t="shared" ca="1" si="2"/>
        <v>6.5989841783655789</v>
      </c>
      <c r="V17" s="11">
        <f t="shared" ca="1" si="3"/>
        <v>257.99054653021244</v>
      </c>
    </row>
    <row r="18" spans="1:23" x14ac:dyDescent="0.3">
      <c r="A18" s="28">
        <v>16</v>
      </c>
      <c r="C18" s="27">
        <v>11</v>
      </c>
      <c r="D18" s="3" t="s">
        <v>384</v>
      </c>
      <c r="E18" s="1" cm="1">
        <f t="array" aca="1" ref="E18" ca="1">INDIRECT("'"&amp;$D18&amp;"'!"&amp;(P$3&amp;$A18))</f>
        <v>42188</v>
      </c>
      <c r="F18" s="23" cm="1">
        <f t="array" aca="1" ref="F18" ca="1">INDIRECT("'"&amp;$D18&amp;"'!"&amp;(Q$3&amp;$A18))</f>
        <v>1844394.6788300001</v>
      </c>
      <c r="G18" s="23" cm="1">
        <f t="array" aca="1" ref="G18" ca="1">INDIRECT("'"&amp;$D18&amp;"'!"&amp;(R$3&amp;$A18))</f>
        <v>5596019.6142745009</v>
      </c>
      <c r="H18" s="23" cm="1">
        <f t="array" aca="1" ref="H18" ca="1">INDIRECT("'"&amp;$D18&amp;"'!"&amp;(S$3&amp;$A18))</f>
        <v>390.49354575000001</v>
      </c>
      <c r="I18" s="21" t="s">
        <v>526</v>
      </c>
      <c r="J18" s="1" cm="1">
        <f t="array" aca="1" ref="J18" ca="1">INDIRECT("'"&amp;$I18&amp;"'!"&amp;(P$3&amp;$A18))</f>
        <v>43881</v>
      </c>
      <c r="K18" s="23" cm="1">
        <f t="array" aca="1" ref="K18" ca="1">INDIRECT("'"&amp;$I18&amp;"'!"&amp;(Q$3&amp;$A18))</f>
        <v>1844395.194262</v>
      </c>
      <c r="L18" s="23" cm="1">
        <f t="array" aca="1" ref="L18" ca="1">INDIRECT("'"&amp;$I18&amp;"'!"&amp;(R$3&amp;$A18))</f>
        <v>5596015.1099380003</v>
      </c>
      <c r="M18" s="23" cm="1">
        <f t="array" aca="1" ref="M18" ca="1">INDIRECT("'"&amp;$I18&amp;"'!"&amp;(S$3&amp;$A18))</f>
        <v>389.428943</v>
      </c>
      <c r="N18" s="23">
        <f t="shared" ca="1" si="8"/>
        <v>4.5337310745840957</v>
      </c>
      <c r="O18" s="23">
        <f t="shared" ca="1" si="4"/>
        <v>1.0646027500000059</v>
      </c>
      <c r="P18" s="23">
        <f t="shared" ca="1" si="5"/>
        <v>4.6570480426936802</v>
      </c>
      <c r="Q18" s="11">
        <f t="shared" ca="1" si="6"/>
        <v>1693</v>
      </c>
      <c r="R18" s="23">
        <f t="shared" ca="1" si="7"/>
        <v>1.0040298497242726</v>
      </c>
      <c r="S18" s="11">
        <f t="shared" ca="1" si="0"/>
        <v>173.47202828300357</v>
      </c>
      <c r="T18" s="11">
        <f t="shared" ca="1" si="1"/>
        <v>-13.214681712104436</v>
      </c>
      <c r="U18" s="11">
        <f t="shared" ca="1" si="2"/>
        <v>50.201492486213631</v>
      </c>
      <c r="V18" s="11">
        <f t="shared" ca="1" si="3"/>
        <v>276.52797171699643</v>
      </c>
    </row>
    <row r="19" spans="1:23" x14ac:dyDescent="0.3">
      <c r="A19" s="28">
        <v>17</v>
      </c>
      <c r="C19" s="27">
        <v>12</v>
      </c>
      <c r="D19" s="3" t="s">
        <v>384</v>
      </c>
      <c r="E19" s="1" cm="1">
        <f t="array" aca="1" ref="E19" ca="1">INDIRECT("'"&amp;$D19&amp;"'!"&amp;(P$3&amp;$A19))</f>
        <v>42188</v>
      </c>
      <c r="F19" s="23" cm="1">
        <f t="array" aca="1" ref="F19" ca="1">INDIRECT("'"&amp;$D19&amp;"'!"&amp;(Q$3&amp;$A19))</f>
        <v>1844570.0128300001</v>
      </c>
      <c r="G19" s="23" cm="1">
        <f t="array" aca="1" ref="G19" ca="1">INDIRECT("'"&amp;$D19&amp;"'!"&amp;(R$3&amp;$A19))</f>
        <v>5596019.3492745012</v>
      </c>
      <c r="H19" s="23" cm="1">
        <f t="array" aca="1" ref="H19" ca="1">INDIRECT("'"&amp;$D19&amp;"'!"&amp;(S$3&amp;$A19))</f>
        <v>398.63954575000002</v>
      </c>
      <c r="I19" s="21" t="s">
        <v>526</v>
      </c>
      <c r="J19" s="1" cm="1">
        <f t="array" aca="1" ref="J19" ca="1">INDIRECT("'"&amp;$I19&amp;"'!"&amp;(P$3&amp;$A19))</f>
        <v>43881</v>
      </c>
      <c r="K19" s="23" cm="1">
        <f t="array" aca="1" ref="K19" ca="1">INDIRECT("'"&amp;$I19&amp;"'!"&amp;(Q$3&amp;$A19))</f>
        <v>1844569.510278</v>
      </c>
      <c r="L19" s="23" cm="1">
        <f t="array" aca="1" ref="L19" ca="1">INDIRECT("'"&amp;$I19&amp;"'!"&amp;(R$3&amp;$A19))</f>
        <v>5596015.778159</v>
      </c>
      <c r="M19" s="23" cm="1">
        <f t="array" aca="1" ref="M19" ca="1">INDIRECT("'"&amp;$I19&amp;"'!"&amp;(S$3&amp;$A19))</f>
        <v>397.17468700000001</v>
      </c>
      <c r="N19" s="23">
        <f t="shared" ca="1" si="8"/>
        <v>3.6063034309249735</v>
      </c>
      <c r="O19" s="23">
        <f t="shared" ca="1" si="4"/>
        <v>1.464858750000019</v>
      </c>
      <c r="P19" s="23">
        <f t="shared" ca="1" si="5"/>
        <v>3.8924588107458313</v>
      </c>
      <c r="Q19" s="11">
        <f t="shared" ca="1" si="6"/>
        <v>1693</v>
      </c>
      <c r="R19" s="23">
        <f t="shared" ca="1" si="7"/>
        <v>0.83918928879044807</v>
      </c>
      <c r="S19" s="11">
        <f t="shared" ca="1" si="0"/>
        <v>188.01045377923569</v>
      </c>
      <c r="T19" s="11">
        <f t="shared" ca="1" si="1"/>
        <v>-22.106693352786436</v>
      </c>
      <c r="U19" s="11">
        <f t="shared" ca="1" si="2"/>
        <v>41.959464439522407</v>
      </c>
      <c r="V19" s="11">
        <f t="shared" ca="1" si="3"/>
        <v>261.98954622076428</v>
      </c>
    </row>
    <row r="20" spans="1:23" x14ac:dyDescent="0.3">
      <c r="A20" s="28">
        <v>18</v>
      </c>
      <c r="C20" s="27">
        <v>13</v>
      </c>
      <c r="D20" s="3" t="s">
        <v>384</v>
      </c>
      <c r="E20" s="1" cm="1">
        <f t="array" aca="1" ref="E20" ca="1">INDIRECT("'"&amp;$D20&amp;"'!"&amp;(P$3&amp;$A20))</f>
        <v>42188</v>
      </c>
      <c r="F20" s="23" cm="1">
        <f t="array" aca="1" ref="F20" ca="1">INDIRECT("'"&amp;$D20&amp;"'!"&amp;(Q$3&amp;$A20))</f>
        <v>1844676.1778300002</v>
      </c>
      <c r="G20" s="23" cm="1">
        <f t="array" aca="1" ref="G20" ca="1">INDIRECT("'"&amp;$D20&amp;"'!"&amp;(R$3&amp;$A20))</f>
        <v>5595954.1762745008</v>
      </c>
      <c r="H20" s="23" cm="1">
        <f t="array" aca="1" ref="H20" ca="1">INDIRECT("'"&amp;$D20&amp;"'!"&amp;(S$3&amp;$A20))</f>
        <v>392.32954575000002</v>
      </c>
      <c r="I20" s="21" t="s">
        <v>526</v>
      </c>
      <c r="J20" s="1" cm="1">
        <f t="array" aca="1" ref="J20" ca="1">INDIRECT("'"&amp;$I20&amp;"'!"&amp;(P$3&amp;$A20))</f>
        <v>43881</v>
      </c>
      <c r="K20" s="23" cm="1">
        <f t="array" aca="1" ref="K20" ca="1">INDIRECT("'"&amp;$I20&amp;"'!"&amp;(Q$3&amp;$A20))</f>
        <v>1844675.810509</v>
      </c>
      <c r="L20" s="23" cm="1">
        <f t="array" aca="1" ref="L20" ca="1">INDIRECT("'"&amp;$I20&amp;"'!"&amp;(R$3&amp;$A20))</f>
        <v>5595951.6662210003</v>
      </c>
      <c r="M20" s="23" cm="1">
        <f t="array" aca="1" ref="M20" ca="1">INDIRECT("'"&amp;$I20&amp;"'!"&amp;(S$3&amp;$A20))</f>
        <v>392.02419200000003</v>
      </c>
      <c r="N20" s="23">
        <f t="shared" ca="1" si="8"/>
        <v>2.5367879873429731</v>
      </c>
      <c r="O20" s="23">
        <f t="shared" ca="1" si="4"/>
        <v>0.30535374999999476</v>
      </c>
      <c r="P20" s="23">
        <f t="shared" ca="1" si="5"/>
        <v>2.5550996468565899</v>
      </c>
      <c r="Q20" s="11">
        <f t="shared" ca="1" si="6"/>
        <v>1693</v>
      </c>
      <c r="R20" s="23">
        <f t="shared" ca="1" si="7"/>
        <v>0.55086318434888082</v>
      </c>
      <c r="S20" s="11">
        <f t="shared" ca="1" si="0"/>
        <v>188.32556312178193</v>
      </c>
      <c r="T20" s="11">
        <f t="shared" ca="1" si="1"/>
        <v>-6.8636839089917174</v>
      </c>
      <c r="U20" s="11">
        <f t="shared" ca="1" si="2"/>
        <v>27.543159217444042</v>
      </c>
      <c r="V20" s="11">
        <f t="shared" ca="1" si="3"/>
        <v>261.6744368782181</v>
      </c>
    </row>
    <row r="21" spans="1:23" x14ac:dyDescent="0.3">
      <c r="A21" s="28">
        <v>19</v>
      </c>
      <c r="C21" s="27">
        <v>14</v>
      </c>
      <c r="D21" s="3" t="s">
        <v>384</v>
      </c>
      <c r="E21" s="1" cm="1">
        <f t="array" aca="1" ref="E21" ca="1">INDIRECT("'"&amp;$D21&amp;"'!"&amp;(P$3&amp;$A21))</f>
        <v>42188</v>
      </c>
      <c r="F21" s="23" cm="1">
        <f t="array" aca="1" ref="F21" ca="1">INDIRECT("'"&amp;$D21&amp;"'!"&amp;(Q$3&amp;$A21))</f>
        <v>1844384.7538300001</v>
      </c>
      <c r="G21" s="23" cm="1">
        <f t="array" aca="1" ref="G21" ca="1">INDIRECT("'"&amp;$D21&amp;"'!"&amp;(R$3&amp;$A21))</f>
        <v>5595884.0902745007</v>
      </c>
      <c r="H21" s="23" cm="1">
        <f t="array" aca="1" ref="H21" ca="1">INDIRECT("'"&amp;$D21&amp;"'!"&amp;(S$3&amp;$A21))</f>
        <v>383.78454575000001</v>
      </c>
      <c r="I21" s="21" t="s">
        <v>526</v>
      </c>
      <c r="J21" s="1" cm="1">
        <f t="array" aca="1" ref="J21" ca="1">INDIRECT("'"&amp;$I21&amp;"'!"&amp;(P$3&amp;$A21))</f>
        <v>43881</v>
      </c>
      <c r="K21" s="23" cm="1">
        <f t="array" aca="1" ref="K21" ca="1">INDIRECT("'"&amp;$I21&amp;"'!"&amp;(Q$3&amp;$A21))</f>
        <v>1844387.379923</v>
      </c>
      <c r="L21" s="23" cm="1">
        <f t="array" aca="1" ref="L21" ca="1">INDIRECT("'"&amp;$I21&amp;"'!"&amp;(R$3&amp;$A21))</f>
        <v>5595873.4393229997</v>
      </c>
      <c r="M21" s="23" cm="1">
        <f t="array" aca="1" ref="M21" ca="1">INDIRECT("'"&amp;$I21&amp;"'!"&amp;(S$3&amp;$A21))</f>
        <v>381.389906</v>
      </c>
      <c r="N21" s="23">
        <f t="shared" ca="1" si="8"/>
        <v>10.969919430907844</v>
      </c>
      <c r="O21" s="23">
        <f t="shared" ca="1" si="4"/>
        <v>2.3946397500000103</v>
      </c>
      <c r="P21" s="23">
        <f t="shared" ca="1" si="5"/>
        <v>11.228242598594385</v>
      </c>
      <c r="Q21" s="11">
        <f t="shared" ca="1" si="6"/>
        <v>1693</v>
      </c>
      <c r="R21" s="23">
        <f t="shared" ca="1" si="7"/>
        <v>2.4207374769562615</v>
      </c>
      <c r="S21" s="11">
        <f t="shared" ca="1" si="0"/>
        <v>166.1494380738547</v>
      </c>
      <c r="T21" s="11">
        <f t="shared" ca="1" si="1"/>
        <v>-12.314012344372117</v>
      </c>
      <c r="U21" s="11">
        <f t="shared" ca="1" si="2"/>
        <v>121.03687384781307</v>
      </c>
      <c r="V21" s="11">
        <f t="shared" ca="1" si="3"/>
        <v>283.8505619261453</v>
      </c>
    </row>
    <row r="22" spans="1:23" x14ac:dyDescent="0.3">
      <c r="A22" s="28">
        <v>20</v>
      </c>
      <c r="C22" s="27">
        <v>15</v>
      </c>
      <c r="D22" s="3" t="s">
        <v>382</v>
      </c>
      <c r="E22" s="1" cm="1">
        <f t="array" aca="1" ref="E22" ca="1">INDIRECT("'"&amp;$D22&amp;"'!"&amp;(P$3&amp;$A22))</f>
        <v>42345</v>
      </c>
      <c r="F22" s="23" cm="1">
        <f t="array" aca="1" ref="F22" ca="1">INDIRECT("'"&amp;$D22&amp;"'!"&amp;(Q$3&amp;$A22))</f>
        <v>1844189.9066960001</v>
      </c>
      <c r="G22" s="23" cm="1">
        <f t="array" aca="1" ref="G22" ca="1">INDIRECT("'"&amp;$D22&amp;"'!"&amp;(R$3&amp;$A22))</f>
        <v>5596021.7414965006</v>
      </c>
      <c r="H22" s="23" cm="1">
        <f t="array" aca="1" ref="H22" ca="1">INDIRECT("'"&amp;$D22&amp;"'!"&amp;(S$3&amp;$A22))</f>
        <v>396.02757225000005</v>
      </c>
      <c r="I22" s="21" t="s">
        <v>526</v>
      </c>
      <c r="J22" s="1" cm="1">
        <f t="array" aca="1" ref="J22" ca="1">INDIRECT("'"&amp;$I22&amp;"'!"&amp;(P$3&amp;$A22))</f>
        <v>43881</v>
      </c>
      <c r="K22" s="23" cm="1">
        <f t="array" aca="1" ref="K22" ca="1">INDIRECT("'"&amp;$I22&amp;"'!"&amp;(Q$3&amp;$A22))</f>
        <v>1844190.0494969999</v>
      </c>
      <c r="L22" s="23" cm="1">
        <f t="array" aca="1" ref="L22" ca="1">INDIRECT("'"&amp;$I22&amp;"'!"&amp;(R$3&amp;$A22))</f>
        <v>5596021.040542</v>
      </c>
      <c r="M22" s="23" cm="1">
        <f t="array" aca="1" ref="M22" ca="1">INDIRECT("'"&amp;$I22&amp;"'!"&amp;(S$3&amp;$A22))</f>
        <v>395.80733600000002</v>
      </c>
      <c r="N22" s="23">
        <f t="shared" ca="1" si="8"/>
        <v>0.71535259658219086</v>
      </c>
      <c r="O22" s="23">
        <f t="shared" ca="1" si="4"/>
        <v>0.22023625000002767</v>
      </c>
      <c r="P22" s="23">
        <f t="shared" ca="1" si="5"/>
        <v>0.74848737013456501</v>
      </c>
      <c r="Q22" s="11">
        <f t="shared" ca="1" si="6"/>
        <v>1536</v>
      </c>
      <c r="R22" s="23">
        <f t="shared" ca="1" si="7"/>
        <v>0.17786320969994546</v>
      </c>
      <c r="S22" s="11">
        <f t="shared" ca="1" si="0"/>
        <v>168.4850722626764</v>
      </c>
      <c r="T22" s="11">
        <f t="shared" ca="1" si="1"/>
        <v>-17.112076271159133</v>
      </c>
      <c r="U22" s="11">
        <f t="shared" ca="1" si="2"/>
        <v>8.8931604849972725</v>
      </c>
      <c r="V22" s="11">
        <f t="shared" ca="1" si="3"/>
        <v>281.5149277373236</v>
      </c>
    </row>
    <row r="23" spans="1:23" x14ac:dyDescent="0.3">
      <c r="A23" s="28">
        <v>21</v>
      </c>
      <c r="C23" s="27">
        <v>16</v>
      </c>
      <c r="D23" s="3" t="s">
        <v>384</v>
      </c>
      <c r="E23" s="1" cm="1">
        <f t="array" aca="1" ref="E23" ca="1">INDIRECT("'"&amp;$D23&amp;"'!"&amp;(P$3&amp;$A23))</f>
        <v>42188</v>
      </c>
      <c r="F23" s="23" cm="1">
        <f t="array" aca="1" ref="F23" ca="1">INDIRECT("'"&amp;$D23&amp;"'!"&amp;(Q$3&amp;$A23))</f>
        <v>1844350.1858300001</v>
      </c>
      <c r="G23" s="23" cm="1">
        <f t="array" aca="1" ref="G23" ca="1">INDIRECT("'"&amp;$D23&amp;"'!"&amp;(R$3&amp;$A23))</f>
        <v>5595799.4302745005</v>
      </c>
      <c r="H23" s="23" cm="1">
        <f t="array" aca="1" ref="H23" ca="1">INDIRECT("'"&amp;$D23&amp;"'!"&amp;(S$3&amp;$A23))</f>
        <v>359.74754575000003</v>
      </c>
      <c r="I23" s="3" t="s">
        <v>380</v>
      </c>
      <c r="J23" s="1" cm="1">
        <f t="array" aca="1" ref="J23" ca="1">INDIRECT("'"&amp;$I23&amp;"'!"&amp;(P$3&amp;$A23))</f>
        <v>42562</v>
      </c>
      <c r="K23" s="23" cm="1">
        <f t="array" aca="1" ref="K23" ca="1">INDIRECT("'"&amp;$I23&amp;"'!"&amp;(Q$3&amp;$A23))</f>
        <v>1844346.785323</v>
      </c>
      <c r="L23" s="23" cm="1">
        <f t="array" aca="1" ref="L23" ca="1">INDIRECT("'"&amp;$I23&amp;"'!"&amp;(R$3&amp;$A23))</f>
        <v>5595795.2373139998</v>
      </c>
      <c r="M23" s="23" cm="1">
        <f t="array" aca="1" ref="M23" ca="1">INDIRECT("'"&amp;$I23&amp;"'!"&amp;(S$3&amp;$A23))</f>
        <v>355.97377800000004</v>
      </c>
      <c r="N23" s="23">
        <f t="shared" ca="1" si="8"/>
        <v>5.3985521779371384</v>
      </c>
      <c r="O23" s="23">
        <f t="shared" ca="1" si="4"/>
        <v>3.7737677499999904</v>
      </c>
      <c r="P23" s="23">
        <f t="shared" ca="1" si="5"/>
        <v>6.5867813572981007</v>
      </c>
      <c r="Q23" s="11">
        <f t="shared" ca="1" si="6"/>
        <v>374</v>
      </c>
      <c r="R23" s="23">
        <f t="shared" ca="1" si="7"/>
        <v>6.4282759235663285</v>
      </c>
      <c r="S23" s="11">
        <f t="shared" ca="1" si="0"/>
        <v>219.04218461560376</v>
      </c>
      <c r="T23" s="11">
        <f t="shared" ca="1" si="1"/>
        <v>-34.954830315102754</v>
      </c>
      <c r="U23" s="11">
        <f t="shared" ca="1" si="2"/>
        <v>321.41379617831643</v>
      </c>
      <c r="V23" s="11">
        <f t="shared" ca="1" si="3"/>
        <v>230.95781538439624</v>
      </c>
    </row>
    <row r="24" spans="1:23" x14ac:dyDescent="0.3">
      <c r="A24" s="28">
        <v>22</v>
      </c>
      <c r="C24" s="27">
        <v>17</v>
      </c>
      <c r="D24" s="3" t="s">
        <v>382</v>
      </c>
      <c r="E24" s="1" cm="1">
        <f t="array" aca="1" ref="E24" ca="1">INDIRECT("'"&amp;$D24&amp;"'!"&amp;(P$3&amp;$A24))</f>
        <v>42345</v>
      </c>
      <c r="F24" s="23" cm="1">
        <f t="array" aca="1" ref="F24" ca="1">INDIRECT("'"&amp;$D24&amp;"'!"&amp;(Q$3&amp;$A24))</f>
        <v>1844523.3976960001</v>
      </c>
      <c r="G24" s="23" cm="1">
        <f t="array" aca="1" ref="G24" ca="1">INDIRECT("'"&amp;$D24&amp;"'!"&amp;(R$3&amp;$A24))</f>
        <v>5595824.9354964998</v>
      </c>
      <c r="H24" s="23" cm="1">
        <f t="array" aca="1" ref="H24" ca="1">INDIRECT("'"&amp;$D24&amp;"'!"&amp;(S$3&amp;$A24))</f>
        <v>369.28857225000002</v>
      </c>
      <c r="I24" s="21" t="s">
        <v>526</v>
      </c>
      <c r="J24" s="1" cm="1">
        <f t="array" aca="1" ref="J24" ca="1">INDIRECT("'"&amp;$I24&amp;"'!"&amp;(P$3&amp;$A24))</f>
        <v>43881</v>
      </c>
      <c r="K24" s="23" cm="1">
        <f t="array" aca="1" ref="K24" ca="1">INDIRECT("'"&amp;$I24&amp;"'!"&amp;(Q$3&amp;$A24))</f>
        <v>1844522.2921190001</v>
      </c>
      <c r="L24" s="23" cm="1">
        <f t="array" aca="1" ref="L24" ca="1">INDIRECT("'"&amp;$I24&amp;"'!"&amp;(R$3&amp;$A24))</f>
        <v>5595809.2510810001</v>
      </c>
      <c r="M24" s="23" cm="1">
        <f t="array" aca="1" ref="M24" ca="1">INDIRECT("'"&amp;$I24&amp;"'!"&amp;(S$3&amp;$A24))</f>
        <v>366.31895300000002</v>
      </c>
      <c r="N24" s="23">
        <f t="shared" ca="1" si="8"/>
        <v>15.723332664210066</v>
      </c>
      <c r="O24" s="23">
        <f t="shared" ca="1" si="4"/>
        <v>2.9696192499999938</v>
      </c>
      <c r="P24" s="23">
        <f t="shared" ca="1" si="5"/>
        <v>16.001307089090744</v>
      </c>
      <c r="Q24" s="11">
        <f t="shared" ca="1" si="6"/>
        <v>1536</v>
      </c>
      <c r="R24" s="23">
        <f t="shared" ca="1" si="7"/>
        <v>3.8023939371862769</v>
      </c>
      <c r="S24" s="11">
        <f t="shared" ca="1" si="0"/>
        <v>184.03204659516655</v>
      </c>
      <c r="T24" s="11">
        <f t="shared" ca="1" si="1"/>
        <v>-10.695301834690312</v>
      </c>
      <c r="U24" s="11">
        <f t="shared" ca="1" si="2"/>
        <v>190.11969685931385</v>
      </c>
      <c r="V24" s="11">
        <f t="shared" ca="1" si="3"/>
        <v>265.96795340483345</v>
      </c>
    </row>
    <row r="25" spans="1:23" x14ac:dyDescent="0.3">
      <c r="A25" s="28">
        <v>23</v>
      </c>
      <c r="C25" s="27">
        <v>18</v>
      </c>
      <c r="D25" s="3" t="s">
        <v>384</v>
      </c>
      <c r="E25" s="1" cm="1">
        <f t="array" aca="1" ref="E25" ca="1">INDIRECT("'"&amp;$D25&amp;"'!"&amp;(P$3&amp;$A25))</f>
        <v>42188</v>
      </c>
      <c r="F25" s="23" cm="1">
        <f t="array" aca="1" ref="F25" ca="1">INDIRECT("'"&amp;$D25&amp;"'!"&amp;(Q$3&amp;$A25))</f>
        <v>1844708.10883</v>
      </c>
      <c r="G25" s="23" cm="1">
        <f t="array" aca="1" ref="G25" ca="1">INDIRECT("'"&amp;$D25&amp;"'!"&amp;(R$3&amp;$A25))</f>
        <v>5595726.9282745011</v>
      </c>
      <c r="H25" s="23" cm="1">
        <f t="array" aca="1" ref="H25" ca="1">INDIRECT("'"&amp;$D25&amp;"'!"&amp;(S$3&amp;$A25))</f>
        <v>376.10954575</v>
      </c>
      <c r="I25" s="21" t="s">
        <v>526</v>
      </c>
      <c r="J25" s="1" cm="1">
        <f t="array" aca="1" ref="J25" ca="1">INDIRECT("'"&amp;$I25&amp;"'!"&amp;(P$3&amp;$A25))</f>
        <v>43881</v>
      </c>
      <c r="K25" s="23" cm="1">
        <f t="array" aca="1" ref="K25" ca="1">INDIRECT("'"&amp;$I25&amp;"'!"&amp;(Q$3&amp;$A25))</f>
        <v>1844707.4221389999</v>
      </c>
      <c r="L25" s="23" cm="1">
        <f t="array" aca="1" ref="L25" ca="1">INDIRECT("'"&amp;$I25&amp;"'!"&amp;(R$3&amp;$A25))</f>
        <v>5595724.775467</v>
      </c>
      <c r="M25" s="23" cm="1">
        <f t="array" aca="1" ref="M25" ca="1">INDIRECT("'"&amp;$I25&amp;"'!"&amp;(S$3&amp;$A25))</f>
        <v>375.66105900000002</v>
      </c>
      <c r="N25" s="23">
        <f t="shared" ca="1" si="8"/>
        <v>2.2596735752403223</v>
      </c>
      <c r="O25" s="23">
        <f t="shared" ca="1" si="4"/>
        <v>0.44848674999997229</v>
      </c>
      <c r="P25" s="23">
        <f t="shared" ca="1" si="5"/>
        <v>2.3037502103233582</v>
      </c>
      <c r="Q25" s="11">
        <f t="shared" ca="1" si="6"/>
        <v>1693</v>
      </c>
      <c r="R25" s="23">
        <f t="shared" ca="1" si="7"/>
        <v>0.49667384924277957</v>
      </c>
      <c r="S25" s="11">
        <f t="shared" ca="1" si="0"/>
        <v>197.69136410595041</v>
      </c>
      <c r="T25" s="11">
        <f t="shared" ca="1" si="1"/>
        <v>-11.225844558737878</v>
      </c>
      <c r="U25" s="11">
        <f t="shared" ca="1" si="2"/>
        <v>24.833692462138977</v>
      </c>
      <c r="V25" s="11">
        <f t="shared" ca="1" si="3"/>
        <v>252.30863589404959</v>
      </c>
    </row>
    <row r="26" spans="1:23" x14ac:dyDescent="0.3">
      <c r="A26" s="28">
        <v>24</v>
      </c>
      <c r="C26" s="27">
        <v>19</v>
      </c>
      <c r="D26" s="3" t="s">
        <v>384</v>
      </c>
      <c r="E26" s="1" cm="1">
        <f t="array" aca="1" ref="E26" ca="1">INDIRECT("'"&amp;$D26&amp;"'!"&amp;(P$3&amp;$A26))</f>
        <v>42188</v>
      </c>
      <c r="F26" s="23" cm="1">
        <f t="array" aca="1" ref="F26" ca="1">INDIRECT("'"&amp;$D26&amp;"'!"&amp;(Q$3&amp;$A26))</f>
        <v>1844646.9658300001</v>
      </c>
      <c r="G26" s="23" cm="1">
        <f t="array" aca="1" ref="G26" ca="1">INDIRECT("'"&amp;$D26&amp;"'!"&amp;(R$3&amp;$A26))</f>
        <v>5595690.2292745011</v>
      </c>
      <c r="H26" s="23" cm="1">
        <f t="array" aca="1" ref="H26" ca="1">INDIRECT("'"&amp;$D26&amp;"'!"&amp;(S$3&amp;$A26))</f>
        <v>360.97354575000003</v>
      </c>
      <c r="I26" s="21" t="s">
        <v>526</v>
      </c>
      <c r="J26" s="1" cm="1">
        <f t="array" aca="1" ref="J26" ca="1">INDIRECT("'"&amp;$I26&amp;"'!"&amp;(P$3&amp;$A26))</f>
        <v>43881</v>
      </c>
      <c r="K26" s="23" cm="1">
        <f t="array" aca="1" ref="K26" ca="1">INDIRECT("'"&amp;$I26&amp;"'!"&amp;(Q$3&amp;$A26))</f>
        <v>1844642.5206200001</v>
      </c>
      <c r="L26" s="23" cm="1">
        <f t="array" aca="1" ref="L26" ca="1">INDIRECT("'"&amp;$I26&amp;"'!"&amp;(R$3&amp;$A26))</f>
        <v>5595684.7471629996</v>
      </c>
      <c r="M26" s="23" cm="1">
        <f t="array" aca="1" ref="M26" ca="1">INDIRECT("'"&amp;$I26&amp;"'!"&amp;(S$3&amp;$A26))</f>
        <v>357.65443900000002</v>
      </c>
      <c r="N26" s="23">
        <f t="shared" ca="1" si="8"/>
        <v>7.057863590305951</v>
      </c>
      <c r="O26" s="23">
        <f t="shared" ca="1" si="4"/>
        <v>3.3191067500000031</v>
      </c>
      <c r="P26" s="23">
        <f t="shared" ca="1" si="5"/>
        <v>7.7993530550464243</v>
      </c>
      <c r="Q26" s="11">
        <f t="shared" ca="1" si="6"/>
        <v>1693</v>
      </c>
      <c r="R26" s="23">
        <f t="shared" ca="1" si="7"/>
        <v>1.6814907649686621</v>
      </c>
      <c r="S26" s="11">
        <f t="shared" ca="1" si="0"/>
        <v>219.03711914252295</v>
      </c>
      <c r="T26" s="11">
        <f t="shared" ca="1" si="1"/>
        <v>-25.186228904061668</v>
      </c>
      <c r="U26" s="11">
        <f t="shared" ca="1" si="2"/>
        <v>84.0745382484331</v>
      </c>
      <c r="V26" s="11">
        <f t="shared" ca="1" si="3"/>
        <v>230.96288085747705</v>
      </c>
    </row>
    <row r="27" spans="1:23" x14ac:dyDescent="0.3">
      <c r="A27" s="28">
        <v>25</v>
      </c>
      <c r="C27" s="27">
        <v>20</v>
      </c>
      <c r="D27" s="3" t="s">
        <v>384</v>
      </c>
      <c r="E27" s="1" cm="1">
        <f t="array" aca="1" ref="E27" ca="1">INDIRECT("'"&amp;$D27&amp;"'!"&amp;(P$3&amp;$A27))</f>
        <v>42188</v>
      </c>
      <c r="F27" s="23" cm="1">
        <f t="array" aca="1" ref="F27" ca="1">INDIRECT("'"&amp;$D27&amp;"'!"&amp;(Q$3&amp;$A27))</f>
        <v>1844629.3128300002</v>
      </c>
      <c r="G27" s="23" cm="1">
        <f t="array" aca="1" ref="G27" ca="1">INDIRECT("'"&amp;$D27&amp;"'!"&amp;(R$3&amp;$A27))</f>
        <v>5595619.8522745008</v>
      </c>
      <c r="H27" s="23" cm="1">
        <f t="array" aca="1" ref="H27" ca="1">INDIRECT("'"&amp;$D27&amp;"'!"&amp;(S$3&amp;$A27))</f>
        <v>335.44154574999999</v>
      </c>
      <c r="I27" s="21" t="s">
        <v>526</v>
      </c>
      <c r="J27" s="1" cm="1">
        <f t="array" aca="1" ref="J27" ca="1">INDIRECT("'"&amp;$I27&amp;"'!"&amp;(P$3&amp;$A27))</f>
        <v>43817</v>
      </c>
      <c r="K27" s="23" cm="1">
        <f t="array" aca="1" ref="K27" ca="1">INDIRECT("'"&amp;$I27&amp;"'!"&amp;(Q$3&amp;$A27))</f>
        <v>1844629.363438</v>
      </c>
      <c r="L27" s="23" cm="1">
        <f t="array" aca="1" ref="L27" ca="1">INDIRECT("'"&amp;$I27&amp;"'!"&amp;(R$3&amp;$A27))</f>
        <v>5595607.6544620004</v>
      </c>
      <c r="M27" s="23" cm="1">
        <f t="array" aca="1" ref="M27" ca="1">INDIRECT("'"&amp;$I27&amp;"'!"&amp;(S$3&amp;$A27))</f>
        <v>331.71059600000001</v>
      </c>
      <c r="N27" s="23">
        <f t="shared" ca="1" si="8"/>
        <v>12.197917484751057</v>
      </c>
      <c r="O27" s="23">
        <f t="shared" ca="1" si="4"/>
        <v>3.7309497499999793</v>
      </c>
      <c r="P27" s="23">
        <f t="shared" ca="1" si="5"/>
        <v>12.755750742383627</v>
      </c>
      <c r="Q27" s="11">
        <f t="shared" ca="1" si="6"/>
        <v>1629</v>
      </c>
      <c r="R27" s="23">
        <f t="shared" ca="1" si="7"/>
        <v>2.8581025297544653</v>
      </c>
      <c r="S27" s="11">
        <f t="shared" ca="1" si="0"/>
        <v>179.76228457687188</v>
      </c>
      <c r="T27" s="11">
        <f t="shared" ca="1" si="1"/>
        <v>-17.007182599778847</v>
      </c>
      <c r="U27" s="11">
        <f t="shared" ca="1" si="2"/>
        <v>142.90512648772327</v>
      </c>
      <c r="V27" s="11">
        <f t="shared" ca="1" si="3"/>
        <v>270.23771542312812</v>
      </c>
    </row>
    <row r="28" spans="1:23" x14ac:dyDescent="0.3">
      <c r="A28" s="28">
        <v>26</v>
      </c>
      <c r="C28" s="27">
        <v>21</v>
      </c>
      <c r="D28" s="3" t="s">
        <v>384</v>
      </c>
      <c r="E28" s="1" cm="1">
        <f t="array" aca="1" ref="E28" ca="1">INDIRECT("'"&amp;$D28&amp;"'!"&amp;(P$3&amp;$A28))</f>
        <v>42188</v>
      </c>
      <c r="F28" s="23" cm="1">
        <f t="array" aca="1" ref="F28" ca="1">INDIRECT("'"&amp;$D28&amp;"'!"&amp;(Q$3&amp;$A28))</f>
        <v>1844479.85883</v>
      </c>
      <c r="G28" s="23" cm="1">
        <f t="array" aca="1" ref="G28" ca="1">INDIRECT("'"&amp;$D28&amp;"'!"&amp;(R$3&amp;$A28))</f>
        <v>5595569.5772745013</v>
      </c>
      <c r="H28" s="23" cm="1">
        <f t="array" aca="1" ref="H28" ca="1">INDIRECT("'"&amp;$D28&amp;"'!"&amp;(S$3&amp;$A28))</f>
        <v>313.05754575000003</v>
      </c>
      <c r="I28" s="21" t="s">
        <v>526</v>
      </c>
      <c r="J28" s="1" cm="1">
        <f t="array" aca="1" ref="J28" ca="1">INDIRECT("'"&amp;$I28&amp;"'!"&amp;(P$3&amp;$A28))</f>
        <v>43817</v>
      </c>
      <c r="K28" s="23" cm="1">
        <f t="array" aca="1" ref="K28" ca="1">INDIRECT("'"&amp;$I28&amp;"'!"&amp;(Q$3&amp;$A28))</f>
        <v>1844500.214831</v>
      </c>
      <c r="L28" s="23" cm="1">
        <f t="array" aca="1" ref="L28" ca="1">INDIRECT("'"&amp;$I28&amp;"'!"&amp;(R$3&amp;$A28))</f>
        <v>5595530.2005660003</v>
      </c>
      <c r="M28" s="23" cm="1">
        <f t="array" aca="1" ref="M28" ca="1">INDIRECT("'"&amp;$I28&amp;"'!"&amp;(S$3&amp;$A28))</f>
        <v>304.42493999999999</v>
      </c>
      <c r="N28" s="23">
        <f t="shared" ca="1" si="8"/>
        <v>44.327101744676881</v>
      </c>
      <c r="O28" s="23">
        <f t="shared" ca="1" si="4"/>
        <v>8.6326057500000388</v>
      </c>
      <c r="P28" s="23">
        <f t="shared" ca="1" si="5"/>
        <v>45.159869697751233</v>
      </c>
      <c r="Q28" s="11">
        <f t="shared" ca="1" si="6"/>
        <v>1629</v>
      </c>
      <c r="R28" s="23">
        <f t="shared" ca="1" si="7"/>
        <v>10.118693947009945</v>
      </c>
      <c r="S28" s="11">
        <f t="shared" ca="1" si="0"/>
        <v>152.66305393356598</v>
      </c>
      <c r="T28" s="11">
        <f t="shared" ca="1" si="1"/>
        <v>-11.02028793666662</v>
      </c>
      <c r="U28" s="11">
        <f t="shared" ca="1" si="2"/>
        <v>505.93469735049723</v>
      </c>
      <c r="V28" s="11">
        <f t="shared" ca="1" si="3"/>
        <v>297.33694606643405</v>
      </c>
      <c r="W28" s="21"/>
    </row>
    <row r="29" spans="1:23" x14ac:dyDescent="0.3">
      <c r="A29" s="28">
        <v>27</v>
      </c>
      <c r="C29" s="27">
        <v>22</v>
      </c>
      <c r="D29" s="3" t="s">
        <v>384</v>
      </c>
      <c r="E29" s="1" cm="1">
        <f t="array" aca="1" ref="E29" ca="1">INDIRECT("'"&amp;$D29&amp;"'!"&amp;(P$3&amp;$A29))</f>
        <v>42188</v>
      </c>
      <c r="F29" s="23" cm="1">
        <f t="array" aca="1" ref="F29" ca="1">INDIRECT("'"&amp;$D29&amp;"'!"&amp;(Q$3&amp;$A29))</f>
        <v>1844424.1138300002</v>
      </c>
      <c r="G29" s="23" cm="1">
        <f t="array" aca="1" ref="G29" ca="1">INDIRECT("'"&amp;$D29&amp;"'!"&amp;(R$3&amp;$A29))</f>
        <v>5595468.4612745009</v>
      </c>
      <c r="H29" s="23" cm="1">
        <f t="array" aca="1" ref="H29" ca="1">INDIRECT("'"&amp;$D29&amp;"'!"&amp;(S$3&amp;$A29))</f>
        <v>305.91054575000004</v>
      </c>
      <c r="I29" s="3" t="s">
        <v>375</v>
      </c>
      <c r="J29" s="1" cm="1">
        <f t="array" aca="1" ref="J29" ca="1">INDIRECT("'"&amp;$I29&amp;"'!"&amp;(P$3&amp;$A29))</f>
        <v>43186</v>
      </c>
      <c r="K29" s="23" cm="1">
        <f t="array" aca="1" ref="K29" ca="1">INDIRECT("'"&amp;$I29&amp;"'!"&amp;(Q$3&amp;$A29))</f>
        <v>1844466.2812699999</v>
      </c>
      <c r="L29" s="23" cm="1">
        <f t="array" aca="1" ref="L29" ca="1">INDIRECT("'"&amp;$I29&amp;"'!"&amp;(R$3&amp;$A29))</f>
        <v>5595443.1821339997</v>
      </c>
      <c r="M29" s="23" cm="1">
        <f t="array" aca="1" ref="M29" ca="1">INDIRECT("'"&amp;$I29&amp;"'!"&amp;(S$3&amp;$A29))</f>
        <v>301.06923899999998</v>
      </c>
      <c r="N29" s="23">
        <f t="shared" ca="1" si="8"/>
        <v>49.164295384117395</v>
      </c>
      <c r="O29" s="23">
        <f t="shared" ca="1" si="4"/>
        <v>4.8413067500000579</v>
      </c>
      <c r="P29" s="23">
        <f t="shared" ca="1" si="5"/>
        <v>49.402086916084251</v>
      </c>
      <c r="Q29" s="11">
        <f t="shared" ca="1" si="6"/>
        <v>998</v>
      </c>
      <c r="R29" s="23">
        <f t="shared" ca="1" si="7"/>
        <v>18.06789751940957</v>
      </c>
      <c r="S29" s="11">
        <f t="shared" ca="1" si="0"/>
        <v>120.94244759286825</v>
      </c>
      <c r="T29" s="11">
        <f t="shared" ca="1" si="1"/>
        <v>-5.6238992424837368</v>
      </c>
      <c r="U29" s="11">
        <f t="shared" ca="1" si="2"/>
        <v>903.39487597047855</v>
      </c>
      <c r="V29" s="11">
        <f t="shared" ca="1" si="3"/>
        <v>329.05755240713177</v>
      </c>
    </row>
    <row r="30" spans="1:23" x14ac:dyDescent="0.3">
      <c r="A30" s="28">
        <v>28</v>
      </c>
      <c r="C30" s="27">
        <v>23</v>
      </c>
      <c r="D30" s="3" t="s">
        <v>384</v>
      </c>
      <c r="E30" s="1" cm="1">
        <f t="array" aca="1" ref="E30" ca="1">INDIRECT("'"&amp;$D30&amp;"'!"&amp;(P$3&amp;$A30))</f>
        <v>42188</v>
      </c>
      <c r="F30" s="23" cm="1">
        <f t="array" aca="1" ref="F30" ca="1">INDIRECT("'"&amp;$D30&amp;"'!"&amp;(Q$3&amp;$A30))</f>
        <v>1844378.8008300001</v>
      </c>
      <c r="G30" s="23" cm="1">
        <f t="array" aca="1" ref="G30" ca="1">INDIRECT("'"&amp;$D30&amp;"'!"&amp;(R$3&amp;$A30))</f>
        <v>5595386.2032745006</v>
      </c>
      <c r="H30" s="23" cm="1">
        <f t="array" aca="1" ref="H30" ca="1">INDIRECT("'"&amp;$D30&amp;"'!"&amp;(S$3&amp;$A30))</f>
        <v>310.75454575000003</v>
      </c>
      <c r="I30" s="21" t="s">
        <v>526</v>
      </c>
      <c r="J30" s="1" cm="1">
        <f t="array" aca="1" ref="J30" ca="1">INDIRECT("'"&amp;$I30&amp;"'!"&amp;(P$3&amp;$A30))</f>
        <v>43817</v>
      </c>
      <c r="K30" s="23" cm="1">
        <f t="array" aca="1" ref="K30" ca="1">INDIRECT("'"&amp;$I30&amp;"'!"&amp;(Q$3&amp;$A30))</f>
        <v>1844378.793267</v>
      </c>
      <c r="L30" s="23" cm="1">
        <f t="array" aca="1" ref="L30" ca="1">INDIRECT("'"&amp;$I30&amp;"'!"&amp;(R$3&amp;$A30))</f>
        <v>5595386.1768840002</v>
      </c>
      <c r="M30" s="23" cm="1">
        <f t="array" aca="1" ref="M30" ca="1">INDIRECT("'"&amp;$I30&amp;"'!"&amp;(S$3&amp;$A30))</f>
        <v>310.733542</v>
      </c>
      <c r="N30" s="23">
        <f t="shared" ca="1" si="8"/>
        <v>2.7452822802087183E-2</v>
      </c>
      <c r="O30" s="23">
        <f t="shared" ca="1" si="4"/>
        <v>2.1003750000033961E-2</v>
      </c>
      <c r="P30" s="23">
        <f t="shared" ca="1" si="5"/>
        <v>3.4566096017148433E-2</v>
      </c>
      <c r="Q30" s="11">
        <f t="shared" ca="1" si="6"/>
        <v>1629</v>
      </c>
      <c r="R30" s="23">
        <f t="shared" ca="1" si="7"/>
        <v>7.7450123058681267E-3</v>
      </c>
      <c r="S30" s="11">
        <f t="shared" ca="1" si="0"/>
        <v>195.99126468575366</v>
      </c>
      <c r="T30" s="11">
        <f t="shared" ca="1" si="1"/>
        <v>-37.419070003561785</v>
      </c>
      <c r="U30" s="11">
        <f t="shared" ca="1" si="2"/>
        <v>0.38725061529340632</v>
      </c>
      <c r="V30" s="11">
        <f t="shared" ca="1" si="3"/>
        <v>254.00873531424634</v>
      </c>
    </row>
    <row r="31" spans="1:23" x14ac:dyDescent="0.3">
      <c r="A31" s="28">
        <v>29</v>
      </c>
      <c r="C31" s="27">
        <v>24</v>
      </c>
      <c r="D31" s="3" t="s">
        <v>384</v>
      </c>
      <c r="E31" s="1" cm="1">
        <f t="array" aca="1" ref="E31" ca="1">INDIRECT("'"&amp;$D31&amp;"'!"&amp;(P$3&amp;$A31))</f>
        <v>42188</v>
      </c>
      <c r="F31" s="23" cm="1">
        <f t="array" aca="1" ref="F31" ca="1">INDIRECT("'"&amp;$D31&amp;"'!"&amp;(Q$3&amp;$A31))</f>
        <v>1844362.2458300001</v>
      </c>
      <c r="G31" s="23" cm="1">
        <f t="array" aca="1" ref="G31" ca="1">INDIRECT("'"&amp;$D31&amp;"'!"&amp;(R$3&amp;$A31))</f>
        <v>5595631.0492745014</v>
      </c>
      <c r="H31" s="23" cm="1">
        <f t="array" aca="1" ref="H31" ca="1">INDIRECT("'"&amp;$D31&amp;"'!"&amp;(S$3&amp;$A31))</f>
        <v>327.02054575</v>
      </c>
      <c r="I31" s="21" t="s">
        <v>526</v>
      </c>
      <c r="J31" s="1" cm="1">
        <f t="array" aca="1" ref="J31" ca="1">INDIRECT("'"&amp;$I31&amp;"'!"&amp;(P$3&amp;$A31))</f>
        <v>43817</v>
      </c>
      <c r="K31" s="23" cm="1">
        <f t="array" aca="1" ref="K31" ca="1">INDIRECT("'"&amp;$I31&amp;"'!"&amp;(Q$3&amp;$A31))</f>
        <v>1844366.2500849999</v>
      </c>
      <c r="L31" s="23" cm="1">
        <f t="array" aca="1" ref="L31" ca="1">INDIRECT("'"&amp;$I31&amp;"'!"&amp;(R$3&amp;$A31))</f>
        <v>5595605.1841869997</v>
      </c>
      <c r="M31" s="23" cm="1">
        <f t="array" aca="1" ref="M31" ca="1">INDIRECT("'"&amp;$I31&amp;"'!"&amp;(S$3&amp;$A31))</f>
        <v>326.93478699999997</v>
      </c>
      <c r="N31" s="23">
        <f ca="1">SQRT(((F31-K31)^2)+((G31-L31)^2))</f>
        <v>26.173207857927743</v>
      </c>
      <c r="O31" s="23">
        <f t="shared" ca="1" si="4"/>
        <v>8.5758750000024975E-2</v>
      </c>
      <c r="P31" s="23">
        <f t="shared" ca="1" si="5"/>
        <v>26.173348355483522</v>
      </c>
      <c r="Q31" s="11">
        <f t="shared" ca="1" si="6"/>
        <v>1629</v>
      </c>
      <c r="R31" s="23">
        <f t="shared" ca="1" si="7"/>
        <v>5.8645010127387884</v>
      </c>
      <c r="S31" s="11">
        <f t="shared" ca="1" si="0"/>
        <v>171.19972330789707</v>
      </c>
      <c r="T31" s="11">
        <f t="shared" ca="1" si="1"/>
        <v>-0.18773384118204695</v>
      </c>
      <c r="U31" s="11">
        <f t="shared" ca="1" si="2"/>
        <v>293.22505063693944</v>
      </c>
      <c r="V31" s="11">
        <f t="shared" ca="1" si="3"/>
        <v>278.8002766921029</v>
      </c>
    </row>
    <row r="32" spans="1:23" x14ac:dyDescent="0.3">
      <c r="A32" s="28">
        <v>30</v>
      </c>
      <c r="C32" s="27">
        <v>25</v>
      </c>
      <c r="D32" s="3" t="s">
        <v>383</v>
      </c>
      <c r="E32" s="1" cm="1">
        <f t="array" aca="1" ref="E32" ca="1">INDIRECT("'"&amp;$D32&amp;"'!"&amp;(P$3&amp;$A32))</f>
        <v>42277</v>
      </c>
      <c r="F32" s="23" cm="1">
        <f t="array" aca="1" ref="F32" ca="1">INDIRECT("'"&amp;$D32&amp;"'!"&amp;(Q$3&amp;$A32))</f>
        <v>1844336.9728300001</v>
      </c>
      <c r="G32" s="23" cm="1">
        <f t="array" aca="1" ref="G32" ca="1">INDIRECT("'"&amp;$D32&amp;"'!"&amp;(R$3&amp;$A32))</f>
        <v>5595540.0232744999</v>
      </c>
      <c r="H32" s="23" cm="1">
        <f t="array" aca="1" ref="H32" ca="1">INDIRECT("'"&amp;$D32&amp;"'!"&amp;(S$3&amp;$A32))</f>
        <v>317.15154575000003</v>
      </c>
      <c r="I32" s="21" t="s">
        <v>526</v>
      </c>
      <c r="J32" s="1" cm="1">
        <f t="array" aca="1" ref="J32" ca="1">INDIRECT("'"&amp;$I32&amp;"'!"&amp;(P$3&amp;$A32))</f>
        <v>43817</v>
      </c>
      <c r="K32" s="23" cm="1">
        <f t="array" aca="1" ref="K32" ca="1">INDIRECT("'"&amp;$I32&amp;"'!"&amp;(Q$3&amp;$A32))</f>
        <v>1844349.2292810001</v>
      </c>
      <c r="L32" s="23" cm="1">
        <f t="array" aca="1" ref="L32" ca="1">INDIRECT("'"&amp;$I32&amp;"'!"&amp;(R$3&amp;$A32))</f>
        <v>5595514.8842219999</v>
      </c>
      <c r="M32" s="23" cm="1">
        <f t="array" aca="1" ref="M32" ca="1">INDIRECT("'"&amp;$I32&amp;"'!"&amp;(S$3&amp;$A32))</f>
        <v>315.43366099999997</v>
      </c>
      <c r="N32" s="23">
        <f t="shared" ca="1" si="8"/>
        <v>27.967705513929101</v>
      </c>
      <c r="O32" s="23">
        <f t="shared" ca="1" si="4"/>
        <v>1.7178847500000529</v>
      </c>
      <c r="P32" s="23">
        <f t="shared" ca="1" si="5"/>
        <v>28.020415409628441</v>
      </c>
      <c r="Q32" s="11">
        <f t="shared" ca="1" si="6"/>
        <v>1540</v>
      </c>
      <c r="R32" s="23">
        <f t="shared" ca="1" si="7"/>
        <v>6.6412023535807663</v>
      </c>
      <c r="S32" s="11">
        <f t="shared" ca="1" si="0"/>
        <v>154.00862495366542</v>
      </c>
      <c r="T32" s="11">
        <f t="shared" ca="1" si="1"/>
        <v>-3.5149125758892468</v>
      </c>
      <c r="U32" s="11">
        <f t="shared" ca="1" si="2"/>
        <v>332.06011767903829</v>
      </c>
      <c r="V32" s="11">
        <f t="shared" ca="1" si="3"/>
        <v>295.99137504633461</v>
      </c>
    </row>
    <row r="33" spans="1:29" x14ac:dyDescent="0.3">
      <c r="A33" s="28">
        <v>31</v>
      </c>
      <c r="C33" s="27">
        <v>26</v>
      </c>
      <c r="D33" s="3" t="s">
        <v>383</v>
      </c>
      <c r="E33" s="1" cm="1">
        <f t="array" aca="1" ref="E33" ca="1">INDIRECT("'"&amp;$D33&amp;"'!"&amp;(P$3&amp;$A33))</f>
        <v>42277</v>
      </c>
      <c r="F33" s="23" cm="1">
        <f t="array" aca="1" ref="F33" ca="1">INDIRECT("'"&amp;$D33&amp;"'!"&amp;(Q$3&amp;$A33))</f>
        <v>1844303.2148300002</v>
      </c>
      <c r="G33" s="23" cm="1">
        <f t="array" aca="1" ref="G33" ca="1">INDIRECT("'"&amp;$D33&amp;"'!"&amp;(R$3&amp;$A33))</f>
        <v>5595520.1982744997</v>
      </c>
      <c r="H33" s="23" cm="1">
        <f t="array" aca="1" ref="H33" ca="1">INDIRECT("'"&amp;$D33&amp;"'!"&amp;(S$3&amp;$A33))</f>
        <v>314.47654575000001</v>
      </c>
      <c r="I33" s="21" t="s">
        <v>526</v>
      </c>
      <c r="J33" s="1" cm="1">
        <f t="array" aca="1" ref="J33" ca="1">INDIRECT("'"&amp;$I33&amp;"'!"&amp;(P$3&amp;$A33))</f>
        <v>43817</v>
      </c>
      <c r="K33" s="23" cm="1">
        <f t="array" aca="1" ref="K33" ca="1">INDIRECT("'"&amp;$I33&amp;"'!"&amp;(Q$3&amp;$A33))</f>
        <v>1844303.0701860001</v>
      </c>
      <c r="L33" s="23" cm="1">
        <f t="array" aca="1" ref="L33" ca="1">INDIRECT("'"&amp;$I33&amp;"'!"&amp;(R$3&amp;$A33))</f>
        <v>5595520.0634059999</v>
      </c>
      <c r="M33" s="23" cm="1">
        <f t="array" aca="1" ref="M33" ca="1">INDIRECT("'"&amp;$I33&amp;"'!"&amp;(S$3&amp;$A33))</f>
        <v>314.61509699999999</v>
      </c>
      <c r="N33" s="23">
        <f t="shared" ca="1" si="8"/>
        <v>0.19776602086795148</v>
      </c>
      <c r="O33" s="23">
        <f t="shared" ca="1" si="4"/>
        <v>-0.1385512499999777</v>
      </c>
      <c r="P33" s="23">
        <f t="shared" ca="1" si="5"/>
        <v>0.24147018011857974</v>
      </c>
      <c r="Q33" s="11">
        <f t="shared" ca="1" si="6"/>
        <v>1540</v>
      </c>
      <c r="R33" s="23">
        <f t="shared" ca="1" si="7"/>
        <v>5.7231568664468574E-2</v>
      </c>
      <c r="S33" s="11">
        <f t="shared" ca="1" si="0"/>
        <v>227.00301138011599</v>
      </c>
      <c r="T33" s="11">
        <f t="shared" ca="1" si="1"/>
        <v>35.014381520869307</v>
      </c>
      <c r="U33" s="11">
        <f t="shared" ca="1" si="2"/>
        <v>2.8615784332234289</v>
      </c>
      <c r="V33" s="11">
        <f t="shared" ca="1" si="3"/>
        <v>222.99698861988401</v>
      </c>
    </row>
    <row r="34" spans="1:29" x14ac:dyDescent="0.3">
      <c r="A34" s="28">
        <v>32</v>
      </c>
      <c r="C34" s="27">
        <v>27</v>
      </c>
      <c r="D34" s="3" t="s">
        <v>384</v>
      </c>
      <c r="E34" s="1" cm="1">
        <f t="array" aca="1" ref="E34" ca="1">INDIRECT("'"&amp;$D34&amp;"'!"&amp;(P$3&amp;$A34))</f>
        <v>42188</v>
      </c>
      <c r="F34" s="23" cm="1">
        <f t="array" aca="1" ref="F34" ca="1">INDIRECT("'"&amp;$D34&amp;"'!"&amp;(Q$3&amp;$A34))</f>
        <v>1844185.1558300001</v>
      </c>
      <c r="G34" s="23" cm="1">
        <f t="array" aca="1" ref="G34" ca="1">INDIRECT("'"&amp;$D34&amp;"'!"&amp;(R$3&amp;$A34))</f>
        <v>5595587.5542745013</v>
      </c>
      <c r="H34" s="23" cm="1">
        <f t="array" aca="1" ref="H34" ca="1">INDIRECT("'"&amp;$D34&amp;"'!"&amp;(S$3&amp;$A34))</f>
        <v>355.91954575</v>
      </c>
      <c r="I34" s="3" t="s">
        <v>373</v>
      </c>
      <c r="J34" s="1" cm="1">
        <f t="array" aca="1" ref="J34" ca="1">INDIRECT("'"&amp;$I34&amp;"'!"&amp;(P$3&amp;$A34))</f>
        <v>43382</v>
      </c>
      <c r="K34" s="23" cm="1">
        <f t="array" aca="1" ref="K34" ca="1">INDIRECT("'"&amp;$I34&amp;"'!"&amp;(Q$3&amp;$A34))</f>
        <v>1844185.14001</v>
      </c>
      <c r="L34" s="23" cm="1">
        <f t="array" aca="1" ref="L34" ca="1">INDIRECT("'"&amp;$I34&amp;"'!"&amp;(R$3&amp;$A34))</f>
        <v>5595587.5742960004</v>
      </c>
      <c r="M34" s="23" cm="1">
        <f t="array" aca="1" ref="M34" ca="1">INDIRECT("'"&amp;$I34&amp;"'!"&amp;(S$3&amp;$A34))</f>
        <v>355.90871600000003</v>
      </c>
      <c r="N34" s="23">
        <f t="shared" ca="1" si="8"/>
        <v>2.5517304528028167E-2</v>
      </c>
      <c r="O34" s="23">
        <f t="shared" ca="1" si="4"/>
        <v>1.0829749999970772E-2</v>
      </c>
      <c r="P34" s="23">
        <f t="shared" ca="1" si="5"/>
        <v>2.7720323148152398E-2</v>
      </c>
      <c r="Q34" s="11">
        <f t="shared" ca="1" si="6"/>
        <v>1194</v>
      </c>
      <c r="R34" s="23">
        <f t="shared" ca="1" si="7"/>
        <v>8.4739681315541254E-3</v>
      </c>
      <c r="S34" s="11">
        <f t="shared" ca="1" si="0"/>
        <v>321.68595094231324</v>
      </c>
      <c r="T34" s="11">
        <f t="shared" ca="1" si="1"/>
        <v>-22.99675956543344</v>
      </c>
      <c r="U34" s="11">
        <f t="shared" ca="1" si="2"/>
        <v>0.42369840657770624</v>
      </c>
      <c r="V34" s="11">
        <f t="shared" ca="1" si="3"/>
        <v>128.31404905768676</v>
      </c>
    </row>
    <row r="35" spans="1:29" x14ac:dyDescent="0.3">
      <c r="A35" s="28">
        <v>33</v>
      </c>
      <c r="C35" s="27">
        <v>28</v>
      </c>
      <c r="D35" s="3" t="s">
        <v>384</v>
      </c>
      <c r="E35" s="1" cm="1">
        <f t="array" aca="1" ref="E35" ca="1">INDIRECT("'"&amp;$D35&amp;"'!"&amp;(P$3&amp;$A35))</f>
        <v>42188</v>
      </c>
      <c r="F35" s="23" cm="1">
        <f t="array" aca="1" ref="F35" ca="1">INDIRECT("'"&amp;$D35&amp;"'!"&amp;(Q$3&amp;$A35))</f>
        <v>1844264.4598300001</v>
      </c>
      <c r="G35" s="23" cm="1">
        <f t="array" aca="1" ref="G35" ca="1">INDIRECT("'"&amp;$D35&amp;"'!"&amp;(R$3&amp;$A35))</f>
        <v>5595683.6202745009</v>
      </c>
      <c r="H35" s="23" cm="1">
        <f t="array" aca="1" ref="H35" ca="1">INDIRECT("'"&amp;$D35&amp;"'!"&amp;(S$3&amp;$A35))</f>
        <v>334.99154575</v>
      </c>
      <c r="I35" s="21" t="s">
        <v>526</v>
      </c>
      <c r="J35" s="1" cm="1">
        <f t="array" aca="1" ref="J35" ca="1">INDIRECT("'"&amp;$I35&amp;"'!"&amp;(P$3&amp;$A35))</f>
        <v>43817</v>
      </c>
      <c r="K35" s="23" cm="1">
        <f t="array" aca="1" ref="K35" ca="1">INDIRECT("'"&amp;$I35&amp;"'!"&amp;(Q$3&amp;$A35))</f>
        <v>1844267.6034659999</v>
      </c>
      <c r="L35" s="23" cm="1">
        <f t="array" aca="1" ref="L35" ca="1">INDIRECT("'"&amp;$I35&amp;"'!"&amp;(R$3&amp;$A35))</f>
        <v>5595680.3968510004</v>
      </c>
      <c r="M35" s="23" cm="1">
        <f t="array" aca="1" ref="M35" ca="1">INDIRECT("'"&amp;$I35&amp;"'!"&amp;(S$3&amp;$A35))</f>
        <v>334.234937</v>
      </c>
      <c r="N35" s="23">
        <f t="shared" ca="1" si="8"/>
        <v>4.5025444321617263</v>
      </c>
      <c r="O35" s="23">
        <f t="shared" ca="1" si="4"/>
        <v>0.75660874999999805</v>
      </c>
      <c r="P35" s="23">
        <f t="shared" ca="1" si="5"/>
        <v>4.5656722576382025</v>
      </c>
      <c r="Q35" s="11">
        <f t="shared" ca="1" si="6"/>
        <v>1629</v>
      </c>
      <c r="R35" s="23">
        <f t="shared" ca="1" si="7"/>
        <v>1.0230020712326238</v>
      </c>
      <c r="S35" s="11">
        <f t="shared" ca="1" si="0"/>
        <v>135.71795273413915</v>
      </c>
      <c r="T35" s="11">
        <f t="shared" ca="1" si="1"/>
        <v>-9.5388793141430437</v>
      </c>
      <c r="U35" s="11">
        <f t="shared" ca="1" si="2"/>
        <v>51.150103561631191</v>
      </c>
      <c r="V35" s="11">
        <f t="shared" ca="1" si="3"/>
        <v>314.28204726586085</v>
      </c>
    </row>
    <row r="36" spans="1:29" x14ac:dyDescent="0.3">
      <c r="A36" s="28">
        <v>34</v>
      </c>
      <c r="C36" s="27">
        <v>29</v>
      </c>
      <c r="D36" s="3" t="s">
        <v>377</v>
      </c>
      <c r="E36" s="1" cm="1">
        <f t="array" aca="1" ref="E36" ca="1">INDIRECT("'"&amp;$D36&amp;"'!"&amp;(P$3&amp;$A36))</f>
        <v>42814</v>
      </c>
      <c r="F36" s="23" cm="1">
        <f t="array" aca="1" ref="F36" ca="1">INDIRECT("'"&amp;$D36&amp;"'!"&amp;(Q$3&amp;$A36))</f>
        <v>1844374.474221</v>
      </c>
      <c r="G36" s="23" cm="1">
        <f t="array" aca="1" ref="G36" ca="1">INDIRECT("'"&amp;$D36&amp;"'!"&amp;(R$3&amp;$A36))</f>
        <v>5595701.9568739999</v>
      </c>
      <c r="H36" s="23" cm="1">
        <f t="array" aca="1" ref="H36" ca="1">INDIRECT("'"&amp;$D36&amp;"'!"&amp;(S$3&amp;$A36))</f>
        <v>335.48767600000002</v>
      </c>
      <c r="I36" s="3" t="s">
        <v>373</v>
      </c>
      <c r="J36" s="1" cm="1">
        <f t="array" aca="1" ref="J36" ca="1">INDIRECT("'"&amp;$I36&amp;"'!"&amp;(P$3&amp;$A36))</f>
        <v>43382</v>
      </c>
      <c r="K36" s="23" cm="1">
        <f t="array" aca="1" ref="K36" ca="1">INDIRECT("'"&amp;$I36&amp;"'!"&amp;(Q$3&amp;$A36))</f>
        <v>1844374.1977580001</v>
      </c>
      <c r="L36" s="23" cm="1">
        <f t="array" aca="1" ref="L36" ca="1">INDIRECT("'"&amp;$I36&amp;"'!"&amp;(R$3&amp;$A36))</f>
        <v>5595692.2421930004</v>
      </c>
      <c r="M36" s="23" cm="1">
        <f t="array" aca="1" ref="M36" ca="1">INDIRECT("'"&amp;$I36&amp;"'!"&amp;(S$3&amp;$A36))</f>
        <v>335.00513100000001</v>
      </c>
      <c r="N36" s="23">
        <f t="shared" ca="1" si="8"/>
        <v>9.7186140324988148</v>
      </c>
      <c r="O36" s="23">
        <f t="shared" ca="1" si="4"/>
        <v>0.48254500000001599</v>
      </c>
      <c r="P36" s="23">
        <f t="shared" ca="1" si="5"/>
        <v>9.7305862305262938</v>
      </c>
      <c r="Q36" s="11">
        <f t="shared" ca="1" si="6"/>
        <v>568</v>
      </c>
      <c r="R36" s="23">
        <f t="shared" ca="1" si="7"/>
        <v>6.2529295319403122</v>
      </c>
      <c r="S36" s="11">
        <f t="shared" ca="1" si="0"/>
        <v>181.63009871223983</v>
      </c>
      <c r="T36" s="11">
        <f t="shared" ca="1" si="1"/>
        <v>-2.8424943611544253</v>
      </c>
      <c r="U36" s="11">
        <f t="shared" ca="1" si="2"/>
        <v>312.64647659701563</v>
      </c>
      <c r="V36" s="11">
        <f t="shared" ca="1" si="3"/>
        <v>268.36990128776017</v>
      </c>
    </row>
    <row r="37" spans="1:29" x14ac:dyDescent="0.3">
      <c r="A37" s="28">
        <v>35</v>
      </c>
      <c r="C37" s="27" t="s">
        <v>26</v>
      </c>
      <c r="D37" s="3" t="s">
        <v>384</v>
      </c>
      <c r="E37" s="1" cm="1">
        <f t="array" aca="1" ref="E37" ca="1">INDIRECT("'"&amp;$D37&amp;"'!"&amp;(P$3&amp;$A37))</f>
        <v>42188</v>
      </c>
      <c r="F37" s="23" cm="1">
        <f t="array" aca="1" ref="F37" ca="1">INDIRECT("'"&amp;$D37&amp;"'!"&amp;(Q$3&amp;$A37))</f>
        <v>1844715.24783</v>
      </c>
      <c r="G37" s="23" cm="1">
        <f t="array" aca="1" ref="G37" ca="1">INDIRECT("'"&amp;$D37&amp;"'!"&amp;(R$3&amp;$A37))</f>
        <v>5595571.2612745008</v>
      </c>
      <c r="H37" s="23" cm="1">
        <f t="array" aca="1" ref="H37" ca="1">INDIRECT("'"&amp;$D37&amp;"'!"&amp;(S$3&amp;$A37))</f>
        <v>340.30854575000001</v>
      </c>
      <c r="I37" s="21" t="s">
        <v>526</v>
      </c>
      <c r="J37" s="1" cm="1">
        <f t="array" aca="1" ref="J37" ca="1">INDIRECT("'"&amp;$I37&amp;"'!"&amp;(P$3&amp;$A37))</f>
        <v>43817</v>
      </c>
      <c r="K37" s="23" cm="1">
        <f t="array" aca="1" ref="K37" ca="1">INDIRECT("'"&amp;$I37&amp;"'!"&amp;(Q$3&amp;$A37))</f>
        <v>1844715.2664890001</v>
      </c>
      <c r="L37" s="23" cm="1">
        <f t="array" aca="1" ref="L37" ca="1">INDIRECT("'"&amp;$I37&amp;"'!"&amp;(R$3&amp;$A37))</f>
        <v>5595570.8466069996</v>
      </c>
      <c r="M37" s="23" cm="1">
        <f t="array" aca="1" ref="M37" ca="1">INDIRECT("'"&amp;$I37&amp;"'!"&amp;(S$3&amp;$A37))</f>
        <v>340.459901</v>
      </c>
      <c r="N37" s="23">
        <f t="shared" ca="1" si="8"/>
        <v>0.41508709298571433</v>
      </c>
      <c r="O37" s="23">
        <f t="shared" ca="1" si="4"/>
        <v>-0.15135524999999461</v>
      </c>
      <c r="P37" s="23">
        <f t="shared" ca="1" si="5"/>
        <v>0.44182089862962787</v>
      </c>
      <c r="Q37" s="11">
        <f t="shared" ca="1" si="6"/>
        <v>1629</v>
      </c>
      <c r="R37" s="23">
        <f t="shared" ca="1" si="7"/>
        <v>9.8996088397675971E-2</v>
      </c>
      <c r="S37" s="11">
        <f t="shared" ca="1" si="0"/>
        <v>177.42357123407061</v>
      </c>
      <c r="T37" s="11">
        <f t="shared" ca="1" si="1"/>
        <v>20.033621684496751</v>
      </c>
      <c r="U37" s="11">
        <f t="shared" ca="1" si="2"/>
        <v>4.9498044198837983</v>
      </c>
      <c r="V37" s="11">
        <f t="shared" ca="1" si="3"/>
        <v>272.57642876592939</v>
      </c>
    </row>
    <row r="42" spans="1:29" x14ac:dyDescent="0.3">
      <c r="D42" t="s">
        <v>607</v>
      </c>
      <c r="E42" t="s">
        <v>544</v>
      </c>
      <c r="F42" t="s">
        <v>613</v>
      </c>
      <c r="G42" t="s">
        <v>614</v>
      </c>
      <c r="H42" t="s">
        <v>608</v>
      </c>
      <c r="I42" t="s">
        <v>609</v>
      </c>
      <c r="J42" t="s">
        <v>610</v>
      </c>
      <c r="K42" t="s">
        <v>615</v>
      </c>
      <c r="L42" t="s">
        <v>611</v>
      </c>
      <c r="M42" t="s">
        <v>612</v>
      </c>
      <c r="N42" t="s">
        <v>622</v>
      </c>
      <c r="O42" s="21" t="s">
        <v>458</v>
      </c>
      <c r="P42" t="s">
        <v>632</v>
      </c>
    </row>
    <row r="43" spans="1:29" x14ac:dyDescent="0.3">
      <c r="D43" s="21" t="s">
        <v>616</v>
      </c>
      <c r="E43" s="21">
        <v>30</v>
      </c>
      <c r="F43" s="1">
        <f ca="1">E6</f>
        <v>42188</v>
      </c>
      <c r="G43" s="1">
        <f ca="1">J7</f>
        <v>43881</v>
      </c>
      <c r="H43" s="23">
        <f ca="1">N6+N7</f>
        <v>0.20759733708730738</v>
      </c>
      <c r="I43" s="23">
        <f ca="1">ABS(O6+O7)</f>
        <v>7.732675000005429E-2</v>
      </c>
      <c r="J43" s="23">
        <f ca="1">P6+P7</f>
        <v>0.22153904319792184</v>
      </c>
      <c r="K43" s="23">
        <f ca="1">J43/(G43-F43)*365</f>
        <v>4.7762404469723255E-2</v>
      </c>
      <c r="L43" s="11">
        <f ca="1">AVERAGE(S6:S7)</f>
        <v>199.03661965271255</v>
      </c>
      <c r="M43" s="11">
        <f ca="1">AVERAGE(T6:T7)</f>
        <v>-20.023289321741359</v>
      </c>
      <c r="N43" s="10">
        <f ca="1">ABS(H43/I43)</f>
        <v>2.6846768690933165</v>
      </c>
      <c r="O43" s="11">
        <f ca="1">360-L43+90</f>
        <v>250.96338034728745</v>
      </c>
      <c r="P43" s="7">
        <f ca="1">IF(D43="Translational",K43*$AC$46,IF(D43="TZ1",K43*$AC$47,IF(D43="TZ2",K43*$AC$48,IF(D43="Passive",K43*$AC$50,IF(D43="Stable",K43*$AC$51,IF(D43="EFSZ",K43*$AC$49,"none"))))))</f>
        <v>2.3881202234861627</v>
      </c>
    </row>
    <row r="44" spans="1:29" x14ac:dyDescent="0.3">
      <c r="D44" t="s">
        <v>616</v>
      </c>
      <c r="E44">
        <f>C8</f>
        <v>1</v>
      </c>
      <c r="F44" s="59">
        <f ca="1">E8</f>
        <v>42277</v>
      </c>
      <c r="G44" s="59">
        <f ca="1">J8</f>
        <v>43881</v>
      </c>
      <c r="H44" s="23">
        <f ca="1">N8</f>
        <v>0.31242689980256133</v>
      </c>
      <c r="I44" s="23">
        <f ca="1">ABS(O8)</f>
        <v>0.14348575000002484</v>
      </c>
      <c r="J44" s="23">
        <f ca="1">P8</f>
        <v>0.34380041909996173</v>
      </c>
      <c r="K44" s="23">
        <f ca="1">R8</f>
        <v>7.8233885892447647E-2</v>
      </c>
      <c r="L44" s="11">
        <f t="shared" ref="L44" ca="1" si="9">S8</f>
        <v>213.0302063079252</v>
      </c>
      <c r="M44" s="11">
        <f ca="1">T8</f>
        <v>-24.667512903632456</v>
      </c>
      <c r="N44" s="10">
        <f ca="1">ABS(H44/I44)</f>
        <v>2.1774071627496614</v>
      </c>
      <c r="O44" s="11">
        <f t="shared" ref="O44:O73" ca="1" si="10">360-L44+90</f>
        <v>236.9697936920748</v>
      </c>
      <c r="P44" s="7">
        <f t="shared" ref="P44:P73" ca="1" si="11">IF(D44="Translational",K44*$AC$46,IF(D44="TZ1",K44*$AC$47,IF(D44="TZ2",K44*$AC$48,IF(D44="Passive",K44*$AC$50,IF(D44="Stable",K44*$AC$51,IF(D44="EFSZ",K44*$AC$49,"none"))))))</f>
        <v>3.9116942946223823</v>
      </c>
      <c r="R44" t="s">
        <v>627</v>
      </c>
    </row>
    <row r="45" spans="1:29" x14ac:dyDescent="0.3">
      <c r="D45" s="21" t="s">
        <v>616</v>
      </c>
      <c r="E45" s="21">
        <f t="shared" ref="E45:E52" si="12">C9</f>
        <v>2</v>
      </c>
      <c r="F45" s="59">
        <f t="shared" ref="F45:F54" ca="1" si="13">E9</f>
        <v>42188</v>
      </c>
      <c r="G45" s="59">
        <f t="shared" ref="G45:G52" ca="1" si="14">J9</f>
        <v>43881</v>
      </c>
      <c r="H45" s="23">
        <f t="shared" ref="H45:J45" ca="1" si="15">N9</f>
        <v>0.2677875256392076</v>
      </c>
      <c r="I45" s="23">
        <f t="shared" ref="I45:I73" ca="1" si="16">ABS(O9)</f>
        <v>0.14412575000000061</v>
      </c>
      <c r="J45" s="23">
        <f t="shared" ca="1" si="15"/>
        <v>0.30410917562781947</v>
      </c>
      <c r="K45" s="23">
        <f t="shared" ref="K45:K52" ca="1" si="17">R9</f>
        <v>6.5563998289518075E-2</v>
      </c>
      <c r="L45" s="11">
        <f t="shared" ref="L45:L53" ca="1" si="18">S9</f>
        <v>213.25253617235202</v>
      </c>
      <c r="M45" s="11">
        <f ca="1">T9</f>
        <v>-28.289553019882216</v>
      </c>
      <c r="N45" s="10">
        <f t="shared" ref="N45:N73" ca="1" si="19">ABS(H45/I45)</f>
        <v>1.8580130590071966</v>
      </c>
      <c r="O45" s="11">
        <f t="shared" ca="1" si="10"/>
        <v>236.74746382764798</v>
      </c>
      <c r="P45" s="7">
        <f t="shared" ca="1" si="11"/>
        <v>3.2781999144759038</v>
      </c>
      <c r="S45" t="s">
        <v>626</v>
      </c>
      <c r="T45" s="21" t="s">
        <v>608</v>
      </c>
      <c r="U45" s="21" t="s">
        <v>609</v>
      </c>
      <c r="V45" s="21" t="s">
        <v>610</v>
      </c>
      <c r="W45" s="21" t="s">
        <v>615</v>
      </c>
      <c r="X45" s="21" t="s">
        <v>611</v>
      </c>
      <c r="Y45" s="21" t="s">
        <v>612</v>
      </c>
      <c r="Z45" s="21" t="s">
        <v>630</v>
      </c>
      <c r="AA45" t="s">
        <v>629</v>
      </c>
      <c r="AC45" t="s">
        <v>633</v>
      </c>
    </row>
    <row r="46" spans="1:29" x14ac:dyDescent="0.3">
      <c r="D46" s="21" t="s">
        <v>621</v>
      </c>
      <c r="E46" s="21">
        <f t="shared" si="12"/>
        <v>3</v>
      </c>
      <c r="F46" s="59">
        <f t="shared" ca="1" si="13"/>
        <v>42277</v>
      </c>
      <c r="G46" s="59">
        <f t="shared" ca="1" si="14"/>
        <v>43881</v>
      </c>
      <c r="H46" s="23">
        <f t="shared" ref="H46:J46" ca="1" si="20">N10</f>
        <v>0.30163930733640276</v>
      </c>
      <c r="I46" s="23">
        <f t="shared" ca="1" si="16"/>
        <v>5.4466750000017328E-2</v>
      </c>
      <c r="J46" s="23">
        <f t="shared" ca="1" si="20"/>
        <v>0.30651737077358149</v>
      </c>
      <c r="K46" s="23">
        <f t="shared" ca="1" si="17"/>
        <v>6.9749900456581818E-2</v>
      </c>
      <c r="L46" s="11">
        <f t="shared" ca="1" si="18"/>
        <v>203.89363690893305</v>
      </c>
      <c r="M46" s="11">
        <f t="shared" ref="M46:M53" ca="1" si="21">T10</f>
        <v>-10.235556462092179</v>
      </c>
      <c r="N46" s="10">
        <f t="shared" ca="1" si="19"/>
        <v>5.5380449051266467</v>
      </c>
      <c r="O46" s="11">
        <f t="shared" ca="1" si="10"/>
        <v>246.10636309106695</v>
      </c>
      <c r="P46" s="7">
        <f t="shared" ca="1" si="11"/>
        <v>3.4874950228290911</v>
      </c>
      <c r="S46" t="s">
        <v>623</v>
      </c>
      <c r="T46" s="10">
        <f ca="1">AVERAGEIF($D$43:$D$73,"Translational",H$43:H$73)</f>
        <v>0.57685797006794037</v>
      </c>
      <c r="U46" s="10">
        <f t="shared" ref="U46:X46" ca="1" si="22">AVERAGEIF($D$43:$D$73,"Translational",I$43:I$73)</f>
        <v>0.15467590000001225</v>
      </c>
      <c r="V46" s="10">
        <f t="shared" ca="1" si="22"/>
        <v>0.59944263292387889</v>
      </c>
      <c r="W46" s="10">
        <f t="shared" ca="1" si="22"/>
        <v>0.1653813575642866</v>
      </c>
      <c r="X46" s="11">
        <f t="shared" ca="1" si="22"/>
        <v>195.33128313122313</v>
      </c>
      <c r="Y46" s="11">
        <f ca="1">AVERAGEIF($D$43:$D$73,"Translational",M$43:M$73)</f>
        <v>-16.280310991514789</v>
      </c>
      <c r="Z46" s="10">
        <f ca="1">_xlfn.STDEV.P(L43:L45,L47:L49,L51:L53)</f>
        <v>9.1347361037213162</v>
      </c>
      <c r="AA46" s="10">
        <f ca="1">_xlfn.STDEV.P(M43:M45,M47:M49,M51:M53)</f>
        <v>6.382897885050304</v>
      </c>
      <c r="AC46">
        <v>50</v>
      </c>
    </row>
    <row r="47" spans="1:29" x14ac:dyDescent="0.3">
      <c r="D47" s="21" t="s">
        <v>616</v>
      </c>
      <c r="E47" s="21">
        <f t="shared" si="12"/>
        <v>4</v>
      </c>
      <c r="F47" s="59">
        <f t="shared" ca="1" si="13"/>
        <v>42188</v>
      </c>
      <c r="G47" s="59">
        <f t="shared" ca="1" si="14"/>
        <v>43817</v>
      </c>
      <c r="H47" s="23">
        <f t="shared" ref="H47:J47" ca="1" si="23">N11</f>
        <v>0.49144171196227021</v>
      </c>
      <c r="I47" s="23">
        <f t="shared" ca="1" si="16"/>
        <v>7.065575000001445E-2</v>
      </c>
      <c r="J47" s="23">
        <f t="shared" ca="1" si="23"/>
        <v>0.49649490557756126</v>
      </c>
      <c r="K47" s="23">
        <f t="shared" ca="1" si="17"/>
        <v>0.11124655649834858</v>
      </c>
      <c r="L47" s="11">
        <f t="shared" ca="1" si="18"/>
        <v>193.26813083560168</v>
      </c>
      <c r="M47" s="11">
        <f t="shared" ca="1" si="21"/>
        <v>-8.1814868188117238</v>
      </c>
      <c r="N47" s="10">
        <f t="shared" ca="1" si="19"/>
        <v>6.9554383325089564</v>
      </c>
      <c r="O47" s="11">
        <f t="shared" ca="1" si="10"/>
        <v>256.73186916439829</v>
      </c>
      <c r="P47" s="7">
        <f t="shared" ca="1" si="11"/>
        <v>5.5623278249174293</v>
      </c>
      <c r="S47" t="s">
        <v>617</v>
      </c>
      <c r="T47" s="10">
        <f t="shared" ref="T47:Y47" ca="1" si="24">AVERAGEIF($D$43:$D$73,"TZ1",H$43:H$73)</f>
        <v>6.6049580272017119</v>
      </c>
      <c r="U47" s="10">
        <f t="shared" ca="1" si="24"/>
        <v>1.441260166666666</v>
      </c>
      <c r="V47" s="10">
        <f t="shared" ca="1" si="24"/>
        <v>6.7729843997174308</v>
      </c>
      <c r="W47" s="10">
        <f t="shared" ca="1" si="24"/>
        <v>1.5189812643748197</v>
      </c>
      <c r="X47" s="11">
        <f t="shared" ca="1" si="24"/>
        <v>182.94681565983214</v>
      </c>
      <c r="Y47" s="11">
        <f t="shared" ca="1" si="24"/>
        <v>-12.73670295194715</v>
      </c>
      <c r="Z47" s="10">
        <f ca="1">_xlfn.STDEV.P(L54:L57,L60:L61)</f>
        <v>10.368817675516746</v>
      </c>
      <c r="AA47" s="10">
        <f ca="1">_xlfn.STDEV.P(M54:M57,M60:M61)</f>
        <v>4.639436306303808</v>
      </c>
      <c r="AC47">
        <v>50</v>
      </c>
    </row>
    <row r="48" spans="1:29" x14ac:dyDescent="0.3">
      <c r="D48" s="21" t="s">
        <v>616</v>
      </c>
      <c r="E48" s="21">
        <f t="shared" si="12"/>
        <v>5</v>
      </c>
      <c r="F48" s="59">
        <f t="shared" ca="1" si="13"/>
        <v>42188</v>
      </c>
      <c r="G48" s="59">
        <f t="shared" ca="1" si="14"/>
        <v>43817</v>
      </c>
      <c r="H48" s="23">
        <f t="shared" ref="H48:J48" ca="1" si="25">N12</f>
        <v>0.85798746399312842</v>
      </c>
      <c r="I48" s="23">
        <f t="shared" ca="1" si="16"/>
        <v>0.17641075000000228</v>
      </c>
      <c r="J48" s="23">
        <f t="shared" ca="1" si="25"/>
        <v>0.87593563752419801</v>
      </c>
      <c r="K48" s="23">
        <f t="shared" ca="1" si="17"/>
        <v>0.19626550503151155</v>
      </c>
      <c r="L48" s="11">
        <f t="shared" ca="1" si="18"/>
        <v>187.36774476534572</v>
      </c>
      <c r="M48" s="11">
        <f t="shared" ca="1" si="21"/>
        <v>-11.618659704910211</v>
      </c>
      <c r="N48" s="10">
        <f t="shared" ca="1" si="19"/>
        <v>4.86357812090883</v>
      </c>
      <c r="O48" s="11">
        <f t="shared" ca="1" si="10"/>
        <v>262.63225523465428</v>
      </c>
      <c r="P48" s="7">
        <f t="shared" ca="1" si="11"/>
        <v>9.8132752515755772</v>
      </c>
      <c r="S48" t="s">
        <v>618</v>
      </c>
      <c r="T48" s="10">
        <f t="shared" ref="T48:Y48" ca="1" si="26">AVERAGEIF($D$43:$D$73,"TZ2",H$43:H$73)</f>
        <v>7.2892194212889692</v>
      </c>
      <c r="U48" s="10">
        <f t="shared" ca="1" si="26"/>
        <v>2.8951082499999927</v>
      </c>
      <c r="V48" s="10">
        <f t="shared" ca="1" si="26"/>
        <v>7.926889353091588</v>
      </c>
      <c r="W48" s="10">
        <f t="shared" ca="1" si="26"/>
        <v>2.9977178223805199</v>
      </c>
      <c r="X48" s="11">
        <f t="shared" ca="1" si="26"/>
        <v>188.3898852672844</v>
      </c>
      <c r="Y48" s="11">
        <f t="shared" ca="1" si="26"/>
        <v>-21.671780283271577</v>
      </c>
      <c r="Z48" s="10">
        <f ca="1">_xlfn.STDEV.P(L59,L62,L63)</f>
        <v>18.515528626507134</v>
      </c>
      <c r="AA48" s="10">
        <f ca="1">_xlfn.STDEV.P(M59,M62,M63)</f>
        <v>7.3366691692315014</v>
      </c>
      <c r="AC48">
        <v>25</v>
      </c>
    </row>
    <row r="49" spans="4:29" x14ac:dyDescent="0.3">
      <c r="D49" s="21" t="s">
        <v>616</v>
      </c>
      <c r="E49" s="21">
        <f t="shared" si="12"/>
        <v>6</v>
      </c>
      <c r="F49" s="59">
        <f t="shared" ca="1" si="13"/>
        <v>42188</v>
      </c>
      <c r="G49" s="59">
        <f t="shared" ca="1" si="14"/>
        <v>43817</v>
      </c>
      <c r="H49" s="23">
        <f t="shared" ref="H49:J49" ca="1" si="27">N13</f>
        <v>0.58924971727926367</v>
      </c>
      <c r="I49" s="23">
        <f t="shared" ca="1" si="16"/>
        <v>0.13738074999997707</v>
      </c>
      <c r="J49" s="23">
        <f t="shared" ca="1" si="27"/>
        <v>0.60505264215954668</v>
      </c>
      <c r="K49" s="23">
        <f t="shared" ca="1" si="17"/>
        <v>0.13557042012782969</v>
      </c>
      <c r="L49" s="11">
        <f t="shared" ca="1" si="18"/>
        <v>202.32665106560768</v>
      </c>
      <c r="M49" s="11">
        <f t="shared" ca="1" si="21"/>
        <v>-13.123799831432439</v>
      </c>
      <c r="N49" s="10">
        <f t="shared" ca="1" si="19"/>
        <v>4.2891723715248462</v>
      </c>
      <c r="O49" s="11">
        <f t="shared" ca="1" si="10"/>
        <v>247.67334893439232</v>
      </c>
      <c r="P49" s="7">
        <f t="shared" ca="1" si="11"/>
        <v>6.7785210063914842</v>
      </c>
      <c r="S49" t="s">
        <v>619</v>
      </c>
      <c r="T49" s="10">
        <f t="shared" ref="T49:Y49" ca="1" si="28">AVERAGEIF($D$43:$D$73,"EFSZ",H$43:H$73)</f>
        <v>31.470184906629989</v>
      </c>
      <c r="U49" s="10">
        <f t="shared" ca="1" si="28"/>
        <v>3.1520202000000381</v>
      </c>
      <c r="V49" s="10">
        <f t="shared" ca="1" si="28"/>
        <v>31.697261321894747</v>
      </c>
      <c r="W49" s="10">
        <f t="shared" ca="1" si="28"/>
        <v>9.3890448729358749</v>
      </c>
      <c r="X49" s="11">
        <f t="shared" ca="1" si="28"/>
        <v>156.0887897000473</v>
      </c>
      <c r="Y49" s="11">
        <f t="shared" ca="1" si="28"/>
        <v>-4.637865591475216</v>
      </c>
      <c r="Z49" s="10">
        <f ca="1">_xlfn.STDEV.P(L64,L65,L67,L68,L72)</f>
        <v>20.649585443712237</v>
      </c>
      <c r="AA49" s="10">
        <f ca="1">_xlfn.STDEV.P(M64,M65,M67,M68,M72)</f>
        <v>3.6330601778160578</v>
      </c>
      <c r="AC49">
        <v>10</v>
      </c>
    </row>
    <row r="50" spans="4:29" x14ac:dyDescent="0.3">
      <c r="D50" t="s">
        <v>621</v>
      </c>
      <c r="E50" s="21">
        <f t="shared" si="12"/>
        <v>7</v>
      </c>
      <c r="F50" s="59">
        <f t="shared" ca="1" si="13"/>
        <v>42188</v>
      </c>
      <c r="G50" s="59">
        <f t="shared" ca="1" si="14"/>
        <v>43817</v>
      </c>
      <c r="H50" s="23">
        <f t="shared" ref="H50:J50" ca="1" si="29">N14</f>
        <v>0.40095694444597907</v>
      </c>
      <c r="I50" s="23">
        <f t="shared" ca="1" si="16"/>
        <v>6.9732750000014221E-2</v>
      </c>
      <c r="J50" s="23">
        <f t="shared" ca="1" si="29"/>
        <v>0.4069755861498579</v>
      </c>
      <c r="K50" s="23">
        <f t="shared" ca="1" si="17"/>
        <v>9.1188513778206345E-2</v>
      </c>
      <c r="L50" s="11">
        <f t="shared" ca="1" si="18"/>
        <v>198.19972104971393</v>
      </c>
      <c r="M50" s="11">
        <f t="shared" ca="1" si="21"/>
        <v>-9.8659605542411821</v>
      </c>
      <c r="N50" s="10">
        <f t="shared" ca="1" si="19"/>
        <v>5.7499086791485681</v>
      </c>
      <c r="O50" s="11">
        <f t="shared" ca="1" si="10"/>
        <v>251.80027895028607</v>
      </c>
      <c r="P50" s="7">
        <f t="shared" ca="1" si="11"/>
        <v>4.5594256889103173</v>
      </c>
      <c r="S50" t="s">
        <v>624</v>
      </c>
      <c r="T50" s="10">
        <f t="shared" ref="T50:Y50" ca="1" si="30">AVERAGEIF($D$43:$D$73,"Passive",H$43:H$73)</f>
        <v>0.41508709298571433</v>
      </c>
      <c r="U50" s="10">
        <f t="shared" ca="1" si="30"/>
        <v>0.15135524999999461</v>
      </c>
      <c r="V50" s="10">
        <f t="shared" ca="1" si="30"/>
        <v>0.44182089862962787</v>
      </c>
      <c r="W50" s="10">
        <f t="shared" ca="1" si="30"/>
        <v>9.8996088397675971E-2</v>
      </c>
      <c r="X50" s="11">
        <f t="shared" ca="1" si="30"/>
        <v>177.42357123407061</v>
      </c>
      <c r="Y50" s="11">
        <f t="shared" ca="1" si="30"/>
        <v>20.033621684496751</v>
      </c>
      <c r="Z50" s="10"/>
      <c r="AA50" s="10"/>
      <c r="AC50">
        <v>50</v>
      </c>
    </row>
    <row r="51" spans="4:29" x14ac:dyDescent="0.3">
      <c r="D51" s="21" t="s">
        <v>616</v>
      </c>
      <c r="E51" s="21">
        <f t="shared" si="12"/>
        <v>8</v>
      </c>
      <c r="F51" s="59">
        <f t="shared" ca="1" si="13"/>
        <v>42188</v>
      </c>
      <c r="G51" s="59">
        <f t="shared" ca="1" si="14"/>
        <v>43019</v>
      </c>
      <c r="H51" s="23">
        <f t="shared" ref="H51:J51" ca="1" si="31">N15</f>
        <v>0.62858225313016225</v>
      </c>
      <c r="I51" s="23">
        <f t="shared" ca="1" si="16"/>
        <v>0.14183374999998932</v>
      </c>
      <c r="J51" s="23">
        <f t="shared" ca="1" si="31"/>
        <v>0.64438533626181382</v>
      </c>
      <c r="K51" s="23">
        <f t="shared" ca="1" si="17"/>
        <v>0.28303327043990617</v>
      </c>
      <c r="L51" s="11">
        <f t="shared" ca="1" si="18"/>
        <v>187.99569764816226</v>
      </c>
      <c r="M51" s="11">
        <f t="shared" ca="1" si="21"/>
        <v>-12.715320136664424</v>
      </c>
      <c r="N51" s="10">
        <f t="shared" ca="1" si="19"/>
        <v>4.4318242529032021</v>
      </c>
      <c r="O51" s="11">
        <f t="shared" ca="1" si="10"/>
        <v>262.00430235183774</v>
      </c>
      <c r="P51" s="7">
        <f t="shared" ca="1" si="11"/>
        <v>14.151663521995308</v>
      </c>
      <c r="S51" t="s">
        <v>625</v>
      </c>
      <c r="T51" s="10">
        <f ca="1">AVERAGEIF($D$43:$D$73,"Stable",H$43:H$73)</f>
        <v>0.19066647999608971</v>
      </c>
      <c r="U51" s="10">
        <f t="shared" ref="U51:Y51" ca="1" si="32">AVERAGEIF($D$43:$D$73,"Stable",I$43:I$73)</f>
        <v>5.8916850000002796E-2</v>
      </c>
      <c r="V51" s="10">
        <f t="shared" ca="1" si="32"/>
        <v>0.203449911241464</v>
      </c>
      <c r="W51" s="23">
        <f t="shared" ca="1" si="32"/>
        <v>4.6877792667335799E-2</v>
      </c>
      <c r="X51" s="11">
        <f t="shared" ca="1" si="32"/>
        <v>229.35471699336594</v>
      </c>
      <c r="Y51" s="11">
        <f t="shared" ca="1" si="32"/>
        <v>-9.1005930128918546</v>
      </c>
      <c r="Z51" s="10">
        <f ca="1">_xlfn.STDEV.P(L46,L50,L66,L69,L70,L58)</f>
        <v>48.905013906308824</v>
      </c>
      <c r="AA51" s="10">
        <f ca="1">_xlfn.STDEV.P(M46,M50,M66,M69,M70,M58)</f>
        <v>22.347748003162394</v>
      </c>
      <c r="AC51">
        <v>50</v>
      </c>
    </row>
    <row r="52" spans="4:29" x14ac:dyDescent="0.3">
      <c r="D52" s="21" t="s">
        <v>616</v>
      </c>
      <c r="E52" s="21">
        <f t="shared" si="12"/>
        <v>9</v>
      </c>
      <c r="F52" s="59">
        <f t="shared" ca="1" si="13"/>
        <v>42188</v>
      </c>
      <c r="G52" s="59">
        <f t="shared" ca="1" si="14"/>
        <v>43186</v>
      </c>
      <c r="H52" s="23">
        <f t="shared" ref="H52:J52" ca="1" si="33">N16</f>
        <v>1.1199006223652577</v>
      </c>
      <c r="I52" s="23">
        <f t="shared" ca="1" si="16"/>
        <v>0.32316174999999703</v>
      </c>
      <c r="J52" s="23">
        <f t="shared" ca="1" si="33"/>
        <v>1.1655946639536199</v>
      </c>
      <c r="K52" s="23">
        <f t="shared" ca="1" si="17"/>
        <v>0.42629464162632391</v>
      </c>
      <c r="L52" s="11">
        <f t="shared" ca="1" si="18"/>
        <v>196.54071913206022</v>
      </c>
      <c r="M52" s="11">
        <f t="shared" ca="1" si="21"/>
        <v>-16.09617665895524</v>
      </c>
      <c r="N52" s="10">
        <f t="shared" ca="1" si="19"/>
        <v>3.4654491825386762</v>
      </c>
      <c r="O52" s="11">
        <f t="shared" ca="1" si="10"/>
        <v>253.45928086793978</v>
      </c>
      <c r="P52" s="7">
        <f t="shared" ca="1" si="11"/>
        <v>21.314732081316194</v>
      </c>
      <c r="R52" t="s">
        <v>628</v>
      </c>
    </row>
    <row r="53" spans="4:29" x14ac:dyDescent="0.3">
      <c r="D53" s="21" t="s">
        <v>616</v>
      </c>
      <c r="E53" s="21">
        <f>C17</f>
        <v>10</v>
      </c>
      <c r="F53" s="59">
        <f ca="1">E17</f>
        <v>42188</v>
      </c>
      <c r="G53" s="59">
        <f ca="1">J17</f>
        <v>43817</v>
      </c>
      <c r="H53" s="23">
        <f ca="1">N17</f>
        <v>0.57825357283805479</v>
      </c>
      <c r="I53" s="23">
        <f t="shared" ca="1" si="16"/>
        <v>0.11214175000003479</v>
      </c>
      <c r="J53" s="23">
        <f ca="1">P17</f>
        <v>0.58902713570178233</v>
      </c>
      <c r="K53" s="23">
        <f ca="1">R17</f>
        <v>0.13197968356731157</v>
      </c>
      <c r="L53" s="11">
        <f t="shared" ca="1" si="18"/>
        <v>192.00945346978756</v>
      </c>
      <c r="M53" s="11">
        <f t="shared" ca="1" si="21"/>
        <v>-10.975235247958675</v>
      </c>
      <c r="N53" s="10">
        <f t="shared" ca="1" si="19"/>
        <v>5.1564521941014423</v>
      </c>
      <c r="O53" s="11">
        <f t="shared" ca="1" si="10"/>
        <v>257.99054653021244</v>
      </c>
      <c r="P53" s="7">
        <f t="shared" ca="1" si="11"/>
        <v>6.5989841783655789</v>
      </c>
      <c r="S53" s="21" t="s">
        <v>626</v>
      </c>
      <c r="T53" s="21" t="s">
        <v>608</v>
      </c>
      <c r="U53" s="21" t="s">
        <v>609</v>
      </c>
      <c r="V53" s="21" t="s">
        <v>610</v>
      </c>
      <c r="W53" s="21" t="s">
        <v>615</v>
      </c>
      <c r="X53" s="21"/>
      <c r="Y53" s="21"/>
      <c r="Z53" s="21"/>
    </row>
    <row r="54" spans="4:29" x14ac:dyDescent="0.3">
      <c r="D54" t="s">
        <v>617</v>
      </c>
      <c r="E54" s="21">
        <f t="shared" ref="E54" si="34">C18</f>
        <v>11</v>
      </c>
      <c r="F54" s="59">
        <f t="shared" ca="1" si="13"/>
        <v>42188</v>
      </c>
      <c r="G54" s="59">
        <f t="shared" ref="G54" ca="1" si="35">J18</f>
        <v>43881</v>
      </c>
      <c r="H54" s="23">
        <f t="shared" ref="H54" ca="1" si="36">N18</f>
        <v>4.5337310745840957</v>
      </c>
      <c r="I54" s="23">
        <f t="shared" ca="1" si="16"/>
        <v>1.0646027500000059</v>
      </c>
      <c r="J54" s="23">
        <f t="shared" ref="J54" ca="1" si="37">P18</f>
        <v>4.6570480426936802</v>
      </c>
      <c r="K54" s="23">
        <f t="shared" ref="K54" ca="1" si="38">R18</f>
        <v>1.0040298497242726</v>
      </c>
      <c r="L54" s="11">
        <f t="shared" ref="L54:L73" ca="1" si="39">S18</f>
        <v>173.47202828300357</v>
      </c>
      <c r="M54" s="11">
        <f t="shared" ref="M54:M73" ca="1" si="40">T18</f>
        <v>-13.214681712104436</v>
      </c>
      <c r="N54" s="10">
        <f t="shared" ca="1" si="19"/>
        <v>4.2586129658072656</v>
      </c>
      <c r="O54" s="11">
        <f t="shared" ca="1" si="10"/>
        <v>276.52797171699643</v>
      </c>
      <c r="P54" s="7">
        <f t="shared" ca="1" si="11"/>
        <v>50.201492486213631</v>
      </c>
      <c r="S54" s="21" t="s">
        <v>623</v>
      </c>
      <c r="T54" s="10">
        <f ca="1">_xlfn.MAXIFS(H$43:H$73,$D$43:$D$73,"Translational")</f>
        <v>1.1199006223652577</v>
      </c>
      <c r="U54" s="10">
        <f ca="1">_xlfn.MAXIFS(I$43:I$73,$D$43:$D$73,"Translational")</f>
        <v>0.32316174999999703</v>
      </c>
      <c r="V54" s="10">
        <f ca="1">_xlfn.MAXIFS(J$43:J$73,$D$43:$D$73,"Translational")</f>
        <v>1.1655946639536199</v>
      </c>
      <c r="W54" s="10">
        <f ca="1">_xlfn.MAXIFS(K$43:K$73,$D$43:$D$73,"Translational")</f>
        <v>0.42629464162632391</v>
      </c>
      <c r="X54" s="10"/>
      <c r="Y54" s="10"/>
    </row>
    <row r="55" spans="4:29" x14ac:dyDescent="0.3">
      <c r="D55" s="21" t="s">
        <v>617</v>
      </c>
      <c r="E55" s="21">
        <f>C19</f>
        <v>12</v>
      </c>
      <c r="F55" s="59">
        <f ca="1">E19</f>
        <v>42188</v>
      </c>
      <c r="G55" s="59">
        <f ca="1">J19</f>
        <v>43881</v>
      </c>
      <c r="H55" s="23">
        <f ca="1">N19</f>
        <v>3.6063034309249735</v>
      </c>
      <c r="I55" s="23">
        <f t="shared" ca="1" si="16"/>
        <v>1.464858750000019</v>
      </c>
      <c r="J55" s="23">
        <f ca="1">P19</f>
        <v>3.8924588107458313</v>
      </c>
      <c r="K55" s="23">
        <f ca="1">R19</f>
        <v>0.83918928879044807</v>
      </c>
      <c r="L55" s="11">
        <f t="shared" ca="1" si="39"/>
        <v>188.01045377923569</v>
      </c>
      <c r="M55" s="11">
        <f t="shared" ca="1" si="40"/>
        <v>-22.106693352786436</v>
      </c>
      <c r="N55" s="10">
        <f t="shared" ca="1" si="19"/>
        <v>2.4618779325480542</v>
      </c>
      <c r="O55" s="11">
        <f t="shared" ca="1" si="10"/>
        <v>261.98954622076428</v>
      </c>
      <c r="P55" s="7">
        <f t="shared" ca="1" si="11"/>
        <v>41.959464439522407</v>
      </c>
      <c r="S55" s="21" t="s">
        <v>617</v>
      </c>
      <c r="T55" s="10">
        <f t="shared" ref="T55:W57" ca="1" si="41">_xlfn.MAXIFS(H$43:H$73,$D$43:$D$73,$S55)</f>
        <v>15.723332664210066</v>
      </c>
      <c r="U55" s="10">
        <f t="shared" ca="1" si="41"/>
        <v>2.9696192499999938</v>
      </c>
      <c r="V55" s="10">
        <f t="shared" ca="1" si="41"/>
        <v>16.001307089090744</v>
      </c>
      <c r="W55" s="10">
        <f t="shared" ca="1" si="41"/>
        <v>3.8023939371862769</v>
      </c>
      <c r="X55" s="10"/>
      <c r="Y55" s="10"/>
    </row>
    <row r="56" spans="4:29" x14ac:dyDescent="0.3">
      <c r="D56" s="21" t="s">
        <v>617</v>
      </c>
      <c r="E56" s="21">
        <f>C20</f>
        <v>13</v>
      </c>
      <c r="F56" s="59">
        <f ca="1">E20</f>
        <v>42188</v>
      </c>
      <c r="G56" s="59">
        <f ca="1">J20</f>
        <v>43881</v>
      </c>
      <c r="H56" s="23">
        <f ca="1">N20</f>
        <v>2.5367879873429731</v>
      </c>
      <c r="I56" s="23">
        <f t="shared" ca="1" si="16"/>
        <v>0.30535374999999476</v>
      </c>
      <c r="J56" s="23">
        <f ca="1">P20</f>
        <v>2.5550996468565899</v>
      </c>
      <c r="K56" s="23">
        <f ca="1">R20</f>
        <v>0.55086318434888082</v>
      </c>
      <c r="L56" s="11">
        <f t="shared" ca="1" si="39"/>
        <v>188.32556312178193</v>
      </c>
      <c r="M56" s="11">
        <f t="shared" ca="1" si="40"/>
        <v>-6.8636839089917174</v>
      </c>
      <c r="N56" s="10">
        <f t="shared" ca="1" si="19"/>
        <v>8.3077020909126436</v>
      </c>
      <c r="O56" s="11">
        <f t="shared" ca="1" si="10"/>
        <v>261.6744368782181</v>
      </c>
      <c r="P56" s="7">
        <f t="shared" ca="1" si="11"/>
        <v>27.543159217444042</v>
      </c>
      <c r="S56" s="21" t="s">
        <v>618</v>
      </c>
      <c r="T56" s="10">
        <f t="shared" ca="1" si="41"/>
        <v>12.197917484751057</v>
      </c>
      <c r="U56" s="10">
        <f t="shared" ca="1" si="41"/>
        <v>3.7737677499999904</v>
      </c>
      <c r="V56" s="10">
        <f t="shared" ca="1" si="41"/>
        <v>12.755750742383627</v>
      </c>
      <c r="W56" s="10">
        <f t="shared" ca="1" si="41"/>
        <v>6.4282759235663285</v>
      </c>
      <c r="X56" s="10"/>
      <c r="Y56" s="10"/>
    </row>
    <row r="57" spans="4:29" x14ac:dyDescent="0.3">
      <c r="D57" s="21" t="s">
        <v>617</v>
      </c>
      <c r="E57" s="21">
        <f t="shared" ref="E57:E61" si="42">C21</f>
        <v>14</v>
      </c>
      <c r="F57" s="59">
        <f t="shared" ref="F57:F61" ca="1" si="43">E21</f>
        <v>42188</v>
      </c>
      <c r="G57" s="59">
        <f t="shared" ref="G57:G61" ca="1" si="44">J21</f>
        <v>43881</v>
      </c>
      <c r="H57" s="23">
        <f t="shared" ref="H57:H61" ca="1" si="45">N21</f>
        <v>10.969919430907844</v>
      </c>
      <c r="I57" s="23">
        <f t="shared" ca="1" si="16"/>
        <v>2.3946397500000103</v>
      </c>
      <c r="J57" s="23">
        <f t="shared" ref="J57:J61" ca="1" si="46">P21</f>
        <v>11.228242598594385</v>
      </c>
      <c r="K57" s="23">
        <f t="shared" ref="K57:K61" ca="1" si="47">R21</f>
        <v>2.4207374769562615</v>
      </c>
      <c r="L57" s="11">
        <f t="shared" ca="1" si="39"/>
        <v>166.1494380738547</v>
      </c>
      <c r="M57" s="11">
        <f t="shared" ca="1" si="40"/>
        <v>-12.314012344372117</v>
      </c>
      <c r="N57" s="10">
        <f t="shared" ca="1" si="19"/>
        <v>4.5810312097708215</v>
      </c>
      <c r="O57" s="11">
        <f t="shared" ca="1" si="10"/>
        <v>283.8505619261453</v>
      </c>
      <c r="P57" s="7">
        <f t="shared" ca="1" si="11"/>
        <v>121.03687384781307</v>
      </c>
      <c r="S57" s="21" t="s">
        <v>619</v>
      </c>
      <c r="T57" s="10">
        <f t="shared" ca="1" si="41"/>
        <v>49.164295384117395</v>
      </c>
      <c r="U57" s="10">
        <f t="shared" ca="1" si="41"/>
        <v>8.6326057500000388</v>
      </c>
      <c r="V57" s="10">
        <f t="shared" ca="1" si="41"/>
        <v>49.402086916084251</v>
      </c>
      <c r="W57" s="10">
        <f t="shared" ca="1" si="41"/>
        <v>18.06789751940957</v>
      </c>
      <c r="X57" s="10"/>
      <c r="Y57" s="10"/>
    </row>
    <row r="58" spans="4:29" x14ac:dyDescent="0.3">
      <c r="D58" s="21" t="s">
        <v>616</v>
      </c>
      <c r="E58" s="21">
        <f t="shared" si="42"/>
        <v>15</v>
      </c>
      <c r="F58" s="59">
        <f t="shared" ca="1" si="43"/>
        <v>42345</v>
      </c>
      <c r="G58" s="59">
        <f t="shared" ca="1" si="44"/>
        <v>43881</v>
      </c>
      <c r="H58" s="23">
        <f t="shared" ca="1" si="45"/>
        <v>0.71535259658219086</v>
      </c>
      <c r="I58" s="23">
        <f t="shared" ca="1" si="16"/>
        <v>0.22023625000002767</v>
      </c>
      <c r="J58" s="23">
        <f t="shared" ca="1" si="46"/>
        <v>0.74848737013456501</v>
      </c>
      <c r="K58" s="23">
        <f t="shared" ca="1" si="47"/>
        <v>0.17786320969994546</v>
      </c>
      <c r="L58" s="11">
        <f t="shared" ca="1" si="39"/>
        <v>168.4850722626764</v>
      </c>
      <c r="M58" s="11">
        <f t="shared" ca="1" si="40"/>
        <v>-17.112076271159133</v>
      </c>
      <c r="N58" s="10">
        <f t="shared" ca="1" si="19"/>
        <v>3.2481146794957731</v>
      </c>
      <c r="O58" s="11">
        <f t="shared" ca="1" si="10"/>
        <v>281.5149277373236</v>
      </c>
      <c r="P58" s="7">
        <f t="shared" ca="1" si="11"/>
        <v>8.8931604849972725</v>
      </c>
      <c r="S58" s="21" t="s">
        <v>624</v>
      </c>
      <c r="T58" s="10">
        <f ca="1">_xlfn.MAXIFS(H$43:H$73,$D$43:$D$73,"Passive")</f>
        <v>0.41508709298571433</v>
      </c>
      <c r="U58" s="10">
        <f ca="1">_xlfn.MAXIFS(I$43:I$73,$D$43:$D$73,"Passive")</f>
        <v>0.15135524999999461</v>
      </c>
      <c r="V58" s="10">
        <f ca="1">_xlfn.MAXIFS(J$43:J$73,$D$43:$D$73,"Passive")</f>
        <v>0.44182089862962787</v>
      </c>
      <c r="W58" s="10">
        <f ca="1">_xlfn.MAXIFS(K$43:K$73,$D$43:$D$73,"Passive")</f>
        <v>9.8996088397675971E-2</v>
      </c>
      <c r="X58" s="10"/>
      <c r="Y58" s="10"/>
    </row>
    <row r="59" spans="4:29" x14ac:dyDescent="0.3">
      <c r="D59" s="21" t="s">
        <v>618</v>
      </c>
      <c r="E59" s="21">
        <f t="shared" si="42"/>
        <v>16</v>
      </c>
      <c r="F59" s="59">
        <f t="shared" ca="1" si="43"/>
        <v>42188</v>
      </c>
      <c r="G59" s="59">
        <f t="shared" ca="1" si="44"/>
        <v>42562</v>
      </c>
      <c r="H59" s="23">
        <f t="shared" ca="1" si="45"/>
        <v>5.3985521779371384</v>
      </c>
      <c r="I59" s="23">
        <f t="shared" ca="1" si="16"/>
        <v>3.7737677499999904</v>
      </c>
      <c r="J59" s="23">
        <f t="shared" ca="1" si="46"/>
        <v>6.5867813572981007</v>
      </c>
      <c r="K59" s="23">
        <f t="shared" ca="1" si="47"/>
        <v>6.4282759235663285</v>
      </c>
      <c r="L59" s="11">
        <f t="shared" ca="1" si="39"/>
        <v>219.04218461560376</v>
      </c>
      <c r="M59" s="11">
        <f t="shared" ca="1" si="40"/>
        <v>-34.954830315102754</v>
      </c>
      <c r="N59" s="10">
        <f t="shared" ca="1" si="19"/>
        <v>1.430547011786073</v>
      </c>
      <c r="O59" s="11">
        <f t="shared" ca="1" si="10"/>
        <v>230.95781538439624</v>
      </c>
      <c r="P59" s="7">
        <f t="shared" ca="1" si="11"/>
        <v>160.70689808915822</v>
      </c>
      <c r="S59" s="21" t="s">
        <v>625</v>
      </c>
      <c r="T59" s="10">
        <f ca="1">_xlfn.MAXIFS(H$43:H$73,$D$43:$D$73,"Stable")</f>
        <v>0.40095694444597907</v>
      </c>
      <c r="U59" s="10">
        <f ca="1">_xlfn.MAXIFS(I$43:I$73,$D$43:$D$73,"Stable")</f>
        <v>0.1385512499999777</v>
      </c>
      <c r="V59" s="10">
        <f ca="1">_xlfn.MAXIFS(J$43:J$73,$D$43:$D$73,"Stable")</f>
        <v>0.4069755861498579</v>
      </c>
      <c r="W59" s="10">
        <f ca="1">_xlfn.MAXIFS(K$43:K$73,$D$43:$D$73,"Stable")</f>
        <v>9.1188513778206345E-2</v>
      </c>
      <c r="X59" s="10"/>
      <c r="Y59" s="10"/>
    </row>
    <row r="60" spans="4:29" x14ac:dyDescent="0.3">
      <c r="D60" s="21" t="s">
        <v>617</v>
      </c>
      <c r="E60" s="21">
        <f t="shared" si="42"/>
        <v>17</v>
      </c>
      <c r="F60" s="59">
        <f t="shared" ca="1" si="43"/>
        <v>42345</v>
      </c>
      <c r="G60" s="59">
        <f t="shared" ca="1" si="44"/>
        <v>43881</v>
      </c>
      <c r="H60" s="23">
        <f t="shared" ca="1" si="45"/>
        <v>15.723332664210066</v>
      </c>
      <c r="I60" s="23">
        <f t="shared" ca="1" si="16"/>
        <v>2.9696192499999938</v>
      </c>
      <c r="J60" s="23">
        <f t="shared" ca="1" si="46"/>
        <v>16.001307089090744</v>
      </c>
      <c r="K60" s="23">
        <f t="shared" ca="1" si="47"/>
        <v>3.8023939371862769</v>
      </c>
      <c r="L60" s="11">
        <f t="shared" ca="1" si="39"/>
        <v>184.03204659516655</v>
      </c>
      <c r="M60" s="11">
        <f t="shared" ca="1" si="40"/>
        <v>-10.695301834690312</v>
      </c>
      <c r="N60" s="10">
        <f t="shared" ca="1" si="19"/>
        <v>5.2947301793689876</v>
      </c>
      <c r="O60" s="11">
        <f t="shared" ca="1" si="10"/>
        <v>265.96795340483345</v>
      </c>
      <c r="P60" s="7">
        <f t="shared" ca="1" si="11"/>
        <v>190.11969685931385</v>
      </c>
    </row>
    <row r="61" spans="4:29" x14ac:dyDescent="0.3">
      <c r="D61" s="21" t="s">
        <v>617</v>
      </c>
      <c r="E61" s="21">
        <f t="shared" si="42"/>
        <v>18</v>
      </c>
      <c r="F61" s="59">
        <f t="shared" ca="1" si="43"/>
        <v>42188</v>
      </c>
      <c r="G61" s="59">
        <f t="shared" ca="1" si="44"/>
        <v>43881</v>
      </c>
      <c r="H61" s="23">
        <f t="shared" ca="1" si="45"/>
        <v>2.2596735752403223</v>
      </c>
      <c r="I61" s="23">
        <f t="shared" ca="1" si="16"/>
        <v>0.44848674999997229</v>
      </c>
      <c r="J61" s="23">
        <f t="shared" ca="1" si="46"/>
        <v>2.3037502103233582</v>
      </c>
      <c r="K61" s="23">
        <f t="shared" ca="1" si="47"/>
        <v>0.49667384924277957</v>
      </c>
      <c r="L61" s="11">
        <f t="shared" ca="1" si="39"/>
        <v>197.69136410595041</v>
      </c>
      <c r="M61" s="11">
        <f t="shared" ca="1" si="40"/>
        <v>-11.225844558737878</v>
      </c>
      <c r="N61" s="10">
        <f t="shared" ca="1" si="19"/>
        <v>5.038439987893649</v>
      </c>
      <c r="O61" s="11">
        <f t="shared" ca="1" si="10"/>
        <v>252.30863589404959</v>
      </c>
      <c r="P61" s="7">
        <f t="shared" ca="1" si="11"/>
        <v>24.833692462138977</v>
      </c>
    </row>
    <row r="62" spans="4:29" x14ac:dyDescent="0.3">
      <c r="D62" t="s">
        <v>618</v>
      </c>
      <c r="E62" s="21">
        <f>C26</f>
        <v>19</v>
      </c>
      <c r="F62" s="59">
        <f ca="1">E26</f>
        <v>42188</v>
      </c>
      <c r="G62" s="59">
        <f ca="1">J26</f>
        <v>43881</v>
      </c>
      <c r="H62" s="23">
        <f ca="1">N26</f>
        <v>7.057863590305951</v>
      </c>
      <c r="I62" s="23">
        <f t="shared" ca="1" si="16"/>
        <v>3.3191067500000031</v>
      </c>
      <c r="J62" s="23">
        <f ca="1">P26</f>
        <v>7.7993530550464243</v>
      </c>
      <c r="K62" s="23">
        <f ca="1">R26</f>
        <v>1.6814907649686621</v>
      </c>
      <c r="L62" s="11">
        <f t="shared" ca="1" si="39"/>
        <v>219.03711914252295</v>
      </c>
      <c r="M62" s="11">
        <f t="shared" ca="1" si="40"/>
        <v>-25.186228904061668</v>
      </c>
      <c r="N62" s="10">
        <f t="shared" ca="1" si="19"/>
        <v>2.1264346470043316</v>
      </c>
      <c r="O62" s="11">
        <f t="shared" ca="1" si="10"/>
        <v>230.96288085747705</v>
      </c>
      <c r="P62" s="7">
        <f t="shared" ca="1" si="11"/>
        <v>42.03726912421655</v>
      </c>
    </row>
    <row r="63" spans="4:29" x14ac:dyDescent="0.3">
      <c r="D63" t="s">
        <v>618</v>
      </c>
      <c r="E63" s="21">
        <f t="shared" ref="E63:E68" si="48">C27</f>
        <v>20</v>
      </c>
      <c r="F63" s="59">
        <f t="shared" ref="F63:F68" ca="1" si="49">E27</f>
        <v>42188</v>
      </c>
      <c r="G63" s="59">
        <f t="shared" ref="G63:G68" ca="1" si="50">J27</f>
        <v>43817</v>
      </c>
      <c r="H63" s="23">
        <f t="shared" ref="H63:H68" ca="1" si="51">N27</f>
        <v>12.197917484751057</v>
      </c>
      <c r="I63" s="23">
        <f t="shared" ca="1" si="16"/>
        <v>3.7309497499999793</v>
      </c>
      <c r="J63" s="23">
        <f t="shared" ref="J63:J68" ca="1" si="52">P27</f>
        <v>12.755750742383627</v>
      </c>
      <c r="K63" s="23">
        <f t="shared" ref="K63:K68" ca="1" si="53">R27</f>
        <v>2.8581025297544653</v>
      </c>
      <c r="L63" s="11">
        <f t="shared" ca="1" si="39"/>
        <v>179.76228457687188</v>
      </c>
      <c r="M63" s="11">
        <f t="shared" ca="1" si="40"/>
        <v>-17.007182599778847</v>
      </c>
      <c r="N63" s="10">
        <f t="shared" ca="1" si="19"/>
        <v>3.2693866983202131</v>
      </c>
      <c r="O63" s="11">
        <f t="shared" ca="1" si="10"/>
        <v>270.23771542312812</v>
      </c>
      <c r="P63" s="7">
        <f t="shared" ca="1" si="11"/>
        <v>71.452563243861633</v>
      </c>
    </row>
    <row r="64" spans="4:29" x14ac:dyDescent="0.3">
      <c r="D64" s="21" t="s">
        <v>619</v>
      </c>
      <c r="E64" s="21">
        <f t="shared" si="48"/>
        <v>21</v>
      </c>
      <c r="F64" s="59">
        <f t="shared" ca="1" si="49"/>
        <v>42188</v>
      </c>
      <c r="G64" s="59">
        <f t="shared" ca="1" si="50"/>
        <v>43817</v>
      </c>
      <c r="H64" s="23">
        <f t="shared" ca="1" si="51"/>
        <v>44.327101744676881</v>
      </c>
      <c r="I64" s="23">
        <f t="shared" ca="1" si="16"/>
        <v>8.6326057500000388</v>
      </c>
      <c r="J64" s="23">
        <f t="shared" ca="1" si="52"/>
        <v>45.159869697751233</v>
      </c>
      <c r="K64" s="23">
        <f t="shared" ca="1" si="53"/>
        <v>10.118693947009945</v>
      </c>
      <c r="L64" s="11">
        <f t="shared" ca="1" si="39"/>
        <v>152.66305393356598</v>
      </c>
      <c r="M64" s="11">
        <f t="shared" ca="1" si="40"/>
        <v>-11.02028793666662</v>
      </c>
      <c r="N64" s="10">
        <f t="shared" ca="1" si="19"/>
        <v>5.134846074104181</v>
      </c>
      <c r="O64" s="11">
        <f t="shared" ca="1" si="10"/>
        <v>297.33694606643405</v>
      </c>
      <c r="P64" s="7">
        <f t="shared" ca="1" si="11"/>
        <v>101.18693947009945</v>
      </c>
    </row>
    <row r="65" spans="4:16" x14ac:dyDescent="0.3">
      <c r="D65" s="21" t="s">
        <v>619</v>
      </c>
      <c r="E65" s="21">
        <f t="shared" si="48"/>
        <v>22</v>
      </c>
      <c r="F65" s="59">
        <f t="shared" ca="1" si="49"/>
        <v>42188</v>
      </c>
      <c r="G65" s="59">
        <f t="shared" ca="1" si="50"/>
        <v>43186</v>
      </c>
      <c r="H65" s="23">
        <f t="shared" ca="1" si="51"/>
        <v>49.164295384117395</v>
      </c>
      <c r="I65" s="23">
        <f t="shared" ca="1" si="16"/>
        <v>4.8413067500000579</v>
      </c>
      <c r="J65" s="23">
        <f t="shared" ca="1" si="52"/>
        <v>49.402086916084251</v>
      </c>
      <c r="K65" s="23">
        <f t="shared" ca="1" si="53"/>
        <v>18.06789751940957</v>
      </c>
      <c r="L65" s="11">
        <f t="shared" ca="1" si="39"/>
        <v>120.94244759286825</v>
      </c>
      <c r="M65" s="11">
        <f t="shared" ca="1" si="40"/>
        <v>-5.6238992424837368</v>
      </c>
      <c r="N65" s="10">
        <f t="shared" ca="1" si="19"/>
        <v>10.155170478325259</v>
      </c>
      <c r="O65" s="11">
        <f t="shared" ca="1" si="10"/>
        <v>329.05755240713177</v>
      </c>
      <c r="P65" s="7">
        <f t="shared" ca="1" si="11"/>
        <v>180.6789751940957</v>
      </c>
    </row>
    <row r="66" spans="4:16" x14ac:dyDescent="0.3">
      <c r="D66" t="s">
        <v>621</v>
      </c>
      <c r="E66" s="21">
        <f t="shared" si="48"/>
        <v>23</v>
      </c>
      <c r="F66" s="59">
        <f t="shared" ca="1" si="49"/>
        <v>42188</v>
      </c>
      <c r="G66" s="59">
        <f t="shared" ca="1" si="50"/>
        <v>43817</v>
      </c>
      <c r="H66" s="23">
        <f t="shared" ca="1" si="51"/>
        <v>2.7452822802087183E-2</v>
      </c>
      <c r="I66" s="23">
        <f t="shared" ca="1" si="16"/>
        <v>2.1003750000033961E-2</v>
      </c>
      <c r="J66" s="23">
        <f t="shared" ca="1" si="52"/>
        <v>3.4566096017148433E-2</v>
      </c>
      <c r="K66" s="23">
        <f t="shared" ca="1" si="53"/>
        <v>7.7450123058681267E-3</v>
      </c>
      <c r="L66" s="11">
        <f t="shared" ca="1" si="39"/>
        <v>195.99126468575366</v>
      </c>
      <c r="M66" s="11">
        <f t="shared" ca="1" si="40"/>
        <v>-37.419070003561785</v>
      </c>
      <c r="N66" s="10">
        <f t="shared" ca="1" si="19"/>
        <v>1.3070438755956815</v>
      </c>
      <c r="O66" s="11">
        <f t="shared" ca="1" si="10"/>
        <v>254.00873531424634</v>
      </c>
      <c r="P66" s="7">
        <f ca="1">IF(D66="Translational",K66*$AC$46,IF(D66="TZ1",K66*$AC$47,IF(D66="TZ2",K66*$AC$48,IF(D66="Passive",K66*$AC$50,IF(D66="Stable",K66*$AC$51,IF(D66="EFSZ",K66*$AC$49,"none"))))))</f>
        <v>0.38725061529340632</v>
      </c>
    </row>
    <row r="67" spans="4:16" x14ac:dyDescent="0.3">
      <c r="D67" s="21" t="s">
        <v>619</v>
      </c>
      <c r="E67" s="21">
        <f t="shared" si="48"/>
        <v>24</v>
      </c>
      <c r="F67" s="59">
        <f t="shared" ca="1" si="49"/>
        <v>42188</v>
      </c>
      <c r="G67" s="59">
        <f t="shared" ca="1" si="50"/>
        <v>43817</v>
      </c>
      <c r="H67" s="23">
        <f t="shared" ca="1" si="51"/>
        <v>26.173207857927743</v>
      </c>
      <c r="I67" s="23">
        <f t="shared" ca="1" si="16"/>
        <v>8.5758750000024975E-2</v>
      </c>
      <c r="J67" s="23">
        <f t="shared" ca="1" si="52"/>
        <v>26.173348355483522</v>
      </c>
      <c r="K67" s="23">
        <f t="shared" ca="1" si="53"/>
        <v>5.8645010127387884</v>
      </c>
      <c r="L67" s="11">
        <f t="shared" ca="1" si="39"/>
        <v>171.19972330789707</v>
      </c>
      <c r="M67" s="10">
        <f t="shared" ca="1" si="40"/>
        <v>-0.18773384118204695</v>
      </c>
      <c r="N67" s="10">
        <f t="shared" ca="1" si="19"/>
        <v>305.19577136933691</v>
      </c>
      <c r="O67" s="11">
        <f t="shared" ca="1" si="10"/>
        <v>278.8002766921029</v>
      </c>
      <c r="P67" s="7">
        <f t="shared" ca="1" si="11"/>
        <v>58.645010127387884</v>
      </c>
    </row>
    <row r="68" spans="4:16" x14ac:dyDescent="0.3">
      <c r="D68" s="21" t="s">
        <v>619</v>
      </c>
      <c r="E68" s="21">
        <f t="shared" si="48"/>
        <v>25</v>
      </c>
      <c r="F68" s="59">
        <f t="shared" ca="1" si="49"/>
        <v>42277</v>
      </c>
      <c r="G68" s="59">
        <f t="shared" ca="1" si="50"/>
        <v>43817</v>
      </c>
      <c r="H68" s="23">
        <f t="shared" ca="1" si="51"/>
        <v>27.967705513929101</v>
      </c>
      <c r="I68" s="23">
        <f t="shared" ca="1" si="16"/>
        <v>1.7178847500000529</v>
      </c>
      <c r="J68" s="23">
        <f t="shared" ca="1" si="52"/>
        <v>28.020415409628441</v>
      </c>
      <c r="K68" s="23">
        <f t="shared" ca="1" si="53"/>
        <v>6.6412023535807663</v>
      </c>
      <c r="L68" s="11">
        <f t="shared" ca="1" si="39"/>
        <v>154.00862495366542</v>
      </c>
      <c r="M68" s="11">
        <f t="shared" ca="1" si="40"/>
        <v>-3.5149125758892468</v>
      </c>
      <c r="N68" s="10">
        <f t="shared" ca="1" si="19"/>
        <v>16.280315378507343</v>
      </c>
      <c r="O68" s="11">
        <f t="shared" ca="1" si="10"/>
        <v>295.99137504633461</v>
      </c>
      <c r="P68" s="7">
        <f t="shared" ca="1" si="11"/>
        <v>66.412023535807663</v>
      </c>
    </row>
    <row r="69" spans="4:16" x14ac:dyDescent="0.3">
      <c r="D69" t="s">
        <v>621</v>
      </c>
      <c r="E69" s="21">
        <f>C33</f>
        <v>26</v>
      </c>
      <c r="F69" s="59">
        <f ca="1">E33</f>
        <v>42277</v>
      </c>
      <c r="G69" s="59">
        <f ca="1">J33</f>
        <v>43817</v>
      </c>
      <c r="H69" s="23">
        <f ca="1">N33</f>
        <v>0.19776602086795148</v>
      </c>
      <c r="I69" s="23">
        <f t="shared" ca="1" si="16"/>
        <v>0.1385512499999777</v>
      </c>
      <c r="J69" s="23">
        <f ca="1">P33</f>
        <v>0.24147018011857974</v>
      </c>
      <c r="K69" s="23">
        <f ca="1">R33</f>
        <v>5.7231568664468574E-2</v>
      </c>
      <c r="L69" s="11">
        <f t="shared" ca="1" si="39"/>
        <v>227.00301138011599</v>
      </c>
      <c r="M69" s="11">
        <f t="shared" ca="1" si="40"/>
        <v>35.014381520869307</v>
      </c>
      <c r="N69" s="10">
        <f t="shared" ca="1" si="19"/>
        <v>1.427385323972056</v>
      </c>
      <c r="O69" s="11">
        <f t="shared" ca="1" si="10"/>
        <v>222.99698861988401</v>
      </c>
      <c r="P69" s="7">
        <f t="shared" ca="1" si="11"/>
        <v>2.8615784332234289</v>
      </c>
    </row>
    <row r="70" spans="4:16" x14ac:dyDescent="0.3">
      <c r="D70" t="s">
        <v>621</v>
      </c>
      <c r="E70" s="21">
        <f>C34</f>
        <v>27</v>
      </c>
      <c r="F70" s="59">
        <f ca="1">E34</f>
        <v>42188</v>
      </c>
      <c r="G70" s="59">
        <f ca="1">J34</f>
        <v>43382</v>
      </c>
      <c r="H70" s="23">
        <f ca="1">N34</f>
        <v>2.5517304528028167E-2</v>
      </c>
      <c r="I70" s="23">
        <f t="shared" ca="1" si="16"/>
        <v>1.0829749999970772E-2</v>
      </c>
      <c r="J70" s="23">
        <f ca="1">P34</f>
        <v>2.7720323148152398E-2</v>
      </c>
      <c r="K70" s="23">
        <f ca="1">R34</f>
        <v>8.4739681315541254E-3</v>
      </c>
      <c r="L70" s="11">
        <f t="shared" ca="1" si="39"/>
        <v>321.68595094231324</v>
      </c>
      <c r="M70" s="11">
        <f t="shared" ca="1" si="40"/>
        <v>-22.99675956543344</v>
      </c>
      <c r="N70" s="10">
        <f t="shared" ca="1" si="19"/>
        <v>2.3562228609244937</v>
      </c>
      <c r="O70" s="11">
        <f t="shared" ca="1" si="10"/>
        <v>128.31404905768676</v>
      </c>
      <c r="P70" s="7">
        <f t="shared" ca="1" si="11"/>
        <v>0.42369840657770624</v>
      </c>
    </row>
    <row r="71" spans="4:16" x14ac:dyDescent="0.3">
      <c r="D71" s="21" t="s">
        <v>618</v>
      </c>
      <c r="E71" s="21">
        <f>C35</f>
        <v>28</v>
      </c>
      <c r="F71" s="59">
        <f ca="1">E35</f>
        <v>42188</v>
      </c>
      <c r="G71" s="59">
        <f ca="1">J35</f>
        <v>43817</v>
      </c>
      <c r="H71" s="23">
        <f ca="1">N35</f>
        <v>4.5025444321617263</v>
      </c>
      <c r="I71" s="23">
        <f t="shared" ca="1" si="16"/>
        <v>0.75660874999999805</v>
      </c>
      <c r="J71" s="23">
        <f ca="1">P35</f>
        <v>4.5656722576382025</v>
      </c>
      <c r="K71" s="23">
        <f ca="1">R35</f>
        <v>1.0230020712326238</v>
      </c>
      <c r="L71" s="11">
        <f t="shared" ca="1" si="39"/>
        <v>135.71795273413915</v>
      </c>
      <c r="M71" s="11">
        <f t="shared" ca="1" si="40"/>
        <v>-9.5388793141430437</v>
      </c>
      <c r="N71" s="10">
        <f t="shared" ca="1" si="19"/>
        <v>5.9509547466398427</v>
      </c>
      <c r="O71" s="11">
        <f t="shared" ca="1" si="10"/>
        <v>314.28204726586085</v>
      </c>
      <c r="P71" s="7">
        <f t="shared" ca="1" si="11"/>
        <v>25.575051780815595</v>
      </c>
    </row>
    <row r="72" spans="4:16" x14ac:dyDescent="0.3">
      <c r="D72" t="s">
        <v>619</v>
      </c>
      <c r="E72" s="21">
        <f>C36</f>
        <v>29</v>
      </c>
      <c r="F72" s="59">
        <f ca="1">E36</f>
        <v>42814</v>
      </c>
      <c r="G72" s="59">
        <f ca="1">J36</f>
        <v>43382</v>
      </c>
      <c r="H72" s="23">
        <f ca="1">N36</f>
        <v>9.7186140324988148</v>
      </c>
      <c r="I72" s="23">
        <f t="shared" ca="1" si="16"/>
        <v>0.48254500000001599</v>
      </c>
      <c r="J72" s="23">
        <f ca="1">P36</f>
        <v>9.7305862305262938</v>
      </c>
      <c r="K72" s="23">
        <f ca="1">R36</f>
        <v>6.2529295319403122</v>
      </c>
      <c r="L72" s="11">
        <f t="shared" ca="1" si="39"/>
        <v>181.63009871223983</v>
      </c>
      <c r="M72" s="11">
        <f t="shared" ca="1" si="40"/>
        <v>-2.8424943611544253</v>
      </c>
      <c r="N72" s="10">
        <f t="shared" ca="1" si="19"/>
        <v>20.14032687624676</v>
      </c>
      <c r="O72" s="11">
        <f t="shared" ca="1" si="10"/>
        <v>268.36990128776017</v>
      </c>
      <c r="P72" s="7">
        <f t="shared" ca="1" si="11"/>
        <v>62.529295319403118</v>
      </c>
    </row>
    <row r="73" spans="4:16" x14ac:dyDescent="0.3">
      <c r="D73" t="s">
        <v>620</v>
      </c>
      <c r="E73" s="21" t="str">
        <f>C37</f>
        <v>camera</v>
      </c>
      <c r="F73" s="59">
        <f ca="1">E37</f>
        <v>42188</v>
      </c>
      <c r="G73" s="59">
        <f ca="1">J37</f>
        <v>43817</v>
      </c>
      <c r="H73" s="23">
        <f ca="1">N37</f>
        <v>0.41508709298571433</v>
      </c>
      <c r="I73" s="23">
        <f t="shared" ca="1" si="16"/>
        <v>0.15135524999999461</v>
      </c>
      <c r="J73" s="23">
        <f ca="1">P37</f>
        <v>0.44182089862962787</v>
      </c>
      <c r="K73" s="23">
        <f ca="1">R37</f>
        <v>9.8996088397675971E-2</v>
      </c>
      <c r="L73" s="11">
        <f t="shared" ca="1" si="39"/>
        <v>177.42357123407061</v>
      </c>
      <c r="M73" s="11">
        <f t="shared" ca="1" si="40"/>
        <v>20.033621684496751</v>
      </c>
      <c r="N73" s="10">
        <f t="shared" ca="1" si="19"/>
        <v>2.7424690784477521</v>
      </c>
      <c r="O73" s="11">
        <f t="shared" ca="1" si="10"/>
        <v>272.57642876592939</v>
      </c>
      <c r="P73" s="7">
        <f t="shared" ca="1" si="11"/>
        <v>4.9498044198837983</v>
      </c>
    </row>
    <row r="74" spans="4:16" x14ac:dyDescent="0.3">
      <c r="E74" s="21"/>
      <c r="F74" s="59"/>
      <c r="G74" s="59"/>
      <c r="H74" s="23"/>
      <c r="I74" s="23"/>
      <c r="J74" s="23"/>
      <c r="K74" s="23"/>
      <c r="L74" s="11"/>
      <c r="M74" s="11"/>
      <c r="O74" s="11"/>
    </row>
  </sheetData>
  <phoneticPr fontId="2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T172"/>
  <sheetViews>
    <sheetView topLeftCell="A166" workbookViewId="0">
      <selection activeCell="B44" sqref="B32:B44"/>
    </sheetView>
  </sheetViews>
  <sheetFormatPr defaultRowHeight="14.4" x14ac:dyDescent="0.3"/>
  <cols>
    <col min="1" max="1" width="9.109375" style="21"/>
    <col min="2" max="2" width="12" customWidth="1"/>
    <col min="3" max="3" width="0" hidden="1" customWidth="1"/>
    <col min="4" max="4" width="14.109375" customWidth="1"/>
    <col min="5" max="5" width="12.33203125" customWidth="1"/>
    <col min="8" max="8" width="9.109375" style="21"/>
  </cols>
  <sheetData>
    <row r="2" spans="1:15" x14ac:dyDescent="0.3">
      <c r="B2" s="5" t="s">
        <v>401</v>
      </c>
    </row>
    <row r="3" spans="1:15" x14ac:dyDescent="0.3">
      <c r="B3" t="s">
        <v>426</v>
      </c>
      <c r="C3" t="s">
        <v>425</v>
      </c>
      <c r="G3" t="s">
        <v>427</v>
      </c>
      <c r="H3" s="21" t="s">
        <v>525</v>
      </c>
      <c r="I3" t="s">
        <v>428</v>
      </c>
      <c r="J3" t="s">
        <v>429</v>
      </c>
      <c r="K3" t="s">
        <v>438</v>
      </c>
      <c r="L3" t="s">
        <v>430</v>
      </c>
    </row>
    <row r="4" spans="1:15" x14ac:dyDescent="0.3">
      <c r="B4" s="1">
        <v>43382</v>
      </c>
      <c r="C4" s="3" t="s">
        <v>373</v>
      </c>
      <c r="D4" t="s">
        <v>391</v>
      </c>
      <c r="N4" t="s">
        <v>517</v>
      </c>
    </row>
    <row r="5" spans="1:15" x14ac:dyDescent="0.3">
      <c r="A5" s="22" t="s">
        <v>375</v>
      </c>
      <c r="B5" s="1">
        <v>43186</v>
      </c>
      <c r="C5" s="3" t="s">
        <v>375</v>
      </c>
      <c r="D5">
        <f>'Mar2018'!F$27</f>
        <v>1844466.2812699999</v>
      </c>
      <c r="E5">
        <f>'Mar2018'!G27</f>
        <v>5595443.1821339997</v>
      </c>
      <c r="F5">
        <f>'Mar2018'!H27</f>
        <v>301.06923899999998</v>
      </c>
      <c r="G5">
        <f>SQRT(((D5-D6)^2)+((E5-E6)^2))</f>
        <v>104.38572401426835</v>
      </c>
      <c r="H5" s="21" cm="1">
        <f t="array" aca="1" ref="H5" ca="1">INDIRECT("'"&amp;A5&amp;"'!"&amp;N5)+0.01</f>
        <v>2.7227000000000001E-2</v>
      </c>
      <c r="I5">
        <f>F5-F6</f>
        <v>-9.6354910000000018</v>
      </c>
      <c r="J5">
        <f t="shared" ref="J5:J12" si="0">SQRT((G5^2)+(I5^2))</f>
        <v>104.82949043467721</v>
      </c>
      <c r="K5">
        <f t="shared" ref="K5:K15" si="1">(J5/(B5-B6))*365</f>
        <v>229.11834735722866</v>
      </c>
      <c r="L5">
        <f t="shared" ref="L5:L13" si="2">L6+J5</f>
        <v>17676255.453110624</v>
      </c>
      <c r="N5" t="s">
        <v>552</v>
      </c>
      <c r="O5" s="21"/>
    </row>
    <row r="6" spans="1:15" x14ac:dyDescent="0.3">
      <c r="A6" s="3" t="s">
        <v>374</v>
      </c>
      <c r="B6" s="1">
        <v>43019</v>
      </c>
      <c r="C6" s="3" t="s">
        <v>374</v>
      </c>
      <c r="D6" s="21">
        <f>'Mar2018'!F28</f>
        <v>1844378.802374</v>
      </c>
      <c r="E6" s="21">
        <f>'Mar2018'!G28</f>
        <v>5595386.2275719997</v>
      </c>
      <c r="F6" s="21">
        <f>'Mar2018'!H28</f>
        <v>310.70472999999998</v>
      </c>
      <c r="G6">
        <f t="shared" ref="G6:G13" si="3">SQRT(((D6-D7)^2)+((E6-E7)^2))</f>
        <v>228.39373948329921</v>
      </c>
      <c r="H6" s="21" cm="1">
        <f t="array" aca="1" ref="H6" ca="1">INDIRECT("'"&amp;A6&amp;"'!"&amp;N6)+0.01</f>
        <v>3.0688E-2</v>
      </c>
      <c r="I6">
        <f t="shared" ref="I6:I12" si="4">F6-F7</f>
        <v>-16.298056000000031</v>
      </c>
      <c r="J6">
        <f t="shared" si="0"/>
        <v>228.97451138618965</v>
      </c>
      <c r="K6">
        <f t="shared" si="1"/>
        <v>803.61246784576178</v>
      </c>
      <c r="L6">
        <f t="shared" si="2"/>
        <v>17676150.62362019</v>
      </c>
      <c r="N6" s="21" t="s">
        <v>552</v>
      </c>
    </row>
    <row r="7" spans="1:15" x14ac:dyDescent="0.3">
      <c r="A7" s="3" t="s">
        <v>376</v>
      </c>
      <c r="B7" s="1">
        <v>42915</v>
      </c>
      <c r="C7" s="3" t="s">
        <v>376</v>
      </c>
      <c r="D7" s="21">
        <f>'Mar2018'!F29</f>
        <v>1844364.6339789999</v>
      </c>
      <c r="E7" s="21">
        <f>'Mar2018'!G29</f>
        <v>5595614.1814200003</v>
      </c>
      <c r="F7" s="21">
        <f>'Mar2018'!H29</f>
        <v>327.00278600000001</v>
      </c>
      <c r="G7">
        <f t="shared" si="3"/>
        <v>92.397310452583852</v>
      </c>
      <c r="H7" s="21" cm="1">
        <f t="array" aca="1" ref="H7" ca="1">INDIRECT("'"&amp;A7&amp;"'!"&amp;N7)+0.01</f>
        <v>3.0381999999999999E-2</v>
      </c>
      <c r="I7">
        <f t="shared" si="4"/>
        <v>10.932405000000017</v>
      </c>
      <c r="J7">
        <f t="shared" si="0"/>
        <v>93.041821015902229</v>
      </c>
      <c r="K7">
        <f t="shared" si="1"/>
        <v>336.24024426538926</v>
      </c>
      <c r="L7">
        <f t="shared" si="2"/>
        <v>17675921.649108805</v>
      </c>
      <c r="N7" s="21" t="s">
        <v>552</v>
      </c>
    </row>
    <row r="8" spans="1:15" x14ac:dyDescent="0.3">
      <c r="A8" s="3" t="s">
        <v>377</v>
      </c>
      <c r="B8" s="1">
        <v>42814</v>
      </c>
      <c r="C8" s="3" t="s">
        <v>377</v>
      </c>
      <c r="D8" s="21">
        <f>'Mar2018'!F30</f>
        <v>1844344.054861</v>
      </c>
      <c r="E8" s="21">
        <f>'Mar2018'!G30</f>
        <v>5595524.1049920004</v>
      </c>
      <c r="F8" s="21">
        <f>'Mar2018'!H30</f>
        <v>316.070381</v>
      </c>
      <c r="G8">
        <f t="shared" si="3"/>
        <v>41.115943953458924</v>
      </c>
      <c r="H8" s="21" cm="1">
        <f t="array" aca="1" ref="H8" ca="1">INDIRECT("'"&amp;A8&amp;"'!"&amp;N8)+0.01</f>
        <v>3.9334000000000001E-2</v>
      </c>
      <c r="I8">
        <f t="shared" si="4"/>
        <v>1.5217460000000074</v>
      </c>
      <c r="J8">
        <f t="shared" si="0"/>
        <v>41.144095057158466</v>
      </c>
      <c r="K8">
        <f t="shared" si="1"/>
        <v>156.4332780819046</v>
      </c>
      <c r="L8">
        <f t="shared" si="2"/>
        <v>17675828.607287791</v>
      </c>
      <c r="N8" s="21" t="s">
        <v>552</v>
      </c>
    </row>
    <row r="9" spans="1:15" x14ac:dyDescent="0.3">
      <c r="A9" s="3" t="s">
        <v>378</v>
      </c>
      <c r="B9" s="1">
        <v>42718</v>
      </c>
      <c r="C9" s="3" t="s">
        <v>378</v>
      </c>
      <c r="D9" s="21">
        <f>'Mar2018'!F31</f>
        <v>1844303.1300550001</v>
      </c>
      <c r="E9" s="21">
        <f>'Mar2018'!G31</f>
        <v>5595520.1450549997</v>
      </c>
      <c r="F9" s="21">
        <f>'Mar2018'!H31</f>
        <v>314.54863499999999</v>
      </c>
      <c r="G9">
        <f t="shared" si="3"/>
        <v>135.91004777363949</v>
      </c>
      <c r="H9" s="21" cm="1">
        <f t="array" aca="1" ref="H9" ca="1">INDIRECT("'"&amp;A9&amp;"'!"&amp;N9)+0.01</f>
        <v>2.7864E-2</v>
      </c>
      <c r="I9">
        <f t="shared" si="4"/>
        <v>-41.362050000000011</v>
      </c>
      <c r="J9">
        <f t="shared" si="0"/>
        <v>142.06463411431949</v>
      </c>
      <c r="K9">
        <f t="shared" si="1"/>
        <v>997.18445099474263</v>
      </c>
      <c r="L9">
        <f t="shared" si="2"/>
        <v>17675787.463192735</v>
      </c>
      <c r="N9" s="21" t="s">
        <v>552</v>
      </c>
    </row>
    <row r="10" spans="1:15" x14ac:dyDescent="0.3">
      <c r="A10" s="3" t="s">
        <v>379</v>
      </c>
      <c r="B10" s="1">
        <v>42666</v>
      </c>
      <c r="C10" s="3" t="s">
        <v>379</v>
      </c>
      <c r="D10" s="21">
        <f>'Mar2018'!F32</f>
        <v>1844185.1223240001</v>
      </c>
      <c r="E10" s="21">
        <f>'Mar2018'!G32</f>
        <v>5595587.5669839997</v>
      </c>
      <c r="F10" s="21">
        <f>'Mar2018'!H32</f>
        <v>355.910685</v>
      </c>
      <c r="G10">
        <f t="shared" si="3"/>
        <v>5891656.7266930193</v>
      </c>
      <c r="H10" s="21" cm="1">
        <f t="array" aca="1" ref="H10" ca="1">INDIRECT("'"&amp;A10&amp;"'!"&amp;N10)+0.01</f>
        <v>2.8823000000000001E-2</v>
      </c>
      <c r="I10">
        <f t="shared" si="4"/>
        <v>355.910685</v>
      </c>
      <c r="J10">
        <f t="shared" si="0"/>
        <v>5891656.7374431714</v>
      </c>
      <c r="K10">
        <f t="shared" si="1"/>
        <v>20677449.126603439</v>
      </c>
      <c r="L10">
        <f t="shared" si="2"/>
        <v>17675645.39855862</v>
      </c>
      <c r="N10" s="21" t="s">
        <v>552</v>
      </c>
    </row>
    <row r="11" spans="1:15" x14ac:dyDescent="0.3">
      <c r="A11" s="3" t="s">
        <v>380</v>
      </c>
      <c r="B11" s="1">
        <v>42562</v>
      </c>
      <c r="C11" s="3" t="s">
        <v>380</v>
      </c>
      <c r="D11" s="21">
        <f>'Mar2018'!F33</f>
        <v>0</v>
      </c>
      <c r="E11" s="21">
        <f>'Mar2018'!G33</f>
        <v>0</v>
      </c>
      <c r="F11" s="21">
        <f>'Mar2018'!H33</f>
        <v>0</v>
      </c>
      <c r="G11">
        <f t="shared" si="3"/>
        <v>5891818.6040986665</v>
      </c>
      <c r="H11" s="21" cm="1">
        <f t="array" aca="1" ref="H11" ca="1">INDIRECT("'"&amp;A11&amp;"'!"&amp;N11)+0.01</f>
        <v>4.1001000000000003E-2</v>
      </c>
      <c r="I11">
        <f t="shared" si="4"/>
        <v>-335.163566</v>
      </c>
      <c r="J11">
        <f t="shared" si="0"/>
        <v>5891818.6136317691</v>
      </c>
      <c r="K11">
        <f t="shared" si="1"/>
        <v>18538912.017030995</v>
      </c>
      <c r="L11">
        <f t="shared" si="2"/>
        <v>11783988.661115449</v>
      </c>
      <c r="N11" s="21" t="s">
        <v>552</v>
      </c>
    </row>
    <row r="12" spans="1:15" x14ac:dyDescent="0.3">
      <c r="A12" s="3" t="s">
        <v>381</v>
      </c>
      <c r="B12" s="1">
        <v>42446</v>
      </c>
      <c r="C12" s="3" t="s">
        <v>381</v>
      </c>
      <c r="D12" s="21">
        <f>'Mar2018'!F34</f>
        <v>1844374.2659519999</v>
      </c>
      <c r="E12" s="21">
        <f>'Mar2018'!G34</f>
        <v>5595695.66995</v>
      </c>
      <c r="F12" s="21">
        <f>'Mar2018'!H34</f>
        <v>335.163566</v>
      </c>
      <c r="G12">
        <f t="shared" si="3"/>
        <v>363.05604648592379</v>
      </c>
      <c r="H12" s="21" cm="1">
        <f t="array" aca="1" ref="H12" ca="1">INDIRECT("'"&amp;A12&amp;"'!"&amp;N12)+0.01</f>
        <v>2.7968E-2</v>
      </c>
      <c r="I12">
        <f t="shared" si="4"/>
        <v>-5.2473140000000171</v>
      </c>
      <c r="J12">
        <f t="shared" si="0"/>
        <v>363.09396468986353</v>
      </c>
      <c r="K12">
        <f t="shared" si="1"/>
        <v>1312.1712585326752</v>
      </c>
      <c r="L12">
        <f t="shared" si="2"/>
        <v>5892170.0474836808</v>
      </c>
      <c r="N12" s="21" t="s">
        <v>552</v>
      </c>
    </row>
    <row r="13" spans="1:15" x14ac:dyDescent="0.3">
      <c r="A13" s="3" t="s">
        <v>382</v>
      </c>
      <c r="B13" s="1">
        <v>42345</v>
      </c>
      <c r="C13" s="3" t="s">
        <v>382</v>
      </c>
      <c r="D13" s="21">
        <f>'Mar2018'!F35</f>
        <v>1844715.2428939999</v>
      </c>
      <c r="E13" s="21">
        <f>'Mar2018'!G35</f>
        <v>5595570.992695</v>
      </c>
      <c r="F13" s="21">
        <f>'Mar2018'!H35</f>
        <v>340.41088000000002</v>
      </c>
      <c r="G13">
        <f t="shared" si="3"/>
        <v>5891806.9436850334</v>
      </c>
      <c r="H13" s="21" cm="1">
        <f t="array" aca="1" ref="H13" ca="1">INDIRECT("'"&amp;A13&amp;"'!"&amp;N13)+0.01</f>
        <v>5.5E-2</v>
      </c>
      <c r="I13">
        <f>F13-F14</f>
        <v>340.41088000000002</v>
      </c>
      <c r="J13">
        <f>SQRT((G13^2)+(I13^2))</f>
        <v>5891806.9535189914</v>
      </c>
      <c r="K13">
        <f t="shared" si="1"/>
        <v>31625140.265212234</v>
      </c>
      <c r="L13">
        <f t="shared" si="2"/>
        <v>5891806.9535189914</v>
      </c>
      <c r="N13" s="21" t="s">
        <v>552</v>
      </c>
    </row>
    <row r="14" spans="1:15" x14ac:dyDescent="0.3">
      <c r="A14" s="3" t="s">
        <v>383</v>
      </c>
      <c r="B14" s="1">
        <v>42277</v>
      </c>
      <c r="C14" s="3" t="s">
        <v>383</v>
      </c>
      <c r="D14" s="21">
        <f>'Mar2018'!F36</f>
        <v>0</v>
      </c>
      <c r="E14" s="21">
        <f>'Mar2018'!G36</f>
        <v>0</v>
      </c>
      <c r="F14" s="21">
        <f>'Mar2018'!H36</f>
        <v>0</v>
      </c>
      <c r="G14">
        <f>SQRT(((D14-D15)^2)+((E14-E15)^2))</f>
        <v>0</v>
      </c>
      <c r="H14" s="21" cm="1">
        <f t="array" aca="1" ref="H14" ca="1">INDIRECT("'"&amp;A14&amp;"'!"&amp;N14)+0.01</f>
        <v>2.0999999999999998E-2</v>
      </c>
      <c r="I14">
        <f>F14-F15</f>
        <v>0</v>
      </c>
      <c r="J14">
        <f>SQRT((G14^2)+(I14^2))</f>
        <v>0</v>
      </c>
      <c r="K14">
        <f>(J14/(B14-B15))*365</f>
        <v>0</v>
      </c>
      <c r="L14">
        <f>J15+J14</f>
        <v>0</v>
      </c>
      <c r="N14" s="21" t="s">
        <v>552</v>
      </c>
    </row>
    <row r="15" spans="1:15" x14ac:dyDescent="0.3">
      <c r="A15" s="3" t="s">
        <v>384</v>
      </c>
      <c r="B15" s="1">
        <v>42188</v>
      </c>
      <c r="C15" s="3" t="s">
        <v>384</v>
      </c>
      <c r="D15" s="21">
        <f>'Mar2018'!F37</f>
        <v>0</v>
      </c>
      <c r="E15" s="21">
        <f>'Mar2018'!G37</f>
        <v>0</v>
      </c>
      <c r="F15" s="21">
        <f>'Mar2018'!H37</f>
        <v>0</v>
      </c>
      <c r="G15">
        <v>0</v>
      </c>
      <c r="I15">
        <v>0</v>
      </c>
      <c r="J15">
        <v>0</v>
      </c>
      <c r="K15">
        <f t="shared" si="1"/>
        <v>0</v>
      </c>
      <c r="L15">
        <f>J15</f>
        <v>0</v>
      </c>
      <c r="N15" s="21"/>
    </row>
    <row r="16" spans="1:15" x14ac:dyDescent="0.3">
      <c r="A16" s="3"/>
    </row>
    <row r="17" spans="1:15" x14ac:dyDescent="0.3">
      <c r="O17" t="s">
        <v>446</v>
      </c>
    </row>
    <row r="18" spans="1:15" x14ac:dyDescent="0.3">
      <c r="O18" s="9">
        <f>(SQRT(((D15-D5)^2)+((E15-E5)^2)))/(F15-F5)</f>
        <v>-19568.945777093893</v>
      </c>
    </row>
    <row r="30" spans="1:15" x14ac:dyDescent="0.3">
      <c r="N30" s="21" t="s">
        <v>517</v>
      </c>
    </row>
    <row r="31" spans="1:15" x14ac:dyDescent="0.3">
      <c r="B31" s="5" t="s">
        <v>431</v>
      </c>
      <c r="G31" t="s">
        <v>427</v>
      </c>
      <c r="I31" t="s">
        <v>428</v>
      </c>
      <c r="J31" t="s">
        <v>429</v>
      </c>
      <c r="K31" t="s">
        <v>438</v>
      </c>
      <c r="L31" t="s">
        <v>430</v>
      </c>
    </row>
    <row r="32" spans="1:15" x14ac:dyDescent="0.3">
      <c r="A32" s="3" t="s">
        <v>526</v>
      </c>
      <c r="B32" s="1">
        <v>43817</v>
      </c>
      <c r="D32">
        <f>'Dec2019-Feb2020'!F26</f>
        <v>1844500.214831</v>
      </c>
      <c r="E32">
        <f>'Dec2019-Feb2020'!G26</f>
        <v>5595530.2005660003</v>
      </c>
      <c r="F32">
        <f>'Dec2019-Feb2020'!H26</f>
        <v>304.42493999999999</v>
      </c>
      <c r="G32">
        <f>SQRT(((D32-D33)^2)+((E32-E33)^2))</f>
        <v>218.84097602820111</v>
      </c>
      <c r="I32">
        <f t="shared" ref="I32" si="5">F32-F33</f>
        <v>-35.970369000000005</v>
      </c>
      <c r="J32">
        <f t="shared" ref="J32" si="6">SQRT((G32^2)+(I32^2))</f>
        <v>221.77745655267097</v>
      </c>
      <c r="K32">
        <f>(J32/(B32-B33))*365</f>
        <v>186.08913021086184</v>
      </c>
      <c r="L32">
        <f t="shared" ref="L32" si="7">L33+J32</f>
        <v>4970.1857717392868</v>
      </c>
    </row>
    <row r="33" spans="1:16" x14ac:dyDescent="0.3">
      <c r="A33" s="3" t="s">
        <v>373</v>
      </c>
      <c r="B33" s="1">
        <v>43382</v>
      </c>
      <c r="C33" s="3" t="s">
        <v>373</v>
      </c>
      <c r="D33">
        <f>'Oct2018'!F35</f>
        <v>1844715.236543</v>
      </c>
      <c r="E33">
        <f>'Oct2018'!G35</f>
        <v>5595570.9072749997</v>
      </c>
      <c r="F33">
        <f>'Oct2018'!H35</f>
        <v>340.395309</v>
      </c>
      <c r="G33">
        <f>SQRT(((D33-D34)^2)+((E33-E34)^2))</f>
        <v>899.72744341560974</v>
      </c>
      <c r="I33">
        <f t="shared" ref="I33" si="8">F33-F34</f>
        <v>-81.459081000000026</v>
      </c>
      <c r="J33">
        <f t="shared" ref="J33" si="9">SQRT((G33^2)+(I33^2))</f>
        <v>903.40746859462797</v>
      </c>
      <c r="K33">
        <f>(J33/(B33-B34))*365</f>
        <v>1682.3659491685673</v>
      </c>
      <c r="L33">
        <f t="shared" ref="L33:L42" si="10">L34+J33</f>
        <v>4748.4083151866162</v>
      </c>
    </row>
    <row r="34" spans="1:16" x14ac:dyDescent="0.3">
      <c r="A34" s="22" t="s">
        <v>375</v>
      </c>
      <c r="B34" s="1">
        <v>43186</v>
      </c>
      <c r="C34" s="3" t="s">
        <v>375</v>
      </c>
      <c r="D34">
        <f>'Mar2018'!F9</f>
        <v>1844444.4132749999</v>
      </c>
      <c r="E34">
        <f>'Mar2018'!G9</f>
        <v>5596428.9074090002</v>
      </c>
      <c r="F34">
        <f>'Mar2018'!H9</f>
        <v>421.85439000000002</v>
      </c>
      <c r="G34">
        <f>SQRT(((D34-D35)^2)+((E34-E35)^2))</f>
        <v>1026.9970330306962</v>
      </c>
      <c r="I34">
        <f t="shared" ref="I34:I42" si="11">F34-F35</f>
        <v>111.047551</v>
      </c>
      <c r="J34">
        <f t="shared" ref="J34:J42" si="12">SQRT((G34^2)+(I34^2))</f>
        <v>1032.9832837161259</v>
      </c>
      <c r="K34">
        <f t="shared" ref="K34:K44" si="13">(J34/(B34-B35))*365</f>
        <v>2257.7179554274608</v>
      </c>
      <c r="L34">
        <f t="shared" si="10"/>
        <v>3845.0008465919882</v>
      </c>
      <c r="N34" s="21" t="s">
        <v>516</v>
      </c>
    </row>
    <row r="35" spans="1:16" x14ac:dyDescent="0.3">
      <c r="A35" s="3" t="s">
        <v>374</v>
      </c>
      <c r="B35" s="1">
        <v>43019</v>
      </c>
      <c r="C35" s="3" t="s">
        <v>374</v>
      </c>
      <c r="D35">
        <f>'Oct2017'!F36</f>
        <v>1844372.6883469999</v>
      </c>
      <c r="E35">
        <f>'Oct2017'!G36</f>
        <v>5595404.4180530002</v>
      </c>
      <c r="F35">
        <f>'Oct2017'!H36</f>
        <v>310.80683900000002</v>
      </c>
      <c r="G35">
        <f t="shared" ref="G35:G42" si="14">SQRT(((D35-D36)^2)+((E35-E36)^2))</f>
        <v>188.72735207460659</v>
      </c>
      <c r="I35">
        <f t="shared" si="11"/>
        <v>-0.57275599999996984</v>
      </c>
      <c r="J35">
        <f t="shared" si="12"/>
        <v>188.72822118201626</v>
      </c>
      <c r="K35">
        <f t="shared" si="13"/>
        <v>662.36346857149942</v>
      </c>
      <c r="L35">
        <f t="shared" si="10"/>
        <v>2812.0175628758625</v>
      </c>
      <c r="N35" s="21" t="s">
        <v>518</v>
      </c>
    </row>
    <row r="36" spans="1:16" x14ac:dyDescent="0.3">
      <c r="A36" s="3" t="s">
        <v>376</v>
      </c>
      <c r="B36" s="1">
        <v>42915</v>
      </c>
      <c r="C36" s="3" t="s">
        <v>376</v>
      </c>
      <c r="D36">
        <v>1844485.6493859999</v>
      </c>
      <c r="E36">
        <v>5595555.6060720002</v>
      </c>
      <c r="F36">
        <v>311.37959499999999</v>
      </c>
      <c r="G36">
        <f t="shared" si="14"/>
        <v>3.1479844092867895</v>
      </c>
      <c r="I36">
        <f t="shared" si="11"/>
        <v>-0.4713130000000092</v>
      </c>
      <c r="J36">
        <f t="shared" si="12"/>
        <v>3.1830711247287118</v>
      </c>
      <c r="K36">
        <f t="shared" si="13"/>
        <v>11.5031778269899</v>
      </c>
      <c r="L36">
        <f t="shared" si="10"/>
        <v>2623.2893416938464</v>
      </c>
      <c r="N36" s="21" t="s">
        <v>519</v>
      </c>
    </row>
    <row r="37" spans="1:16" x14ac:dyDescent="0.3">
      <c r="A37" s="3" t="s">
        <v>377</v>
      </c>
      <c r="B37" s="1">
        <v>42814</v>
      </c>
      <c r="C37" s="3" t="s">
        <v>377</v>
      </c>
      <c r="D37">
        <v>1844484.380591</v>
      </c>
      <c r="E37">
        <v>5595558.4870379996</v>
      </c>
      <c r="F37">
        <v>311.850908</v>
      </c>
      <c r="G37">
        <f t="shared" si="14"/>
        <v>0.7152810233200444</v>
      </c>
      <c r="I37">
        <f t="shared" si="11"/>
        <v>-4.8610000000053333E-3</v>
      </c>
      <c r="J37">
        <f t="shared" si="12"/>
        <v>0.71529754063799911</v>
      </c>
      <c r="K37">
        <f t="shared" si="13"/>
        <v>2.7196208576340593</v>
      </c>
      <c r="L37">
        <f t="shared" si="10"/>
        <v>2620.1062705691179</v>
      </c>
      <c r="N37" s="21" t="s">
        <v>520</v>
      </c>
    </row>
    <row r="38" spans="1:16" x14ac:dyDescent="0.3">
      <c r="A38" s="3" t="s">
        <v>378</v>
      </c>
      <c r="B38" s="1">
        <v>42718</v>
      </c>
      <c r="C38" s="3" t="s">
        <v>378</v>
      </c>
      <c r="D38">
        <v>1844484.1270560001</v>
      </c>
      <c r="E38">
        <v>5595559.155878</v>
      </c>
      <c r="F38">
        <v>311.85576900000001</v>
      </c>
      <c r="G38">
        <f t="shared" si="14"/>
        <v>547.50853001523546</v>
      </c>
      <c r="I38">
        <f t="shared" si="11"/>
        <v>-84.045149000000038</v>
      </c>
      <c r="J38">
        <f t="shared" si="12"/>
        <v>553.92163480936199</v>
      </c>
      <c r="K38">
        <f t="shared" si="13"/>
        <v>3888.1037827964833</v>
      </c>
      <c r="L38">
        <f t="shared" si="10"/>
        <v>2619.3909730284799</v>
      </c>
      <c r="N38" s="21" t="s">
        <v>518</v>
      </c>
    </row>
    <row r="39" spans="1:16" x14ac:dyDescent="0.3">
      <c r="A39" s="3" t="s">
        <v>379</v>
      </c>
      <c r="B39" s="1">
        <v>42666</v>
      </c>
      <c r="C39" s="3" t="s">
        <v>379</v>
      </c>
      <c r="D39">
        <f>'Oct2016'!F51</f>
        <v>1844191.1910079999</v>
      </c>
      <c r="E39">
        <f>'Oct2016'!G51</f>
        <v>5596021.707564</v>
      </c>
      <c r="F39">
        <f>'Oct2016'!H51</f>
        <v>395.90091800000005</v>
      </c>
      <c r="G39">
        <f t="shared" si="14"/>
        <v>469.0347162075488</v>
      </c>
      <c r="I39">
        <f t="shared" si="11"/>
        <v>-38.788240999999971</v>
      </c>
      <c r="J39">
        <f t="shared" si="12"/>
        <v>470.63583867760212</v>
      </c>
      <c r="K39">
        <f t="shared" si="13"/>
        <v>1651.7507799742766</v>
      </c>
      <c r="L39">
        <f t="shared" si="10"/>
        <v>2065.4693382191181</v>
      </c>
      <c r="N39" s="21" t="s">
        <v>520</v>
      </c>
    </row>
    <row r="40" spans="1:16" x14ac:dyDescent="0.3">
      <c r="A40" s="3" t="s">
        <v>380</v>
      </c>
      <c r="B40" s="1">
        <v>42562</v>
      </c>
      <c r="C40" s="3" t="s">
        <v>380</v>
      </c>
      <c r="D40">
        <f>July2016!F8</f>
        <v>1844275.8293679999</v>
      </c>
      <c r="E40">
        <f>July2016!G8</f>
        <v>5596483.0424889997</v>
      </c>
      <c r="F40">
        <f>July2016!H8</f>
        <v>434.68915900000002</v>
      </c>
      <c r="G40">
        <f t="shared" si="14"/>
        <v>130.81917492198556</v>
      </c>
      <c r="I40">
        <f t="shared" si="11"/>
        <v>4.2050722500000006</v>
      </c>
      <c r="J40">
        <f t="shared" si="12"/>
        <v>130.88674172694795</v>
      </c>
      <c r="K40">
        <f t="shared" si="13"/>
        <v>411.84190284772416</v>
      </c>
      <c r="L40">
        <f t="shared" si="10"/>
        <v>1594.8334995415159</v>
      </c>
      <c r="N40" s="21" t="s">
        <v>521</v>
      </c>
    </row>
    <row r="41" spans="1:16" x14ac:dyDescent="0.3">
      <c r="A41" s="3" t="s">
        <v>381</v>
      </c>
      <c r="B41" s="1">
        <v>42446</v>
      </c>
      <c r="C41" s="3" t="s">
        <v>381</v>
      </c>
      <c r="D41">
        <f>'Mar2016'!F36</f>
        <v>1844327.1863930002</v>
      </c>
      <c r="E41">
        <f>'Mar2016'!G36</f>
        <v>5596603.3592065014</v>
      </c>
      <c r="F41">
        <f>'Mar2016'!H36</f>
        <v>430.48408675000002</v>
      </c>
      <c r="G41">
        <f t="shared" si="14"/>
        <v>545.08213380867153</v>
      </c>
      <c r="I41">
        <f t="shared" si="11"/>
        <v>27.427514499999972</v>
      </c>
      <c r="J41">
        <f t="shared" si="12"/>
        <v>545.77174821445476</v>
      </c>
      <c r="K41">
        <f t="shared" si="13"/>
        <v>1972.343446517584</v>
      </c>
      <c r="L41">
        <f t="shared" si="10"/>
        <v>1463.9467578145679</v>
      </c>
      <c r="N41" s="21" t="s">
        <v>522</v>
      </c>
    </row>
    <row r="42" spans="1:16" x14ac:dyDescent="0.3">
      <c r="A42" s="3" t="s">
        <v>382</v>
      </c>
      <c r="B42" s="1">
        <v>42345</v>
      </c>
      <c r="C42" s="3" t="s">
        <v>382</v>
      </c>
      <c r="D42">
        <f>'Dec2015'!F13</f>
        <v>1844684.9246960001</v>
      </c>
      <c r="E42">
        <f>'Dec2015'!G13</f>
        <v>5596192.0954964999</v>
      </c>
      <c r="F42">
        <f>'Dec2015'!H13</f>
        <v>403.05657225000004</v>
      </c>
      <c r="G42">
        <f t="shared" si="14"/>
        <v>840.97308981971503</v>
      </c>
      <c r="I42">
        <f t="shared" si="11"/>
        <v>90.44702650000005</v>
      </c>
      <c r="J42">
        <f t="shared" si="12"/>
        <v>845.82291432876787</v>
      </c>
      <c r="K42">
        <f t="shared" si="13"/>
        <v>4540.0788783823564</v>
      </c>
      <c r="L42">
        <f t="shared" si="10"/>
        <v>918.17500960011319</v>
      </c>
      <c r="N42" s="21" t="s">
        <v>523</v>
      </c>
    </row>
    <row r="43" spans="1:16" x14ac:dyDescent="0.3">
      <c r="A43" s="3" t="s">
        <v>383</v>
      </c>
      <c r="B43" s="1">
        <v>42277</v>
      </c>
      <c r="C43" s="3" t="s">
        <v>383</v>
      </c>
      <c r="D43">
        <f>Sept2015!F80</f>
        <v>1844405.8968300002</v>
      </c>
      <c r="E43">
        <f>Sept2015!G80</f>
        <v>5595398.7612744998</v>
      </c>
      <c r="F43">
        <f>Sept2015!H80</f>
        <v>312.60954575</v>
      </c>
      <c r="G43">
        <f>SQRT(((D43-D44)^2)+((E43-E44)^2))</f>
        <v>72.041301273323938</v>
      </c>
      <c r="I43">
        <f>F43-F44</f>
        <v>6.6989999999999554</v>
      </c>
      <c r="J43">
        <f>SQRT((G43^2)+(I43^2))</f>
        <v>72.352095271345277</v>
      </c>
      <c r="K43">
        <f t="shared" si="13"/>
        <v>296.72488510158456</v>
      </c>
      <c r="L43">
        <f>J44+J43</f>
        <v>72.352095271345277</v>
      </c>
      <c r="N43" s="21" t="s">
        <v>524</v>
      </c>
      <c r="P43" t="s">
        <v>446</v>
      </c>
    </row>
    <row r="44" spans="1:16" x14ac:dyDescent="0.3">
      <c r="A44" s="3" t="s">
        <v>384</v>
      </c>
      <c r="B44" s="1">
        <v>42188</v>
      </c>
      <c r="C44" s="3" t="s">
        <v>384</v>
      </c>
      <c r="D44">
        <f>July2015!F27</f>
        <v>1844424.1138300002</v>
      </c>
      <c r="E44">
        <f>July2015!G27</f>
        <v>5595468.4612745009</v>
      </c>
      <c r="F44">
        <f>July2015!H27</f>
        <v>305.91054575000004</v>
      </c>
      <c r="G44">
        <v>0</v>
      </c>
      <c r="I44">
        <v>0</v>
      </c>
      <c r="J44">
        <v>0</v>
      </c>
      <c r="K44">
        <f t="shared" si="13"/>
        <v>0</v>
      </c>
      <c r="L44">
        <f>J44</f>
        <v>0</v>
      </c>
      <c r="P44" s="9">
        <f>(SQRT(((D44-D33)^2)+((E44-E33)^2)))/(F44-F33)</f>
        <v>-8.9495213984115392</v>
      </c>
    </row>
    <row r="60" spans="2:12" x14ac:dyDescent="0.3">
      <c r="B60" s="5" t="s">
        <v>432</v>
      </c>
      <c r="G60" t="s">
        <v>427</v>
      </c>
      <c r="I60" t="s">
        <v>428</v>
      </c>
      <c r="J60" t="s">
        <v>429</v>
      </c>
      <c r="K60" t="s">
        <v>438</v>
      </c>
      <c r="L60" t="s">
        <v>430</v>
      </c>
    </row>
    <row r="61" spans="2:12" x14ac:dyDescent="0.3">
      <c r="B61" s="15">
        <f>'Dec2019-Feb2020'!Q24</f>
        <v>43881</v>
      </c>
      <c r="D61">
        <f>'Dec2019-Feb2020'!F24</f>
        <v>1844642.5206200001</v>
      </c>
      <c r="E61">
        <f>'Dec2019-Feb2020'!G24</f>
        <v>5595684.7471629996</v>
      </c>
      <c r="F61">
        <f>'Dec2019-Feb2020'!H24</f>
        <v>357.65443900000002</v>
      </c>
      <c r="G61">
        <f>SQRT(((D61-D62)^2)+((E61-E62)^2))</f>
        <v>1.713702776907654</v>
      </c>
      <c r="I61">
        <f t="shared" ref="I61" si="15">F61-F62</f>
        <v>-0.6992689999999584</v>
      </c>
      <c r="J61">
        <f t="shared" ref="J61" si="16">SQRT((G61^2)+(I61^2))</f>
        <v>1.8508793428913584</v>
      </c>
      <c r="K61">
        <f>(J61/(B61-B62))*365</f>
        <v>1.3538496195497911</v>
      </c>
      <c r="L61">
        <f>L62+J61</f>
        <v>7487.3477593970629</v>
      </c>
    </row>
    <row r="62" spans="2:12" x14ac:dyDescent="0.3">
      <c r="B62" s="1">
        <v>43382</v>
      </c>
      <c r="C62" s="3" t="s">
        <v>373</v>
      </c>
      <c r="D62">
        <f>'Oct2018'!F24</f>
        <v>1844643.5233690001</v>
      </c>
      <c r="E62">
        <f>'Oct2018'!G24</f>
        <v>5595686.1368650002</v>
      </c>
      <c r="F62">
        <f>'Oct2018'!H24</f>
        <v>358.35370799999998</v>
      </c>
      <c r="G62">
        <f>SQRT(((D62-D63)^2)+((E62-E63)^2))</f>
        <v>268.528250551334</v>
      </c>
      <c r="I62">
        <f t="shared" ref="I62:I70" si="17">F62-F63</f>
        <v>-33.810703000000046</v>
      </c>
      <c r="J62">
        <f t="shared" ref="J62:J70" si="18">SQRT((G62^2)+(I62^2))</f>
        <v>270.64845276024437</v>
      </c>
      <c r="K62">
        <f>(J62/(B62-B63))*365</f>
        <v>504.01370029331224</v>
      </c>
      <c r="L62">
        <f>L63+J62</f>
        <v>7485.4968800541719</v>
      </c>
    </row>
    <row r="63" spans="2:12" x14ac:dyDescent="0.3">
      <c r="B63" s="1">
        <v>43186</v>
      </c>
      <c r="C63" s="3" t="s">
        <v>375</v>
      </c>
      <c r="D63">
        <f>'Mar2018'!F18</f>
        <v>1844675.942233</v>
      </c>
      <c r="E63">
        <f>'Mar2018'!G18</f>
        <v>5595952.7010009997</v>
      </c>
      <c r="F63">
        <f>'Mar2018'!H18</f>
        <v>392.16441100000003</v>
      </c>
      <c r="G63">
        <f>SQRT(((D63-D64)^2)+((E63-E64)^2))</f>
        <v>443.29718131403069</v>
      </c>
      <c r="I63">
        <f t="shared" si="17"/>
        <v>81.654934000000026</v>
      </c>
      <c r="J63">
        <f t="shared" si="18"/>
        <v>450.75483270566161</v>
      </c>
      <c r="K63">
        <f t="shared" ref="K63:K72" si="19">(J63/(B63-B64))*365</f>
        <v>985.18271818902087</v>
      </c>
      <c r="L63">
        <f t="shared" ref="L63:L71" si="20">L64+J63</f>
        <v>7214.8484272939277</v>
      </c>
    </row>
    <row r="64" spans="2:12" x14ac:dyDescent="0.3">
      <c r="B64" s="1">
        <v>43019</v>
      </c>
      <c r="C64" s="3" t="s">
        <v>374</v>
      </c>
      <c r="D64">
        <f>'Oct2017'!F26</f>
        <v>1844487.7558319999</v>
      </c>
      <c r="E64">
        <f>'Oct2017'!G26</f>
        <v>5595551.3305120002</v>
      </c>
      <c r="F64">
        <f>'Oct2017'!H26</f>
        <v>310.509477</v>
      </c>
      <c r="G64">
        <f t="shared" ref="G64:G70" si="21">SQRT(((D64-D65)^2)+((E64-E65)^2))</f>
        <v>344.21202773407242</v>
      </c>
      <c r="I64">
        <f t="shared" si="17"/>
        <v>-72.411459999999977</v>
      </c>
      <c r="J64">
        <f t="shared" si="18"/>
        <v>351.74612944015951</v>
      </c>
      <c r="K64">
        <f t="shared" si="19"/>
        <v>1234.4936273620981</v>
      </c>
      <c r="L64">
        <f t="shared" si="20"/>
        <v>6764.0935945882657</v>
      </c>
    </row>
    <row r="65" spans="2:15" x14ac:dyDescent="0.3">
      <c r="B65" s="1">
        <v>42915</v>
      </c>
      <c r="C65" s="3" t="s">
        <v>376</v>
      </c>
      <c r="D65">
        <f>June2017!F19</f>
        <v>1844385.6499030001</v>
      </c>
      <c r="E65">
        <f>June2017!G19</f>
        <v>5595880.0496920003</v>
      </c>
      <c r="F65">
        <f>June2017!H19</f>
        <v>382.92093699999998</v>
      </c>
      <c r="G65">
        <f t="shared" si="21"/>
        <v>674.10618079053609</v>
      </c>
      <c r="I65">
        <f t="shared" si="17"/>
        <v>-38.503021000000047</v>
      </c>
      <c r="J65">
        <f t="shared" si="18"/>
        <v>675.20487676417838</v>
      </c>
      <c r="K65">
        <f t="shared" si="19"/>
        <v>2440.0968318705459</v>
      </c>
      <c r="L65">
        <f t="shared" si="20"/>
        <v>6412.3474651481065</v>
      </c>
    </row>
    <row r="66" spans="2:15" x14ac:dyDescent="0.3">
      <c r="B66" s="1">
        <v>42814</v>
      </c>
      <c r="C66" s="3" t="s">
        <v>377</v>
      </c>
      <c r="D66">
        <f>'Mar2017'!F11</f>
        <v>1844789.217645</v>
      </c>
      <c r="E66">
        <f>'Mar2017'!G11</f>
        <v>5596420.0054500001</v>
      </c>
      <c r="F66">
        <f>'Mar2017'!H11</f>
        <v>421.42395800000003</v>
      </c>
      <c r="G66">
        <f t="shared" si="21"/>
        <v>1023.8912251182624</v>
      </c>
      <c r="I66">
        <f t="shared" si="17"/>
        <v>117.05607000000003</v>
      </c>
      <c r="J66">
        <f t="shared" si="18"/>
        <v>1030.5607038879471</v>
      </c>
      <c r="K66">
        <f t="shared" si="19"/>
        <v>3918.277676240632</v>
      </c>
      <c r="L66">
        <f t="shared" si="20"/>
        <v>5737.1425883839283</v>
      </c>
    </row>
    <row r="67" spans="2:15" x14ac:dyDescent="0.3">
      <c r="B67" s="1">
        <v>42718</v>
      </c>
      <c r="C67" s="3" t="s">
        <v>378</v>
      </c>
      <c r="D67">
        <f>'Dec2016'!F27</f>
        <v>1844441.40915</v>
      </c>
      <c r="E67">
        <f>'Dec2016'!G27</f>
        <v>5595456.9984449996</v>
      </c>
      <c r="F67">
        <f>'Dec2016'!H27</f>
        <v>304.36788799999999</v>
      </c>
      <c r="G67">
        <f>SQRT(((D67-D68)^2)+((E67-E68)^2))</f>
        <v>1197.8092663427387</v>
      </c>
      <c r="I67">
        <f>F67-F68</f>
        <v>-134.12393600000001</v>
      </c>
      <c r="J67">
        <f>SQRT((G67^2)+(I67^2))</f>
        <v>1205.2950961257006</v>
      </c>
      <c r="K67">
        <f t="shared" si="19"/>
        <v>2820.081474909492</v>
      </c>
      <c r="L67">
        <f t="shared" si="20"/>
        <v>4706.5818844959813</v>
      </c>
    </row>
    <row r="68" spans="2:15" x14ac:dyDescent="0.3">
      <c r="B68" s="1">
        <v>42562</v>
      </c>
      <c r="C68" s="3" t="s">
        <v>380</v>
      </c>
      <c r="D68">
        <f>July2016!F74</f>
        <v>1844726.1212200001</v>
      </c>
      <c r="E68">
        <f>July2016!G74</f>
        <v>5596620.4786019996</v>
      </c>
      <c r="F68">
        <f>July2016!H74</f>
        <v>438.49182400000001</v>
      </c>
      <c r="G68">
        <f t="shared" si="21"/>
        <v>1282.2117755591632</v>
      </c>
      <c r="I68">
        <f t="shared" si="17"/>
        <v>127.73727824999997</v>
      </c>
      <c r="J68">
        <f t="shared" si="18"/>
        <v>1288.5588266110708</v>
      </c>
      <c r="K68">
        <f t="shared" si="19"/>
        <v>4054.5169975262138</v>
      </c>
      <c r="L68">
        <f t="shared" si="20"/>
        <v>3501.2867883702802</v>
      </c>
    </row>
    <row r="69" spans="2:15" x14ac:dyDescent="0.3">
      <c r="B69" s="1">
        <v>42446</v>
      </c>
      <c r="C69" s="3" t="s">
        <v>381</v>
      </c>
      <c r="D69">
        <f>'Mar2016'!F28</f>
        <v>1844378.8008300001</v>
      </c>
      <c r="E69">
        <f>'Mar2016'!G28</f>
        <v>5595386.2032745006</v>
      </c>
      <c r="F69">
        <f>'Mar2016'!H28</f>
        <v>310.75454575000003</v>
      </c>
      <c r="G69">
        <f t="shared" si="21"/>
        <v>461.94611837028771</v>
      </c>
      <c r="I69">
        <f t="shared" si="17"/>
        <v>-58.534026499999982</v>
      </c>
      <c r="J69">
        <f t="shared" si="18"/>
        <v>465.63982705056338</v>
      </c>
      <c r="K69">
        <f t="shared" si="19"/>
        <v>1682.7577908262933</v>
      </c>
      <c r="L69">
        <f t="shared" si="20"/>
        <v>2212.7279617592094</v>
      </c>
    </row>
    <row r="70" spans="2:15" x14ac:dyDescent="0.3">
      <c r="B70" s="1">
        <v>42345</v>
      </c>
      <c r="C70" s="3" t="s">
        <v>382</v>
      </c>
      <c r="D70">
        <f>'Dec2015'!F22</f>
        <v>1844523.3976960001</v>
      </c>
      <c r="E70">
        <f>'Dec2015'!G22</f>
        <v>5595824.9354964998</v>
      </c>
      <c r="F70">
        <f>'Dec2015'!H22</f>
        <v>369.28857225000002</v>
      </c>
      <c r="G70">
        <f t="shared" si="21"/>
        <v>873.24115586838536</v>
      </c>
      <c r="I70">
        <f t="shared" si="17"/>
        <v>-63.303973499999984</v>
      </c>
      <c r="J70">
        <f t="shared" si="18"/>
        <v>875.53270033919489</v>
      </c>
      <c r="K70">
        <f t="shared" si="19"/>
        <v>4699.5505238795022</v>
      </c>
      <c r="L70">
        <f t="shared" si="20"/>
        <v>1747.0881347086461</v>
      </c>
    </row>
    <row r="71" spans="2:15" x14ac:dyDescent="0.3">
      <c r="B71" s="1">
        <v>42277</v>
      </c>
      <c r="C71" s="3" t="s">
        <v>383</v>
      </c>
      <c r="D71">
        <f>Sept2015!F4</f>
        <v>1844287.3108300001</v>
      </c>
      <c r="E71">
        <f>Sept2015!G4</f>
        <v>5596665.6572745005</v>
      </c>
      <c r="F71">
        <f>Sept2015!H4</f>
        <v>432.59254575</v>
      </c>
      <c r="G71">
        <f>SQRT(((D71-D72)^2)+((E71-E72)^2))</f>
        <v>868.50589010894021</v>
      </c>
      <c r="I71">
        <f>F71-F72</f>
        <v>72.84499999999997</v>
      </c>
      <c r="J71">
        <f>SQRT((G71^2)+(I71^2))</f>
        <v>871.55543436945106</v>
      </c>
      <c r="K71">
        <f>(J71/(B71-B72))*365</f>
        <v>3574.3565566837042</v>
      </c>
      <c r="L71">
        <f t="shared" si="20"/>
        <v>871.55543436945106</v>
      </c>
    </row>
    <row r="72" spans="2:15" x14ac:dyDescent="0.3">
      <c r="B72" s="1">
        <v>42188</v>
      </c>
      <c r="C72" s="3" t="s">
        <v>384</v>
      </c>
      <c r="D72">
        <f>July2015!F21</f>
        <v>1844350.1858300001</v>
      </c>
      <c r="E72">
        <f>July2015!G21</f>
        <v>5595799.4302745005</v>
      </c>
      <c r="F72">
        <f>July2015!H21</f>
        <v>359.74754575000003</v>
      </c>
      <c r="G72">
        <v>0</v>
      </c>
      <c r="I72">
        <v>0</v>
      </c>
      <c r="J72">
        <v>0</v>
      </c>
      <c r="K72">
        <f t="shared" si="19"/>
        <v>0</v>
      </c>
      <c r="L72">
        <f>J72</f>
        <v>0</v>
      </c>
      <c r="O72" t="s">
        <v>433</v>
      </c>
    </row>
    <row r="74" spans="2:15" x14ac:dyDescent="0.3">
      <c r="N74" t="s">
        <v>446</v>
      </c>
    </row>
    <row r="75" spans="2:15" x14ac:dyDescent="0.3">
      <c r="N75" s="9">
        <f>(SQRT(((D72-D62)^2)+((E72-E62)^2)))/(F72-F62)</f>
        <v>225.60414556207616</v>
      </c>
    </row>
    <row r="89" spans="2:12" x14ac:dyDescent="0.3">
      <c r="B89" s="5" t="s">
        <v>434</v>
      </c>
      <c r="G89" t="s">
        <v>427</v>
      </c>
      <c r="I89" t="s">
        <v>428</v>
      </c>
      <c r="J89" t="s">
        <v>429</v>
      </c>
      <c r="K89" t="s">
        <v>438</v>
      </c>
      <c r="L89" t="s">
        <v>430</v>
      </c>
    </row>
    <row r="90" spans="2:12" x14ac:dyDescent="0.3">
      <c r="B90" s="15">
        <f>'Dec2019-Feb2020'!Q19</f>
        <v>43881</v>
      </c>
      <c r="D90">
        <f>'Dec2019-Feb2020'!F19</f>
        <v>1844387.379923</v>
      </c>
      <c r="E90">
        <f>'Dec2019-Feb2020'!G19</f>
        <v>5595873.4393229997</v>
      </c>
      <c r="F90">
        <f>'Dec2019-Feb2020'!H19</f>
        <v>381.389906</v>
      </c>
      <c r="G90">
        <f>SQRT(((D90-D91)^2)+((E90-E91)^2))</f>
        <v>347.15634195854642</v>
      </c>
      <c r="I90">
        <f t="shared" ref="I90" si="22">F90-F91</f>
        <v>72.26187699999997</v>
      </c>
      <c r="J90">
        <f t="shared" ref="J90" si="23">SQRT((G90^2)+(I90^2))</f>
        <v>354.59738384483654</v>
      </c>
      <c r="K90">
        <f>(J90/(B90-B91))*365</f>
        <v>259.37483988650371</v>
      </c>
      <c r="L90">
        <f t="shared" ref="L90" si="24">L91+J90</f>
        <v>5050.869016797692</v>
      </c>
    </row>
    <row r="91" spans="2:12" x14ac:dyDescent="0.3">
      <c r="B91" s="1">
        <v>43382</v>
      </c>
      <c r="C91" s="3" t="s">
        <v>373</v>
      </c>
      <c r="D91">
        <f>'Oct2018'!F26</f>
        <v>1844492.341974</v>
      </c>
      <c r="E91">
        <f>'Oct2018'!G26</f>
        <v>5595542.530735</v>
      </c>
      <c r="F91">
        <f>'Oct2018'!H26</f>
        <v>309.12802900000003</v>
      </c>
      <c r="G91">
        <f>SQRT(((D91-D92)^2)+((E91-E92)^2))</f>
        <v>275.3346082572557</v>
      </c>
      <c r="I91">
        <f t="shared" ref="I91:I100" si="25">F91-F92</f>
        <v>-58.815348999999969</v>
      </c>
      <c r="J91">
        <f t="shared" ref="J91:J100" si="26">SQRT((G91^2)+(I91^2))</f>
        <v>281.54642917673146</v>
      </c>
      <c r="K91">
        <f>(J91/(B91-B92))*365</f>
        <v>524.30840127299484</v>
      </c>
      <c r="L91">
        <f t="shared" ref="L91:L100" si="27">L92+J91</f>
        <v>4696.2716329528557</v>
      </c>
    </row>
    <row r="92" spans="2:12" x14ac:dyDescent="0.3">
      <c r="B92" s="1">
        <v>43186</v>
      </c>
      <c r="C92" s="3" t="s">
        <v>375</v>
      </c>
      <c r="D92">
        <f>'Mar2018'!F22</f>
        <v>1844523.0460079999</v>
      </c>
      <c r="E92">
        <f>'Mar2018'!G22</f>
        <v>5595816.1480019996</v>
      </c>
      <c r="F92">
        <f>'Mar2018'!H22</f>
        <v>367.943378</v>
      </c>
      <c r="G92">
        <f>SQRT(((D92-D93)^2)+((E92-E93)^2))</f>
        <v>453.51099458471776</v>
      </c>
      <c r="I92">
        <f t="shared" si="25"/>
        <v>57.185549999999978</v>
      </c>
      <c r="J92">
        <f t="shared" si="26"/>
        <v>457.10218697575971</v>
      </c>
      <c r="K92">
        <f t="shared" ref="K92:K102" si="28">(J92/(B92-B93))*365</f>
        <v>999.05567812067238</v>
      </c>
      <c r="L92">
        <f t="shared" si="27"/>
        <v>4414.7252037761245</v>
      </c>
    </row>
    <row r="93" spans="2:12" x14ac:dyDescent="0.3">
      <c r="B93" s="1">
        <v>43019</v>
      </c>
      <c r="C93" s="3" t="s">
        <v>374</v>
      </c>
      <c r="D93">
        <f>'Oct2017'!F37</f>
        <v>1844378.813019</v>
      </c>
      <c r="E93">
        <f>'Oct2017'!G37</f>
        <v>5595386.1839720001</v>
      </c>
      <c r="F93">
        <f>'Oct2017'!H37</f>
        <v>310.75782800000002</v>
      </c>
      <c r="G93">
        <f t="shared" ref="G93:G100" si="29">SQRT(((D93-D94)^2)+((E93-E94)^2))</f>
        <v>843.85382346292874</v>
      </c>
      <c r="I93">
        <f t="shared" si="25"/>
        <v>-95.165584999999965</v>
      </c>
      <c r="J93">
        <f t="shared" si="26"/>
        <v>849.20301691727161</v>
      </c>
      <c r="K93">
        <f t="shared" si="28"/>
        <v>2980.3759728346549</v>
      </c>
      <c r="L93">
        <f t="shared" si="27"/>
        <v>3957.6230168003649</v>
      </c>
    </row>
    <row r="94" spans="2:12" x14ac:dyDescent="0.3">
      <c r="B94" s="1">
        <v>42915</v>
      </c>
      <c r="C94" s="3" t="s">
        <v>376</v>
      </c>
      <c r="D94">
        <f>June2017!F15</f>
        <v>1844340.2663519999</v>
      </c>
      <c r="E94">
        <f>June2017!G15</f>
        <v>5596229.1569429999</v>
      </c>
      <c r="F94">
        <f>June2017!H15</f>
        <v>405.92341299999998</v>
      </c>
      <c r="G94">
        <f t="shared" si="29"/>
        <v>273.3656438607216</v>
      </c>
      <c r="I94">
        <f t="shared" si="25"/>
        <v>-8.731866000000025</v>
      </c>
      <c r="J94">
        <f t="shared" si="26"/>
        <v>273.5050652679559</v>
      </c>
      <c r="K94">
        <f t="shared" si="28"/>
        <v>988.40939428518709</v>
      </c>
      <c r="L94">
        <f t="shared" si="27"/>
        <v>3108.4199998830932</v>
      </c>
    </row>
    <row r="95" spans="2:12" x14ac:dyDescent="0.3">
      <c r="B95" s="1">
        <v>42814</v>
      </c>
      <c r="C95" s="3" t="s">
        <v>377</v>
      </c>
      <c r="D95">
        <f>'Mar2017'!F10</f>
        <v>1844577.6760450001</v>
      </c>
      <c r="E95">
        <f>'Mar2017'!G10</f>
        <v>5596364.6759930002</v>
      </c>
      <c r="F95">
        <f>'Mar2017'!H10</f>
        <v>414.65527900000001</v>
      </c>
      <c r="G95">
        <f t="shared" si="29"/>
        <v>356.66494824846023</v>
      </c>
      <c r="I95">
        <f t="shared" si="25"/>
        <v>-24.311799000000008</v>
      </c>
      <c r="J95">
        <f t="shared" si="26"/>
        <v>357.4925857688425</v>
      </c>
      <c r="K95">
        <f t="shared" si="28"/>
        <v>1359.2166021419532</v>
      </c>
      <c r="L95">
        <f t="shared" si="27"/>
        <v>2834.9149346151371</v>
      </c>
    </row>
    <row r="96" spans="2:12" x14ac:dyDescent="0.3">
      <c r="B96" s="1">
        <v>42718</v>
      </c>
      <c r="C96" s="3" t="s">
        <v>378</v>
      </c>
      <c r="D96">
        <f>'Dec2016'!F6</f>
        <v>1844611.3049069999</v>
      </c>
      <c r="E96">
        <f>'Dec2016'!G6</f>
        <v>5596719.7520199995</v>
      </c>
      <c r="F96">
        <f>'Dec2016'!H6</f>
        <v>438.96707800000001</v>
      </c>
      <c r="G96">
        <f t="shared" si="29"/>
        <v>513.8561606183456</v>
      </c>
      <c r="I96">
        <f t="shared" si="25"/>
        <v>37.528041999999971</v>
      </c>
      <c r="J96">
        <f t="shared" si="26"/>
        <v>515.22471577145905</v>
      </c>
      <c r="K96">
        <f t="shared" si="28"/>
        <v>3616.4811780112032</v>
      </c>
      <c r="L96">
        <f t="shared" si="27"/>
        <v>2477.4223488462944</v>
      </c>
    </row>
    <row r="97" spans="2:14" x14ac:dyDescent="0.3">
      <c r="B97" s="1">
        <v>42666</v>
      </c>
      <c r="C97" s="3" t="s">
        <v>379</v>
      </c>
      <c r="D97">
        <f>'Oct2016'!F44</f>
        <v>1844768.1840029999</v>
      </c>
      <c r="E97">
        <f>'Oct2016'!G44</f>
        <v>5596230.428913</v>
      </c>
      <c r="F97">
        <f>'Oct2016'!H44</f>
        <v>401.43903600000004</v>
      </c>
      <c r="G97">
        <f t="shared" si="29"/>
        <v>919.28912810818224</v>
      </c>
      <c r="I97">
        <f t="shared" si="25"/>
        <v>89.30048400000004</v>
      </c>
      <c r="J97">
        <f t="shared" si="26"/>
        <v>923.61630426305067</v>
      </c>
      <c r="K97">
        <f t="shared" si="28"/>
        <v>3241.537990923207</v>
      </c>
      <c r="L97">
        <f t="shared" si="27"/>
        <v>1962.1976330748353</v>
      </c>
    </row>
    <row r="98" spans="2:14" x14ac:dyDescent="0.3">
      <c r="B98" s="1">
        <v>42562</v>
      </c>
      <c r="C98" s="3" t="s">
        <v>380</v>
      </c>
      <c r="D98">
        <f>July2016!F68</f>
        <v>1844378.9179779999</v>
      </c>
      <c r="E98">
        <f>July2016!G68</f>
        <v>5595397.6237359997</v>
      </c>
      <c r="F98">
        <f>July2016!H68</f>
        <v>312.138552</v>
      </c>
      <c r="G98">
        <f t="shared" si="29"/>
        <v>333.44433788505154</v>
      </c>
      <c r="I98">
        <f t="shared" si="25"/>
        <v>-22.559016750000012</v>
      </c>
      <c r="J98">
        <f t="shared" si="26"/>
        <v>334.2065763929956</v>
      </c>
      <c r="K98">
        <f t="shared" si="28"/>
        <v>1051.5982791676154</v>
      </c>
      <c r="L98">
        <f t="shared" si="27"/>
        <v>1038.5813288117847</v>
      </c>
    </row>
    <row r="99" spans="2:14" x14ac:dyDescent="0.3">
      <c r="B99" s="1">
        <v>42446</v>
      </c>
      <c r="C99" s="3" t="s">
        <v>381</v>
      </c>
      <c r="D99">
        <f>'Mar2016'!F25</f>
        <v>1844629.2263400001</v>
      </c>
      <c r="E99">
        <f>'Mar2016'!G25</f>
        <v>5595617.920922501</v>
      </c>
      <c r="F99">
        <f>'Mar2016'!H25</f>
        <v>334.69756875000002</v>
      </c>
      <c r="G99">
        <f t="shared" si="29"/>
        <v>73.74350425017667</v>
      </c>
      <c r="I99">
        <f t="shared" si="25"/>
        <v>-25.781003499999997</v>
      </c>
      <c r="J99">
        <f t="shared" si="26"/>
        <v>78.120193039718202</v>
      </c>
      <c r="K99">
        <f t="shared" si="28"/>
        <v>282.31554910393209</v>
      </c>
      <c r="L99">
        <f t="shared" si="27"/>
        <v>704.37475241878906</v>
      </c>
    </row>
    <row r="100" spans="2:14" x14ac:dyDescent="0.3">
      <c r="B100" s="1">
        <v>42345</v>
      </c>
      <c r="C100" s="3" t="s">
        <v>382</v>
      </c>
      <c r="D100">
        <f>'Dec2015'!F24</f>
        <v>1844646.4096959999</v>
      </c>
      <c r="E100">
        <f>'Dec2015'!G24</f>
        <v>5595689.6344964998</v>
      </c>
      <c r="F100">
        <f>'Dec2015'!H24</f>
        <v>360.47857225000001</v>
      </c>
      <c r="G100">
        <f t="shared" si="29"/>
        <v>325.55821284168678</v>
      </c>
      <c r="I100">
        <f t="shared" si="25"/>
        <v>-23.18197349999997</v>
      </c>
      <c r="J100">
        <f t="shared" si="26"/>
        <v>326.38252686690771</v>
      </c>
      <c r="K100">
        <f t="shared" si="28"/>
        <v>1751.906210388549</v>
      </c>
      <c r="L100">
        <f t="shared" si="27"/>
        <v>626.25455937907088</v>
      </c>
    </row>
    <row r="101" spans="2:14" x14ac:dyDescent="0.3">
      <c r="B101" s="1">
        <v>42277</v>
      </c>
      <c r="C101" s="3" t="s">
        <v>383</v>
      </c>
      <c r="D101">
        <f>Sept2015!F19</f>
        <v>1844384.8788300003</v>
      </c>
      <c r="E101">
        <f>Sept2015!G19</f>
        <v>5595883.5152745005</v>
      </c>
      <c r="F101">
        <f>Sept2015!H19</f>
        <v>383.66054574999998</v>
      </c>
      <c r="G101">
        <f>SQRT(((D101-D102)^2)+((E101-E102)^2))</f>
        <v>299.74670026870331</v>
      </c>
      <c r="I101">
        <f>F101-F102</f>
        <v>-8.6690000000000396</v>
      </c>
      <c r="J101">
        <f>SQRT((G101^2)+(I101^2))</f>
        <v>299.87203251216317</v>
      </c>
      <c r="K101">
        <f t="shared" si="28"/>
        <v>1229.8122681678603</v>
      </c>
      <c r="L101">
        <f>J102+J101</f>
        <v>299.87203251216317</v>
      </c>
      <c r="N101" t="s">
        <v>446</v>
      </c>
    </row>
    <row r="102" spans="2:14" x14ac:dyDescent="0.3">
      <c r="B102" s="1">
        <v>42188</v>
      </c>
      <c r="C102" s="3" t="s">
        <v>384</v>
      </c>
      <c r="D102">
        <f>July2015!F18</f>
        <v>1844676.1778300002</v>
      </c>
      <c r="E102">
        <f>July2015!G18</f>
        <v>5595954.1762745008</v>
      </c>
      <c r="F102">
        <f>July2015!H18</f>
        <v>392.32954575000002</v>
      </c>
      <c r="G102">
        <v>0</v>
      </c>
      <c r="I102">
        <v>0</v>
      </c>
      <c r="J102">
        <v>0</v>
      </c>
      <c r="K102">
        <f t="shared" si="28"/>
        <v>0</v>
      </c>
      <c r="L102">
        <f>J102</f>
        <v>0</v>
      </c>
      <c r="N102" s="9">
        <f>(SQRT(((D102-D91)^2)+((E102-E91)^2)))/(F102-F91)</f>
        <v>5.4185308035804365</v>
      </c>
    </row>
    <row r="119" spans="2:12" x14ac:dyDescent="0.3">
      <c r="B119" s="5" t="s">
        <v>435</v>
      </c>
      <c r="G119" t="s">
        <v>427</v>
      </c>
      <c r="I119" t="s">
        <v>428</v>
      </c>
      <c r="J119" t="s">
        <v>429</v>
      </c>
      <c r="K119" t="s">
        <v>438</v>
      </c>
      <c r="L119" t="s">
        <v>430</v>
      </c>
    </row>
    <row r="120" spans="2:12" x14ac:dyDescent="0.3">
      <c r="B120" s="15">
        <f>'Dec2019-Feb2020'!Q16</f>
        <v>43881</v>
      </c>
      <c r="D120">
        <f>'Dec2019-Feb2020'!F16</f>
        <v>1844395.194262</v>
      </c>
      <c r="E120">
        <f>'Dec2019-Feb2020'!G16</f>
        <v>5596015.1099380003</v>
      </c>
      <c r="F120">
        <f>'Dec2019-Feb2020'!H16</f>
        <v>389.428943</v>
      </c>
      <c r="G120">
        <f>SQRT(((D120-D121)^2)+((E120-E121)^2))</f>
        <v>174.43249917254295</v>
      </c>
      <c r="I120">
        <f t="shared" ref="I120" si="30">F120-F121</f>
        <v>-8.1264919999999847</v>
      </c>
      <c r="J120">
        <f t="shared" ref="J120" si="31">SQRT((G120^2)+(I120^2))</f>
        <v>174.62169578779512</v>
      </c>
      <c r="K120">
        <f>(J120/(B120-B121))*365</f>
        <v>127.72929651812669</v>
      </c>
      <c r="L120" t="e">
        <f t="shared" ref="L120" si="32">L121+J120</f>
        <v>#REF!</v>
      </c>
    </row>
    <row r="121" spans="2:12" x14ac:dyDescent="0.3">
      <c r="B121" s="1">
        <v>43382</v>
      </c>
      <c r="C121" s="3" t="s">
        <v>373</v>
      </c>
      <c r="D121">
        <f>'Oct2018'!F17</f>
        <v>1844569.6195090001</v>
      </c>
      <c r="E121">
        <f>'Oct2018'!G17</f>
        <v>5596016.7005279996</v>
      </c>
      <c r="F121">
        <f>'Oct2018'!H17</f>
        <v>397.55543499999999</v>
      </c>
      <c r="G121">
        <f>SQRT(((D121-D122)^2)+((E121-E122)^2))</f>
        <v>322.1166945479776</v>
      </c>
      <c r="I121">
        <f t="shared" ref="I121:I128" si="33">F121-F122</f>
        <v>21.720733999999993</v>
      </c>
      <c r="J121">
        <f t="shared" ref="J121:J128" si="34">SQRT((G121^2)+(I121^2))</f>
        <v>322.84819217708787</v>
      </c>
      <c r="K121">
        <f>(J121/(B121-B122))*365</f>
        <v>601.22239869712791</v>
      </c>
      <c r="L121" t="e">
        <f t="shared" ref="L121:L128" si="35">L122+J121</f>
        <v>#REF!</v>
      </c>
    </row>
    <row r="122" spans="2:12" x14ac:dyDescent="0.3">
      <c r="B122" s="1">
        <v>43186</v>
      </c>
      <c r="C122" s="3" t="s">
        <v>375</v>
      </c>
      <c r="D122">
        <f>'Mar2018'!F23</f>
        <v>1844707.7045750001</v>
      </c>
      <c r="E122">
        <f>'Mar2018'!G23</f>
        <v>5595725.6821790002</v>
      </c>
      <c r="F122">
        <f>'Mar2018'!H23</f>
        <v>375.834701</v>
      </c>
      <c r="G122">
        <f>SQRT(((D122-D123)^2)+((E122-E123)^2))</f>
        <v>322.94097092597809</v>
      </c>
      <c r="I122">
        <f t="shared" si="33"/>
        <v>-22.125250999999992</v>
      </c>
      <c r="J122">
        <f t="shared" si="34"/>
        <v>323.69800344522736</v>
      </c>
      <c r="K122">
        <f t="shared" ref="K122:K130" si="36">(J122/(B122-B123))*365</f>
        <v>707.48366022459879</v>
      </c>
      <c r="L122" t="e">
        <f t="shared" si="35"/>
        <v>#REF!</v>
      </c>
    </row>
    <row r="123" spans="2:12" x14ac:dyDescent="0.3">
      <c r="B123" s="1">
        <v>43019</v>
      </c>
      <c r="C123" s="3" t="s">
        <v>374</v>
      </c>
      <c r="D123">
        <f>'Oct2017'!F17</f>
        <v>1844569.7649920001</v>
      </c>
      <c r="E123">
        <f>'Oct2017'!G17</f>
        <v>5596017.6813949998</v>
      </c>
      <c r="F123">
        <f>'Oct2017'!H17</f>
        <v>397.95995199999999</v>
      </c>
      <c r="G123">
        <f t="shared" ref="G123:G128" si="37">SQRT(((D123-D124)^2)+((E123-E124)^2))</f>
        <v>338.05507460152768</v>
      </c>
      <c r="I123">
        <f t="shared" si="33"/>
        <v>38.427755999999988</v>
      </c>
      <c r="J123">
        <f t="shared" si="34"/>
        <v>340.2321646979309</v>
      </c>
      <c r="K123">
        <f t="shared" si="36"/>
        <v>1194.0840395648536</v>
      </c>
      <c r="L123" t="e">
        <f t="shared" si="35"/>
        <v>#REF!</v>
      </c>
    </row>
    <row r="124" spans="2:12" x14ac:dyDescent="0.3">
      <c r="B124" s="1">
        <v>42915</v>
      </c>
      <c r="C124" s="3" t="s">
        <v>376</v>
      </c>
      <c r="D124">
        <f>June2017!F24</f>
        <v>1844645.048919</v>
      </c>
      <c r="E124">
        <f>June2017!G24</f>
        <v>5595688.1156749995</v>
      </c>
      <c r="F124">
        <f>June2017!H24</f>
        <v>359.532196</v>
      </c>
      <c r="G124">
        <f t="shared" si="37"/>
        <v>525.95614847875186</v>
      </c>
      <c r="I124">
        <f t="shared" si="33"/>
        <v>-41.524612999999988</v>
      </c>
      <c r="J124">
        <f t="shared" si="34"/>
        <v>527.59280094349526</v>
      </c>
      <c r="K124">
        <f t="shared" si="36"/>
        <v>1906.6472509344137</v>
      </c>
      <c r="L124" t="e">
        <f t="shared" si="35"/>
        <v>#REF!</v>
      </c>
    </row>
    <row r="125" spans="2:12" x14ac:dyDescent="0.3">
      <c r="B125" s="1">
        <v>42814</v>
      </c>
      <c r="C125" s="3" t="s">
        <v>377</v>
      </c>
      <c r="D125">
        <f>'Mar2017'!F14</f>
        <v>1844488.537301</v>
      </c>
      <c r="E125">
        <f>'Mar2017'!G14</f>
        <v>5596190.2451240001</v>
      </c>
      <c r="F125">
        <f>'Mar2017'!H14</f>
        <v>401.05680899999999</v>
      </c>
      <c r="G125">
        <f>SQRT(((D125-D126)^2)+((E125-E126)^2))</f>
        <v>360.90588261942463</v>
      </c>
      <c r="I125">
        <f>F125-F126</f>
        <v>-22.358776000000034</v>
      </c>
      <c r="J125">
        <f>SQRT((G125^2)+(I125^2))</f>
        <v>361.5978027775115</v>
      </c>
      <c r="K125">
        <f t="shared" si="36"/>
        <v>891.77836495805207</v>
      </c>
      <c r="L125" t="e">
        <f t="shared" si="35"/>
        <v>#REF!</v>
      </c>
    </row>
    <row r="126" spans="2:12" x14ac:dyDescent="0.3">
      <c r="B126" s="1">
        <v>42666</v>
      </c>
      <c r="C126" s="3" t="s">
        <v>379</v>
      </c>
      <c r="D126">
        <f>'Oct2016'!F46</f>
        <v>1844195.5586059999</v>
      </c>
      <c r="E126">
        <f>'Oct2016'!G46</f>
        <v>5596400.9974440001</v>
      </c>
      <c r="F126">
        <f>'Oct2016'!H46</f>
        <v>423.41558500000002</v>
      </c>
      <c r="G126">
        <f t="shared" si="37"/>
        <v>113.09306482153454</v>
      </c>
      <c r="I126">
        <f t="shared" si="33"/>
        <v>-10.173042000000009</v>
      </c>
      <c r="J126">
        <f t="shared" si="34"/>
        <v>113.54968997871185</v>
      </c>
      <c r="K126">
        <f t="shared" si="36"/>
        <v>398.51573886759445</v>
      </c>
      <c r="L126" t="e">
        <f t="shared" si="35"/>
        <v>#REF!</v>
      </c>
    </row>
    <row r="127" spans="2:12" x14ac:dyDescent="0.3">
      <c r="B127" s="1">
        <v>42562</v>
      </c>
      <c r="C127" s="3" t="s">
        <v>380</v>
      </c>
      <c r="D127">
        <f>July2016!F79</f>
        <v>1844288.9238829999</v>
      </c>
      <c r="E127">
        <f>July2016!G79</f>
        <v>5596464.8172399998</v>
      </c>
      <c r="F127">
        <f>July2016!H79</f>
        <v>433.58862700000003</v>
      </c>
      <c r="G127">
        <f t="shared" si="37"/>
        <v>159.5596662530827</v>
      </c>
      <c r="I127">
        <f t="shared" si="33"/>
        <v>11.695964250000031</v>
      </c>
      <c r="J127">
        <f t="shared" si="34"/>
        <v>159.98775788957235</v>
      </c>
      <c r="K127">
        <f t="shared" si="36"/>
        <v>503.40975542839573</v>
      </c>
      <c r="L127" t="e">
        <f t="shared" si="35"/>
        <v>#REF!</v>
      </c>
    </row>
    <row r="128" spans="2:12" x14ac:dyDescent="0.3">
      <c r="B128" s="1">
        <v>42446</v>
      </c>
      <c r="C128" s="3" t="s">
        <v>381</v>
      </c>
      <c r="D128">
        <f>'Mar2016'!F9</f>
        <v>1844444.4506220003</v>
      </c>
      <c r="E128">
        <f>'Mar2016'!G9</f>
        <v>5596429.1700725006</v>
      </c>
      <c r="F128">
        <f>'Mar2016'!H9</f>
        <v>421.89266275</v>
      </c>
      <c r="G128" t="e">
        <f t="shared" si="37"/>
        <v>#REF!</v>
      </c>
      <c r="I128" t="e">
        <f t="shared" si="33"/>
        <v>#REF!</v>
      </c>
      <c r="J128" t="e">
        <f t="shared" si="34"/>
        <v>#REF!</v>
      </c>
      <c r="K128" t="e">
        <f t="shared" si="36"/>
        <v>#REF!</v>
      </c>
      <c r="L128" t="e">
        <f t="shared" si="35"/>
        <v>#REF!</v>
      </c>
    </row>
    <row r="129" spans="2:15" x14ac:dyDescent="0.3">
      <c r="B129" s="1">
        <v>42345</v>
      </c>
      <c r="C129" s="3" t="s">
        <v>382</v>
      </c>
      <c r="D129" t="e">
        <f>'Dec2015'!#REF!</f>
        <v>#REF!</v>
      </c>
      <c r="E129" t="e">
        <f>'Dec2015'!#REF!</f>
        <v>#REF!</v>
      </c>
      <c r="F129" t="e">
        <f>'Dec2015'!#REF!</f>
        <v>#REF!</v>
      </c>
      <c r="G129" t="e">
        <f>SQRT(((D129-D130)^2)+((E129-E130)^2))</f>
        <v>#REF!</v>
      </c>
      <c r="I129" t="e">
        <f>F129-F130</f>
        <v>#REF!</v>
      </c>
      <c r="J129" t="e">
        <f>SQRT((G129^2)+(I129^2))</f>
        <v>#REF!</v>
      </c>
      <c r="K129" t="e">
        <f t="shared" si="36"/>
        <v>#REF!</v>
      </c>
      <c r="L129" t="e">
        <f>J130+J129</f>
        <v>#REF!</v>
      </c>
    </row>
    <row r="130" spans="2:15" x14ac:dyDescent="0.3">
      <c r="B130" s="1">
        <v>42188</v>
      </c>
      <c r="C130" s="3" t="s">
        <v>384</v>
      </c>
      <c r="D130">
        <f>July2015!F15</f>
        <v>1844340.31183</v>
      </c>
      <c r="E130">
        <f>July2015!G15</f>
        <v>5596229.3912745006</v>
      </c>
      <c r="F130">
        <f>July2015!H15</f>
        <v>405.90654575000002</v>
      </c>
      <c r="G130">
        <v>0</v>
      </c>
      <c r="I130">
        <v>0</v>
      </c>
      <c r="J130">
        <v>0</v>
      </c>
      <c r="K130">
        <f t="shared" si="36"/>
        <v>0</v>
      </c>
      <c r="L130">
        <f>J130</f>
        <v>0</v>
      </c>
      <c r="N130" t="s">
        <v>436</v>
      </c>
    </row>
    <row r="131" spans="2:15" x14ac:dyDescent="0.3">
      <c r="M131" t="s">
        <v>437</v>
      </c>
    </row>
    <row r="134" spans="2:15" x14ac:dyDescent="0.3">
      <c r="O134" t="s">
        <v>446</v>
      </c>
    </row>
    <row r="135" spans="2:15" x14ac:dyDescent="0.3">
      <c r="O135">
        <f>(SQRT(((D130-D121)^2)+((E130-E121)^2)))/(F130-F121)</f>
        <v>37.451410350800998</v>
      </c>
    </row>
    <row r="146" spans="2:18" x14ac:dyDescent="0.3">
      <c r="B146" s="5" t="s">
        <v>439</v>
      </c>
      <c r="G146" t="s">
        <v>427</v>
      </c>
      <c r="I146" t="s">
        <v>428</v>
      </c>
      <c r="J146" t="s">
        <v>429</v>
      </c>
      <c r="K146" t="s">
        <v>438</v>
      </c>
      <c r="L146" t="s">
        <v>430</v>
      </c>
    </row>
    <row r="147" spans="2:18" x14ac:dyDescent="0.3">
      <c r="B147" s="15">
        <f>'Dec2019-Feb2020'!Q10</f>
        <v>43817</v>
      </c>
      <c r="D147">
        <f>'Dec2019-Feb2020'!F10</f>
        <v>1844577.582804</v>
      </c>
      <c r="E147">
        <f>'Dec2019-Feb2020'!G10</f>
        <v>5596364.1203709999</v>
      </c>
      <c r="F147">
        <f>'Dec2019-Feb2020'!H10</f>
        <v>414.53913499999999</v>
      </c>
      <c r="G147">
        <f>SQRT(((D147-D148)^2)+((E147-E148)^2))</f>
        <v>0.17924743181223213</v>
      </c>
      <c r="I147">
        <f t="shared" ref="I147" si="38">F147-F148</f>
        <v>-4.3924000000004071E-2</v>
      </c>
      <c r="J147">
        <f t="shared" ref="J147" si="39">SQRT((G147^2)+(I147^2))</f>
        <v>0.1845506965234246</v>
      </c>
      <c r="K147">
        <f>(J147/(B147-B148))*365</f>
        <v>0.15485288328977007</v>
      </c>
      <c r="L147">
        <f t="shared" ref="L147" si="40">L148+J147</f>
        <v>4774.0980992665573</v>
      </c>
    </row>
    <row r="148" spans="2:18" x14ac:dyDescent="0.3">
      <c r="B148" s="1">
        <v>43382</v>
      </c>
      <c r="C148" s="3" t="s">
        <v>373</v>
      </c>
      <c r="D148">
        <f>'Oct2018'!F10</f>
        <v>1844577.5881060001</v>
      </c>
      <c r="E148">
        <f>'Oct2018'!G10</f>
        <v>5596364.29954</v>
      </c>
      <c r="F148">
        <f>'Oct2018'!H10</f>
        <v>414.58305899999999</v>
      </c>
      <c r="G148">
        <f>SQRT(((D148-D149)^2)+((E148-E149)^2))</f>
        <v>872.04624591164497</v>
      </c>
      <c r="I148">
        <f t="shared" ref="I148:I157" si="41">F148-F149</f>
        <v>98.512677999999994</v>
      </c>
      <c r="J148">
        <f t="shared" ref="J148:J157" si="42">SQRT((G148^2)+(I148^2))</f>
        <v>877.59295959762858</v>
      </c>
      <c r="K148">
        <f>(J148/(B148-B149))*365</f>
        <v>1634.2930114955839</v>
      </c>
      <c r="L148">
        <f t="shared" ref="L148:L157" si="43">L149+J148</f>
        <v>4773.9135485700335</v>
      </c>
    </row>
    <row r="149" spans="2:18" x14ac:dyDescent="0.3">
      <c r="B149" s="1">
        <v>43186</v>
      </c>
      <c r="C149" s="3" t="s">
        <v>375</v>
      </c>
      <c r="D149">
        <f>'Mar2018'!F30</f>
        <v>1844344.054861</v>
      </c>
      <c r="E149">
        <f>'Mar2018'!G30</f>
        <v>5595524.1049920004</v>
      </c>
      <c r="F149">
        <f>'Mar2018'!H30</f>
        <v>316.070381</v>
      </c>
      <c r="G149">
        <f>SQRT(((D149-D150)^2)+((E149-E150)^2))</f>
        <v>170.34831086451476</v>
      </c>
      <c r="I149">
        <f t="shared" si="41"/>
        <v>-40.188173000000006</v>
      </c>
      <c r="J149">
        <f t="shared" si="42"/>
        <v>175.02467329914171</v>
      </c>
      <c r="K149">
        <f t="shared" ref="K149:K159" si="44">(J149/(B149-B150))*365</f>
        <v>382.53895661189654</v>
      </c>
      <c r="L149">
        <f t="shared" si="43"/>
        <v>3896.3205889724045</v>
      </c>
    </row>
    <row r="150" spans="2:18" x14ac:dyDescent="0.3">
      <c r="B150" s="1">
        <v>43019</v>
      </c>
      <c r="C150" s="3" t="s">
        <v>374</v>
      </c>
      <c r="D150">
        <f>'Oct2017'!F63</f>
        <v>1844189.2671749999</v>
      </c>
      <c r="E150">
        <f>'Oct2017'!G63</f>
        <v>5595595.2338840002</v>
      </c>
      <c r="F150">
        <f>'Oct2017'!H63</f>
        <v>356.258554</v>
      </c>
      <c r="G150">
        <f t="shared" ref="G150:G157" si="45">SQRT(((D150-D151)^2)+((E150-E151)^2))</f>
        <v>136.20282103626784</v>
      </c>
      <c r="I150">
        <f t="shared" si="41"/>
        <v>40.720760999999982</v>
      </c>
      <c r="J150">
        <f t="shared" si="42"/>
        <v>142.15973000346028</v>
      </c>
      <c r="K150">
        <f t="shared" si="44"/>
        <v>498.92597549291344</v>
      </c>
      <c r="L150">
        <f t="shared" si="43"/>
        <v>3721.2959156732627</v>
      </c>
    </row>
    <row r="151" spans="2:18" x14ac:dyDescent="0.3">
      <c r="B151" s="1">
        <v>42915</v>
      </c>
      <c r="C151" s="3" t="s">
        <v>376</v>
      </c>
      <c r="D151">
        <f>June2017!F31</f>
        <v>1844302.9112249999</v>
      </c>
      <c r="E151">
        <f>June2017!G31</f>
        <v>5595520.1589989997</v>
      </c>
      <c r="F151">
        <f>June2017!H31</f>
        <v>315.53779300000002</v>
      </c>
      <c r="G151">
        <f t="shared" si="45"/>
        <v>381.55795152920876</v>
      </c>
      <c r="I151">
        <f t="shared" si="41"/>
        <v>-44.132248000000004</v>
      </c>
      <c r="J151">
        <f t="shared" si="42"/>
        <v>384.101712686496</v>
      </c>
      <c r="K151">
        <f t="shared" si="44"/>
        <v>1388.0903478274361</v>
      </c>
      <c r="L151">
        <f t="shared" si="43"/>
        <v>3579.1361856698022</v>
      </c>
    </row>
    <row r="152" spans="2:18" x14ac:dyDescent="0.3">
      <c r="B152" s="1">
        <v>42814</v>
      </c>
      <c r="C152" s="3" t="s">
        <v>377</v>
      </c>
      <c r="D152">
        <f>'Mar2017'!F24</f>
        <v>1844645.3717990001</v>
      </c>
      <c r="E152">
        <f>'Mar2017'!G24</f>
        <v>5595688.4065119997</v>
      </c>
      <c r="F152">
        <f>'Mar2017'!H24</f>
        <v>359.67004100000003</v>
      </c>
      <c r="G152">
        <f t="shared" si="45"/>
        <v>414.36798137362814</v>
      </c>
      <c r="I152">
        <f t="shared" si="41"/>
        <v>-30.476714999999956</v>
      </c>
      <c r="J152">
        <f t="shared" si="42"/>
        <v>415.48724907612586</v>
      </c>
      <c r="K152">
        <f t="shared" si="44"/>
        <v>1579.7171449248535</v>
      </c>
      <c r="L152">
        <f t="shared" si="43"/>
        <v>3195.0344729833064</v>
      </c>
    </row>
    <row r="153" spans="2:18" x14ac:dyDescent="0.3">
      <c r="B153" s="1">
        <v>42718</v>
      </c>
      <c r="C153" s="3" t="s">
        <v>378</v>
      </c>
      <c r="D153">
        <f>'Dec2016'!F16</f>
        <v>1844395.1182200001</v>
      </c>
      <c r="E153">
        <f>'Dec2016'!G16</f>
        <v>5596018.6699980004</v>
      </c>
      <c r="F153">
        <f>'Dec2016'!H16</f>
        <v>390.14675599999998</v>
      </c>
      <c r="G153">
        <f t="shared" si="45"/>
        <v>174.77119365468312</v>
      </c>
      <c r="I153">
        <f t="shared" si="41"/>
        <v>-8.1399360000000343</v>
      </c>
      <c r="J153">
        <f t="shared" si="42"/>
        <v>174.96064897446752</v>
      </c>
      <c r="K153">
        <f t="shared" si="44"/>
        <v>1228.0891706861662</v>
      </c>
      <c r="L153">
        <f t="shared" si="43"/>
        <v>2779.5472239071805</v>
      </c>
    </row>
    <row r="154" spans="2:18" x14ac:dyDescent="0.3">
      <c r="B154" s="1">
        <v>42666</v>
      </c>
      <c r="C154" s="3" t="s">
        <v>379</v>
      </c>
      <c r="D154">
        <f>'Oct2016'!F17</f>
        <v>1844569.889312</v>
      </c>
      <c r="E154">
        <f>'Oct2016'!G17</f>
        <v>5596018.481497</v>
      </c>
      <c r="F154">
        <f>'Oct2016'!H17</f>
        <v>398.28669200000002</v>
      </c>
      <c r="G154">
        <f t="shared" si="45"/>
        <v>229.36306856117406</v>
      </c>
      <c r="I154">
        <f t="shared" si="41"/>
        <v>14.766158000000019</v>
      </c>
      <c r="J154">
        <f t="shared" si="42"/>
        <v>229.83789209327256</v>
      </c>
      <c r="K154">
        <f t="shared" si="44"/>
        <v>806.64260205811991</v>
      </c>
      <c r="L154">
        <f t="shared" si="43"/>
        <v>2604.5865749327131</v>
      </c>
    </row>
    <row r="155" spans="2:18" x14ac:dyDescent="0.3">
      <c r="B155" s="1">
        <v>42562</v>
      </c>
      <c r="C155" s="3" t="s">
        <v>380</v>
      </c>
      <c r="D155">
        <f>July2016!F19</f>
        <v>1844385.159211</v>
      </c>
      <c r="E155">
        <f>July2016!G19</f>
        <v>5595882.5322160004</v>
      </c>
      <c r="F155">
        <f>July2016!H19</f>
        <v>383.520534</v>
      </c>
      <c r="G155">
        <f t="shared" si="45"/>
        <v>349.72648498004884</v>
      </c>
      <c r="I155">
        <f t="shared" si="41"/>
        <v>-22.372652750000043</v>
      </c>
      <c r="J155">
        <f t="shared" si="42"/>
        <v>350.44136440718927</v>
      </c>
      <c r="K155">
        <f t="shared" si="44"/>
        <v>1102.6818793846903</v>
      </c>
      <c r="L155">
        <f t="shared" si="43"/>
        <v>2374.7486828394408</v>
      </c>
    </row>
    <row r="156" spans="2:18" x14ac:dyDescent="0.3">
      <c r="B156" s="1">
        <v>42446</v>
      </c>
      <c r="C156" s="3" t="s">
        <v>381</v>
      </c>
      <c r="D156">
        <f>'Mar2016'!F15</f>
        <v>1844340.3233420001</v>
      </c>
      <c r="E156">
        <f>'Mar2016'!G15</f>
        <v>5596229.3727545012</v>
      </c>
      <c r="F156">
        <f>'Mar2016'!H15</f>
        <v>405.89318675000004</v>
      </c>
      <c r="G156">
        <f t="shared" si="45"/>
        <v>261.75927026535902</v>
      </c>
      <c r="I156">
        <f t="shared" si="41"/>
        <v>-28.838385500000015</v>
      </c>
      <c r="J156">
        <f t="shared" si="42"/>
        <v>263.34306151501295</v>
      </c>
      <c r="K156">
        <f t="shared" si="44"/>
        <v>951.68532131663096</v>
      </c>
      <c r="L156">
        <f t="shared" si="43"/>
        <v>2024.3073184322513</v>
      </c>
    </row>
    <row r="157" spans="2:18" x14ac:dyDescent="0.3">
      <c r="B157" s="1">
        <v>42345</v>
      </c>
      <c r="C157" s="3" t="s">
        <v>382</v>
      </c>
      <c r="D157">
        <f>'Dec2015'!F8</f>
        <v>1844275.8296960001</v>
      </c>
      <c r="E157">
        <f>'Dec2015'!G8</f>
        <v>5596483.0624965001</v>
      </c>
      <c r="F157">
        <f>'Dec2015'!H8</f>
        <v>434.73157225000006</v>
      </c>
      <c r="G157">
        <f t="shared" si="45"/>
        <v>926.2804100779864</v>
      </c>
      <c r="I157">
        <f t="shared" si="41"/>
        <v>99.23702650000007</v>
      </c>
      <c r="J157">
        <f t="shared" si="42"/>
        <v>931.58112127865945</v>
      </c>
      <c r="K157">
        <f t="shared" si="44"/>
        <v>5000.398665686922</v>
      </c>
      <c r="L157">
        <f t="shared" si="43"/>
        <v>1760.9642569172383</v>
      </c>
    </row>
    <row r="158" spans="2:18" x14ac:dyDescent="0.3">
      <c r="B158" s="1">
        <v>42277</v>
      </c>
      <c r="C158" s="3" t="s">
        <v>383</v>
      </c>
      <c r="D158">
        <f>Sept2015!F63</f>
        <v>1844620.8288300002</v>
      </c>
      <c r="E158">
        <f>Sept2015!G63</f>
        <v>5595623.4282745002</v>
      </c>
      <c r="F158">
        <f>Sept2015!H63</f>
        <v>335.49454574999999</v>
      </c>
      <c r="G158">
        <f>SQRT(((D158-D159)^2)+((E158-E159)^2))</f>
        <v>824.86971287451274</v>
      </c>
      <c r="I158">
        <f>F158-F159</f>
        <v>-86.408000000000015</v>
      </c>
      <c r="J158">
        <f>SQRT((G158^2)+(I158^2))</f>
        <v>829.38313563857878</v>
      </c>
      <c r="K158">
        <f t="shared" si="44"/>
        <v>3401.402747281812</v>
      </c>
      <c r="L158">
        <f>J159+J158</f>
        <v>829.38313563857878</v>
      </c>
    </row>
    <row r="159" spans="2:18" x14ac:dyDescent="0.3">
      <c r="B159" s="1">
        <v>42188</v>
      </c>
      <c r="C159" s="3" t="s">
        <v>384</v>
      </c>
      <c r="D159">
        <f>July2015!F9</f>
        <v>1844444.4688300001</v>
      </c>
      <c r="E159">
        <f>July2015!G9</f>
        <v>5596429.2242745012</v>
      </c>
      <c r="F159">
        <f>July2015!H9</f>
        <v>421.90254575</v>
      </c>
      <c r="G159">
        <v>0</v>
      </c>
      <c r="I159">
        <v>0</v>
      </c>
      <c r="J159">
        <v>0</v>
      </c>
      <c r="K159">
        <f t="shared" si="44"/>
        <v>0</v>
      </c>
      <c r="L159">
        <f>J159</f>
        <v>0</v>
      </c>
    </row>
    <row r="160" spans="2:18" x14ac:dyDescent="0.3">
      <c r="P160" t="s">
        <v>445</v>
      </c>
      <c r="Q160" t="s">
        <v>442</v>
      </c>
      <c r="R160" t="s">
        <v>443</v>
      </c>
    </row>
    <row r="161" spans="16:20" x14ac:dyDescent="0.3">
      <c r="P161">
        <f>Q161-5596000</f>
        <v>364.29954000003636</v>
      </c>
      <c r="Q161">
        <v>5596364.29954</v>
      </c>
      <c r="R161">
        <v>414.58305899999999</v>
      </c>
    </row>
    <row r="163" spans="16:20" x14ac:dyDescent="0.3">
      <c r="P163">
        <f t="shared" ref="P163:P172" si="46">Q163-5596000</f>
        <v>364.53670999966562</v>
      </c>
      <c r="Q163">
        <v>5596364.5367099997</v>
      </c>
      <c r="R163">
        <v>414.63833900000003</v>
      </c>
    </row>
    <row r="164" spans="16:20" x14ac:dyDescent="0.3">
      <c r="P164">
        <f t="shared" si="46"/>
        <v>364.62418999988586</v>
      </c>
      <c r="Q164">
        <v>5596364.6241899999</v>
      </c>
      <c r="R164">
        <v>414.69430799999998</v>
      </c>
    </row>
    <row r="165" spans="16:20" x14ac:dyDescent="0.3">
      <c r="P165">
        <f t="shared" si="46"/>
        <v>364.67599300015718</v>
      </c>
      <c r="Q165">
        <v>5596364.6759930002</v>
      </c>
      <c r="R165">
        <v>414.65527900000001</v>
      </c>
    </row>
    <row r="166" spans="16:20" x14ac:dyDescent="0.3">
      <c r="P166">
        <f t="shared" si="46"/>
        <v>364.68511599954218</v>
      </c>
      <c r="Q166">
        <v>5596364.6851159995</v>
      </c>
      <c r="R166">
        <v>414.65163699999999</v>
      </c>
    </row>
    <row r="167" spans="16:20" x14ac:dyDescent="0.3">
      <c r="P167">
        <f t="shared" si="46"/>
        <v>364.74884799961001</v>
      </c>
      <c r="Q167">
        <v>5596364.7488479996</v>
      </c>
      <c r="R167">
        <v>414.65221600000001</v>
      </c>
    </row>
    <row r="168" spans="16:20" x14ac:dyDescent="0.3">
      <c r="P168">
        <f t="shared" si="46"/>
        <v>364.84434700012207</v>
      </c>
      <c r="Q168">
        <v>5596364.8443470001</v>
      </c>
      <c r="R168">
        <v>414.657175</v>
      </c>
      <c r="T168" t="s">
        <v>444</v>
      </c>
    </row>
    <row r="169" spans="16:20" x14ac:dyDescent="0.3">
      <c r="P169">
        <f t="shared" si="46"/>
        <v>364.89593250118196</v>
      </c>
      <c r="Q169">
        <v>5596364.8959325012</v>
      </c>
      <c r="R169">
        <v>414.70200375000002</v>
      </c>
    </row>
    <row r="170" spans="16:20" x14ac:dyDescent="0.3">
      <c r="P170">
        <f t="shared" si="46"/>
        <v>364.90549650043249</v>
      </c>
      <c r="Q170">
        <v>5596364.9054965004</v>
      </c>
      <c r="R170">
        <v>414.72557225000003</v>
      </c>
      <c r="T170" t="s">
        <v>446</v>
      </c>
    </row>
    <row r="171" spans="16:20" x14ac:dyDescent="0.3">
      <c r="P171">
        <f t="shared" si="46"/>
        <v>364.90227449964732</v>
      </c>
      <c r="Q171">
        <v>5596364.9022744996</v>
      </c>
      <c r="R171">
        <v>414.70754575000001</v>
      </c>
      <c r="T171">
        <f>(SQRT(((D159-D148)^2)+((E159-E148)^2)))/(F159-F148)</f>
        <v>20.234744334259609</v>
      </c>
    </row>
    <row r="172" spans="16:20" x14ac:dyDescent="0.3">
      <c r="P172">
        <f t="shared" si="46"/>
        <v>364.97127450071275</v>
      </c>
      <c r="Q172">
        <v>5596364.9712745007</v>
      </c>
      <c r="R172">
        <v>414.71554574999999</v>
      </c>
    </row>
  </sheetData>
  <phoneticPr fontId="2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8C0E-A651-4C45-842D-01CEC94FA10C}">
  <sheetPr codeName="Sheet18"/>
  <dimension ref="B1:BV631"/>
  <sheetViews>
    <sheetView tabSelected="1" zoomScale="55" zoomScaleNormal="55" workbookViewId="0">
      <selection activeCell="A4" sqref="A4"/>
    </sheetView>
  </sheetViews>
  <sheetFormatPr defaultRowHeight="14.4" x14ac:dyDescent="0.3"/>
  <cols>
    <col min="3" max="3" width="13" customWidth="1"/>
    <col min="4" max="4" width="10.5546875" bestFit="1" customWidth="1"/>
    <col min="5" max="5" width="10.33203125" customWidth="1"/>
    <col min="7" max="7" width="10.5546875" bestFit="1" customWidth="1"/>
    <col min="8" max="8" width="11.6640625" customWidth="1"/>
    <col min="10" max="10" width="9.109375" customWidth="1"/>
    <col min="11" max="11" width="9.33203125" customWidth="1"/>
    <col min="12" max="12" width="14.33203125" customWidth="1"/>
    <col min="14" max="14" width="12.33203125" customWidth="1"/>
    <col min="15" max="15" width="11.6640625" customWidth="1"/>
    <col min="16" max="16" width="10" bestFit="1" customWidth="1"/>
    <col min="17" max="17" width="10" customWidth="1"/>
    <col min="31" max="35" width="9.109375" style="21"/>
    <col min="38" max="38" width="12" bestFit="1" customWidth="1"/>
    <col min="39" max="39" width="12.5546875" bestFit="1" customWidth="1"/>
    <col min="40" max="40" width="13.33203125" customWidth="1"/>
    <col min="45" max="45" width="9.88671875" customWidth="1"/>
    <col min="47" max="47" width="10.6640625" bestFit="1" customWidth="1"/>
    <col min="63" max="63" width="12" customWidth="1"/>
    <col min="64" max="64" width="12.5546875" bestFit="1" customWidth="1"/>
    <col min="65" max="65" width="11.33203125" customWidth="1"/>
    <col min="67" max="67" width="8" customWidth="1"/>
    <col min="68" max="68" width="9.88671875" customWidth="1"/>
    <col min="69" max="69" width="9.109375" style="7"/>
    <col min="71" max="71" width="11.6640625" bestFit="1" customWidth="1"/>
    <col min="73" max="73" width="10.6640625" bestFit="1" customWidth="1"/>
  </cols>
  <sheetData>
    <row r="1" spans="2:74" x14ac:dyDescent="0.3">
      <c r="C1" t="s">
        <v>554</v>
      </c>
    </row>
    <row r="2" spans="2:74" s="21" customFormat="1" x14ac:dyDescent="0.3">
      <c r="C2" s="21" t="s">
        <v>671</v>
      </c>
      <c r="BQ2" s="7"/>
    </row>
    <row r="3" spans="2:74" s="21" customFormat="1" x14ac:dyDescent="0.3">
      <c r="BQ3" s="7"/>
    </row>
    <row r="4" spans="2:74" s="21" customFormat="1" x14ac:dyDescent="0.3">
      <c r="J4" s="4" t="s">
        <v>566</v>
      </c>
      <c r="K4" s="4"/>
      <c r="BQ4" s="7"/>
    </row>
    <row r="5" spans="2:74" s="21" customFormat="1" x14ac:dyDescent="0.3">
      <c r="C5" s="28" t="s">
        <v>555</v>
      </c>
      <c r="D5" s="28" t="s">
        <v>548</v>
      </c>
      <c r="E5" s="28" t="s">
        <v>549</v>
      </c>
      <c r="F5" s="28" t="s">
        <v>469</v>
      </c>
      <c r="G5" s="28"/>
      <c r="H5" s="28" t="s">
        <v>556</v>
      </c>
      <c r="J5" s="4" t="s">
        <v>557</v>
      </c>
      <c r="K5" s="36">
        <f>INDEX(P9:P40,MATCH(L5,Q9:Q40,0))</f>
        <v>7</v>
      </c>
      <c r="L5" s="39">
        <v>2</v>
      </c>
      <c r="P5" s="28" t="s">
        <v>560</v>
      </c>
      <c r="BQ5" s="7"/>
    </row>
    <row r="6" spans="2:74" x14ac:dyDescent="0.3">
      <c r="P6" s="28" t="s">
        <v>548</v>
      </c>
      <c r="AK6" t="s">
        <v>562</v>
      </c>
    </row>
    <row r="7" spans="2:74" ht="15" thickBot="1" x14ac:dyDescent="0.35">
      <c r="B7" s="3" t="s">
        <v>568</v>
      </c>
      <c r="O7" t="s">
        <v>559</v>
      </c>
      <c r="AJ7" s="4"/>
      <c r="AK7" s="4"/>
      <c r="AL7" s="4"/>
      <c r="AM7" s="4"/>
      <c r="AN7" s="4"/>
      <c r="AO7" s="4"/>
      <c r="AP7" s="4"/>
      <c r="AQ7" s="4"/>
      <c r="AR7" s="4"/>
      <c r="AS7" s="4"/>
      <c r="AT7" s="4"/>
      <c r="AU7" s="4"/>
      <c r="AV7" s="4"/>
      <c r="AW7" s="4"/>
      <c r="AX7" s="4"/>
      <c r="AY7" s="4"/>
    </row>
    <row r="8" spans="2:74" x14ac:dyDescent="0.3">
      <c r="B8" s="5" t="s">
        <v>670</v>
      </c>
      <c r="C8" s="29"/>
      <c r="O8" s="74" t="s">
        <v>561</v>
      </c>
      <c r="P8" s="75" t="s">
        <v>558</v>
      </c>
      <c r="Q8" s="75" t="s">
        <v>1</v>
      </c>
      <c r="R8" s="76" t="s">
        <v>526</v>
      </c>
      <c r="S8" s="76" t="s">
        <v>373</v>
      </c>
      <c r="T8" s="77" t="s">
        <v>375</v>
      </c>
      <c r="U8" s="76" t="s">
        <v>374</v>
      </c>
      <c r="V8" s="76" t="s">
        <v>376</v>
      </c>
      <c r="W8" s="76" t="s">
        <v>377</v>
      </c>
      <c r="X8" s="76" t="s">
        <v>378</v>
      </c>
      <c r="Y8" s="76" t="s">
        <v>379</v>
      </c>
      <c r="Z8" s="76" t="s">
        <v>380</v>
      </c>
      <c r="AA8" s="76" t="s">
        <v>381</v>
      </c>
      <c r="AB8" s="76" t="s">
        <v>382</v>
      </c>
      <c r="AC8" s="76" t="s">
        <v>383</v>
      </c>
      <c r="AD8" s="78" t="s">
        <v>384</v>
      </c>
      <c r="AE8" s="3"/>
      <c r="AF8" s="3"/>
      <c r="AG8" s="3"/>
      <c r="AH8" s="3"/>
      <c r="AI8" s="3"/>
      <c r="AJ8" s="32"/>
      <c r="AK8" s="32" t="s">
        <v>563</v>
      </c>
      <c r="AL8" s="32"/>
      <c r="AM8" s="32"/>
      <c r="AN8" s="32"/>
      <c r="AO8" s="32"/>
      <c r="AP8" s="32"/>
      <c r="AQ8" s="32"/>
      <c r="AR8" s="32"/>
      <c r="AS8" s="32"/>
      <c r="AT8" s="32"/>
      <c r="AU8" s="32"/>
      <c r="AV8" s="32"/>
      <c r="AW8" s="32"/>
      <c r="AX8" s="32"/>
      <c r="AY8" s="4"/>
    </row>
    <row r="9" spans="2:74" x14ac:dyDescent="0.3">
      <c r="B9" s="42"/>
      <c r="C9" s="43"/>
      <c r="D9" s="44" t="s">
        <v>541</v>
      </c>
      <c r="E9" s="44" t="s">
        <v>542</v>
      </c>
      <c r="F9" s="44" t="s">
        <v>543</v>
      </c>
      <c r="G9" s="42" t="s">
        <v>427</v>
      </c>
      <c r="H9" s="42" t="s">
        <v>525</v>
      </c>
      <c r="I9" s="42" t="s">
        <v>428</v>
      </c>
      <c r="J9" s="42" t="s">
        <v>429</v>
      </c>
      <c r="K9" s="42" t="s">
        <v>606</v>
      </c>
      <c r="L9" s="42" t="s">
        <v>430</v>
      </c>
      <c r="M9" s="21"/>
      <c r="O9" s="64">
        <f t="shared" ref="O9:O40" ca="1" si="0">COUNTIF(R9:AD9,"data")</f>
        <v>5</v>
      </c>
      <c r="P9" s="65">
        <v>4</v>
      </c>
      <c r="Q9" s="66" t="s">
        <v>23</v>
      </c>
      <c r="R9" s="67" t="str" cm="1">
        <f t="array" aca="1" ref="R9" ca="1">IF((INDIRECT("'"&amp;R$8&amp;"'!"&amp;($P$6&amp;$P9)))&gt;0,"DATA","NULL")</f>
        <v>NULL</v>
      </c>
      <c r="S9" s="67" t="str" cm="1">
        <f t="array" aca="1" ref="S9" ca="1">IF((INDIRECT("'"&amp;S$8&amp;"'!"&amp;($P$6&amp;$P9)))&gt;0,"DATA","NULL")</f>
        <v>NULL</v>
      </c>
      <c r="T9" s="67" t="str" cm="1">
        <f t="array" aca="1" ref="T9" ca="1">IF((INDIRECT("'"&amp;T$8&amp;"'!"&amp;($P$6&amp;$P9)))&gt;0,"DATA","NULL")</f>
        <v>NULL</v>
      </c>
      <c r="U9" s="67" t="str" cm="1">
        <f t="array" aca="1" ref="U9" ca="1">IF((INDIRECT("'"&amp;U$8&amp;"'!"&amp;($P$6&amp;$P9)))&gt;0,"DATA","NULL")</f>
        <v>NULL</v>
      </c>
      <c r="V9" s="67" t="str" cm="1">
        <f t="array" aca="1" ref="V9" ca="1">IF((INDIRECT("'"&amp;V$8&amp;"'!"&amp;($P$6&amp;$P9)))&gt;0,"DATA","NULL")</f>
        <v>NULL</v>
      </c>
      <c r="W9" s="67" t="str" cm="1">
        <f t="array" aca="1" ref="W9" ca="1">IF((INDIRECT("'"&amp;W$8&amp;"'!"&amp;($P$6&amp;$P9)))&gt;0,"DATA","NULL")</f>
        <v>NULL</v>
      </c>
      <c r="X9" s="67" t="str" cm="1">
        <f t="array" aca="1" ref="X9" ca="1">IF((INDIRECT("'"&amp;X$8&amp;"'!"&amp;($P$6&amp;$P9)))&gt;0,"DATA","NULL")</f>
        <v>NULL</v>
      </c>
      <c r="Y9" s="67" t="str" cm="1">
        <f t="array" aca="1" ref="Y9" ca="1">IF((INDIRECT("'"&amp;Y$8&amp;"'!"&amp;($P$6&amp;$P9)))&gt;0,"DATA","NULL")</f>
        <v>NULL</v>
      </c>
      <c r="Z9" s="67" t="str" cm="1">
        <f t="array" aca="1" ref="Z9" ca="1">IF((INDIRECT("'"&amp;Z$8&amp;"'!"&amp;($P$6&amp;$P9)))&gt;0,"DATA","NULL")</f>
        <v>DATA</v>
      </c>
      <c r="AA9" s="67" t="str" cm="1">
        <f t="array" aca="1" ref="AA9" ca="1">IF((INDIRECT("'"&amp;AA$8&amp;"'!"&amp;($P$6&amp;$P9)))&gt;0,"DATA","NULL")</f>
        <v>DATA</v>
      </c>
      <c r="AB9" s="67" t="str" cm="1">
        <f t="array" aca="1" ref="AB9" ca="1">IF((INDIRECT("'"&amp;AB$8&amp;"'!"&amp;($P$6&amp;$P9)))&gt;0,"DATA","NULL")</f>
        <v>DATA</v>
      </c>
      <c r="AC9" s="67" t="str" cm="1">
        <f t="array" aca="1" ref="AC9" ca="1">IF((INDIRECT("'"&amp;AC$8&amp;"'!"&amp;($P$6&amp;$P9)))&gt;0,"DATA","NULL")</f>
        <v>DATA</v>
      </c>
      <c r="AD9" s="68" t="str" cm="1">
        <f t="array" aca="1" ref="AD9" ca="1">IF((INDIRECT("'"&amp;AD$8&amp;"'!"&amp;($P$6&amp;$P9)))&gt;0,"DATA","NULL")</f>
        <v>DATA</v>
      </c>
      <c r="AE9" s="31"/>
      <c r="AF9" s="31"/>
      <c r="AG9" s="31"/>
      <c r="AH9" s="31"/>
      <c r="AI9" s="31"/>
      <c r="AJ9" s="33"/>
      <c r="AK9" s="33" t="s">
        <v>553</v>
      </c>
      <c r="AL9" s="33">
        <v>6</v>
      </c>
      <c r="AM9" s="33" t="s">
        <v>541</v>
      </c>
      <c r="AN9" s="33" t="s">
        <v>542</v>
      </c>
      <c r="AO9" s="33" t="s">
        <v>543</v>
      </c>
      <c r="AP9" s="33" t="s">
        <v>427</v>
      </c>
      <c r="AQ9" s="33" t="s">
        <v>525</v>
      </c>
      <c r="AR9" s="33" t="s">
        <v>428</v>
      </c>
      <c r="AS9" s="33" t="s">
        <v>429</v>
      </c>
      <c r="AT9" s="33" t="s">
        <v>438</v>
      </c>
      <c r="AU9" s="33" t="s">
        <v>430</v>
      </c>
      <c r="AV9" s="33" t="s">
        <v>582</v>
      </c>
      <c r="AW9" s="33"/>
      <c r="AX9" s="33"/>
      <c r="AY9" s="4"/>
      <c r="BK9" s="4" t="s">
        <v>584</v>
      </c>
      <c r="BL9" s="30"/>
      <c r="BM9" s="5" t="s">
        <v>541</v>
      </c>
      <c r="BN9" s="5" t="s">
        <v>542</v>
      </c>
      <c r="BO9" s="5" t="s">
        <v>543</v>
      </c>
      <c r="BP9" s="21" t="s">
        <v>427</v>
      </c>
      <c r="BQ9" s="7" t="s">
        <v>525</v>
      </c>
      <c r="BR9" s="21" t="s">
        <v>428</v>
      </c>
      <c r="BS9" s="21" t="s">
        <v>429</v>
      </c>
      <c r="BT9" s="21" t="s">
        <v>606</v>
      </c>
      <c r="BU9" s="21" t="s">
        <v>430</v>
      </c>
      <c r="BV9" s="33" t="s">
        <v>582</v>
      </c>
    </row>
    <row r="10" spans="2:74" x14ac:dyDescent="0.3">
      <c r="B10" s="45" t="s">
        <v>526</v>
      </c>
      <c r="C10" s="46">
        <v>43817</v>
      </c>
      <c r="D10" s="47" cm="1">
        <f t="array" aca="1" ref="D10" ca="1">INDIRECT("'"&amp;$B10&amp;"'!"&amp;(D$5&amp;$K$5))</f>
        <v>1844327.0349940001</v>
      </c>
      <c r="E10" s="47" cm="1">
        <f t="array" aca="1" ref="E10" ca="1">INDIRECT("'"&amp;$B10&amp;"'!"&amp;(E$5&amp;$K$5))</f>
        <v>5596603.1033340003</v>
      </c>
      <c r="F10" s="47" cm="1">
        <f t="array" aca="1" ref="F10" ca="1">INDIRECT("'"&amp;$B10&amp;"'!"&amp;(F$5&amp;$K$5))</f>
        <v>430.35041999999999</v>
      </c>
      <c r="G10" s="42">
        <f ca="1">SQRT(((D10-D11)^2)+((E10-E11)^2))</f>
        <v>2.9896061533904485E-2</v>
      </c>
      <c r="H10" s="42" cm="1">
        <f t="array" aca="1" ref="H10" ca="1">INDIRECT("'"&amp;B10&amp;"'!"&amp;$H$5&amp;$K$5)+0.01</f>
        <v>2.6347000000000002E-2</v>
      </c>
      <c r="I10" s="47">
        <f ca="1">F10-F11</f>
        <v>-9.1229999999882239E-3</v>
      </c>
      <c r="J10" s="48">
        <f ca="1">SQRT((G10^2)+(I10^2))</f>
        <v>3.1257057190957512E-2</v>
      </c>
      <c r="K10" s="48">
        <f t="shared" ref="K10:K21" ca="1" si="1">(J10/(C10-C11))*31</f>
        <v>2.2275144205050178E-3</v>
      </c>
      <c r="L10" s="47">
        <f ca="1">L11+J10</f>
        <v>0.57216844828629732</v>
      </c>
      <c r="M10" s="11"/>
      <c r="O10" s="64">
        <f t="shared" ca="1" si="0"/>
        <v>4</v>
      </c>
      <c r="P10" s="65">
        <v>5</v>
      </c>
      <c r="Q10" s="66" t="s">
        <v>551</v>
      </c>
      <c r="R10" s="67" t="str" cm="1">
        <f t="array" aca="1" ref="R10" ca="1">IF((INDIRECT("'"&amp;R$8&amp;"'!"&amp;($P$6&amp;$P10)))&gt;0,"DATA","NULL")</f>
        <v>DATA</v>
      </c>
      <c r="S10" s="67" t="str" cm="1">
        <f t="array" aca="1" ref="S10" ca="1">IF((INDIRECT("'"&amp;S$8&amp;"'!"&amp;($P$6&amp;$P10)))&gt;0,"DATA","NULL")</f>
        <v>DATA</v>
      </c>
      <c r="T10" s="67" t="str" cm="1">
        <f t="array" aca="1" ref="T10" ca="1">IF((INDIRECT("'"&amp;T$8&amp;"'!"&amp;($P$6&amp;$P10)))&gt;0,"DATA","NULL")</f>
        <v>DATA</v>
      </c>
      <c r="U10" s="67" t="str" cm="1">
        <f t="array" aca="1" ref="U10" ca="1">IF((INDIRECT("'"&amp;U$8&amp;"'!"&amp;($P$6&amp;$P10)))&gt;0,"DATA","NULL")</f>
        <v>NULL</v>
      </c>
      <c r="V10" s="67" t="str" cm="1">
        <f t="array" aca="1" ref="V10" ca="1">IF((INDIRECT("'"&amp;V$8&amp;"'!"&amp;($P$6&amp;$P10)))&gt;0,"DATA","NULL")</f>
        <v>NULL</v>
      </c>
      <c r="W10" s="67" t="str" cm="1">
        <f t="array" aca="1" ref="W10" ca="1">IF((INDIRECT("'"&amp;W$8&amp;"'!"&amp;($P$6&amp;$P10)))&gt;0,"DATA","NULL")</f>
        <v>DATA</v>
      </c>
      <c r="X10" s="67" t="str" cm="1">
        <f t="array" aca="1" ref="X10" ca="1">IF((INDIRECT("'"&amp;X$8&amp;"'!"&amp;($P$6&amp;$P10)))&gt;0,"DATA","NULL")</f>
        <v>NULL</v>
      </c>
      <c r="Y10" s="67" t="str" cm="1">
        <f t="array" aca="1" ref="Y10" ca="1">IF((INDIRECT("'"&amp;Y$8&amp;"'!"&amp;($P$6&amp;$P10)))&gt;0,"DATA","NULL")</f>
        <v>NULL</v>
      </c>
      <c r="Z10" s="67" t="str" cm="1">
        <f t="array" aca="1" ref="Z10" ca="1">IF((INDIRECT("'"&amp;Z$8&amp;"'!"&amp;($P$6&amp;$P10)))&gt;0,"DATA","NULL")</f>
        <v>NULL</v>
      </c>
      <c r="AA10" s="67" t="str" cm="1">
        <f t="array" aca="1" ref="AA10" ca="1">IF((INDIRECT("'"&amp;AA$8&amp;"'!"&amp;($P$6&amp;$P10)))&gt;0,"DATA","NULL")</f>
        <v>NULL</v>
      </c>
      <c r="AB10" s="67" t="str" cm="1">
        <f t="array" aca="1" ref="AB10" ca="1">IF((INDIRECT("'"&amp;AB$8&amp;"'!"&amp;($P$6&amp;$P10)))&gt;0,"DATA","NULL")</f>
        <v>NULL</v>
      </c>
      <c r="AC10" s="67" t="str" cm="1">
        <f t="array" aca="1" ref="AC10" ca="1">IF((INDIRECT("'"&amp;AC$8&amp;"'!"&amp;($P$6&amp;$P10)))&gt;0,"DATA","NULL")</f>
        <v>NULL</v>
      </c>
      <c r="AD10" s="68" t="str" cm="1">
        <f t="array" aca="1" ref="AD10" ca="1">IF((INDIRECT("'"&amp;AD$8&amp;"'!"&amp;($P$6&amp;$P10)))&gt;0,"DATA","NULL")</f>
        <v>NULL</v>
      </c>
      <c r="AE10" s="31"/>
      <c r="AF10" s="31"/>
      <c r="AG10" s="31"/>
      <c r="AH10" s="31"/>
      <c r="AI10" s="31"/>
      <c r="AJ10" s="34"/>
      <c r="AK10" s="34" t="s">
        <v>526</v>
      </c>
      <c r="AL10" s="40">
        <v>43817</v>
      </c>
      <c r="AM10" s="34" cm="1">
        <f t="array" aca="1" ref="AM10" ca="1">INDIRECT("'"&amp;$B27&amp;"'!"&amp;(D$5&amp;$P$11))</f>
        <v>1844611.1935320001</v>
      </c>
      <c r="AN10" s="34" cm="1">
        <f t="array" aca="1" ref="AN10" ca="1">INDIRECT("'"&amp;$B27&amp;"'!"&amp;(E$5&amp;$P$11))</f>
        <v>5596719.5433409996</v>
      </c>
      <c r="AO10" s="34" cm="1">
        <f t="array" aca="1" ref="AO10" ca="1">INDIRECT("'"&amp;$B27&amp;"'!"&amp;(F$5&amp;$P$11))</f>
        <v>438.87606</v>
      </c>
      <c r="AP10" s="21">
        <f ca="1">SQRT(((AM10-AM11)^2)+((AN10-AN11)^2))</f>
        <v>5.1870227983338374E-2</v>
      </c>
      <c r="AQ10" s="21" cm="1">
        <f t="array" aca="1" ref="AQ10" ca="1">INDIRECT("'"&amp;AK10&amp;"'!"&amp;$H$5&amp;$P$11)+0.01</f>
        <v>2.3784E-2</v>
      </c>
      <c r="AR10" s="23">
        <f ca="1">AO10-AO11</f>
        <v>-2.4043000000006032E-2</v>
      </c>
      <c r="AS10" s="7">
        <f ca="1">SQRT((AP10^2)+(AR10^2))</f>
        <v>5.7171552366922743E-2</v>
      </c>
      <c r="AT10" s="7">
        <f t="shared" ref="AT10:AT20" ca="1" si="2">(AS10/(AL10-AL11))*365</f>
        <v>4.7971532445808741E-2</v>
      </c>
      <c r="AU10" s="23">
        <f ca="1">AU11+AS10</f>
        <v>0.57085873811996413</v>
      </c>
      <c r="AV10" s="23">
        <f ca="1">AV11+AR10</f>
        <v>-0.14348575000002484</v>
      </c>
      <c r="AW10" s="34"/>
      <c r="AX10" s="34"/>
      <c r="AY10" s="4"/>
      <c r="BK10" s="3" t="s">
        <v>526</v>
      </c>
      <c r="BL10" s="1">
        <v>43817</v>
      </c>
      <c r="BM10" s="23" cm="1">
        <f t="array" aca="1" ref="BM10" ca="1">INDIRECT("'"&amp;$B27&amp;"'!"&amp;(D$5&amp;$P$21))</f>
        <v>1844395.194262</v>
      </c>
      <c r="BN10" s="23" cm="1">
        <f t="array" aca="1" ref="BN10" ca="1">INDIRECT("'"&amp;$B27&amp;"'!"&amp;(E$5&amp;$P$21))</f>
        <v>5596015.1099380003</v>
      </c>
      <c r="BO10" s="23" cm="1">
        <f t="array" aca="1" ref="BO10" ca="1">INDIRECT("'"&amp;$B27&amp;"'!"&amp;(F$5&amp;$P$21))</f>
        <v>389.428943</v>
      </c>
      <c r="BP10" s="7">
        <f ca="1">SQRT(((BM10-BM11)^2)+((BN10-BN11)^2))</f>
        <v>1.1065811988900343</v>
      </c>
      <c r="BQ10" s="7" cm="1">
        <f t="array" aca="1" ref="BQ10" ca="1">INDIRECT("'"&amp;BK10&amp;"'!"&amp;$H$5&amp;$P$21)+0.01</f>
        <v>2.9894999999999998E-2</v>
      </c>
      <c r="BR10" s="23">
        <f ca="1">BO10-BO11</f>
        <v>-0.30329499999999143</v>
      </c>
      <c r="BS10" s="7">
        <f ca="1">SQRT((BP10^2)+(BR10^2))</f>
        <v>1.1473926123005587</v>
      </c>
      <c r="BT10" s="7">
        <f ca="1">(BS10/(BL10-BL11))*31</f>
        <v>8.17682091524536E-2</v>
      </c>
      <c r="BU10" s="23">
        <f ca="1">BU11+BS10</f>
        <v>4.7020347896129557</v>
      </c>
      <c r="BV10" s="23">
        <f ca="1">BV11+BR10</f>
        <v>-1.0646027500000059</v>
      </c>
    </row>
    <row r="11" spans="2:74" x14ac:dyDescent="0.3">
      <c r="B11" s="45" t="s">
        <v>373</v>
      </c>
      <c r="C11" s="46">
        <v>43382</v>
      </c>
      <c r="D11" s="47" cm="1">
        <f t="array" aca="1" ref="D11" ca="1">INDIRECT("'"&amp;$B11&amp;"'!"&amp;(D$5&amp;$K$5))</f>
        <v>1844327.038464</v>
      </c>
      <c r="E11" s="47" cm="1">
        <f t="array" aca="1" ref="E11" ca="1">INDIRECT("'"&amp;$B11&amp;"'!"&amp;(E$5&amp;$K$5))</f>
        <v>5596603.1330279997</v>
      </c>
      <c r="F11" s="47" cm="1">
        <f t="array" aca="1" ref="F11" ca="1">INDIRECT("'"&amp;$B11&amp;"'!"&amp;(F$5&amp;$K$5))</f>
        <v>430.35954299999997</v>
      </c>
      <c r="G11" s="42">
        <f ca="1">SQRT(((D11-D12)^2)+((E11-E12)^2))</f>
        <v>8.480651588412505E-2</v>
      </c>
      <c r="H11" s="42" cm="1">
        <f t="array" aca="1" ref="H11" ca="1">INDIRECT("'"&amp;B11&amp;"'!"&amp;$H$5&amp;$K$5)+0.01</f>
        <v>2.9463000000000003E-2</v>
      </c>
      <c r="I11" s="47">
        <f ca="1">F11-F12</f>
        <v>-4.4139000000029682E-2</v>
      </c>
      <c r="J11" s="48">
        <f t="shared" ref="J11" ca="1" si="3">SQRT((G11^2)+(I11^2))</f>
        <v>9.5605420648658707E-2</v>
      </c>
      <c r="K11" s="48">
        <f t="shared" ca="1" si="1"/>
        <v>1.5121265510757246E-2</v>
      </c>
      <c r="L11" s="47">
        <f t="shared" ref="L11:L13" ca="1" si="4">L12+J11</f>
        <v>0.54091139109533981</v>
      </c>
      <c r="M11" s="11"/>
      <c r="O11" s="64">
        <f t="shared" ca="1" si="0"/>
        <v>12</v>
      </c>
      <c r="P11" s="65">
        <v>6</v>
      </c>
      <c r="Q11" s="66">
        <v>1</v>
      </c>
      <c r="R11" s="67" t="str" cm="1">
        <f t="array" aca="1" ref="R11" ca="1">IF((INDIRECT("'"&amp;R$8&amp;"'!"&amp;($P$6&amp;$P11)))&gt;0,"DATA","NULL")</f>
        <v>DATA</v>
      </c>
      <c r="S11" s="67" t="str" cm="1">
        <f t="array" aca="1" ref="S11" ca="1">IF((INDIRECT("'"&amp;S$8&amp;"'!"&amp;($P$6&amp;$P11)))&gt;0,"DATA","NULL")</f>
        <v>DATA</v>
      </c>
      <c r="T11" s="67" t="str" cm="1">
        <f t="array" aca="1" ref="T11" ca="1">IF((INDIRECT("'"&amp;T$8&amp;"'!"&amp;($P$6&amp;$P11)))&gt;0,"DATA","NULL")</f>
        <v>DATA</v>
      </c>
      <c r="U11" s="67" t="str" cm="1">
        <f t="array" aca="1" ref="U11" ca="1">IF((INDIRECT("'"&amp;U$8&amp;"'!"&amp;($P$6&amp;$P11)))&gt;0,"DATA","NULL")</f>
        <v>DATA</v>
      </c>
      <c r="V11" s="67" t="str" cm="1">
        <f t="array" aca="1" ref="V11" ca="1">IF((INDIRECT("'"&amp;V$8&amp;"'!"&amp;($P$6&amp;$P11)))&gt;0,"DATA","NULL")</f>
        <v>DATA</v>
      </c>
      <c r="W11" s="67" t="str" cm="1">
        <f t="array" aca="1" ref="W11" ca="1">IF((INDIRECT("'"&amp;W$8&amp;"'!"&amp;($P$6&amp;$P11)))&gt;0,"DATA","NULL")</f>
        <v>DATA</v>
      </c>
      <c r="X11" s="67" t="str" cm="1">
        <f t="array" aca="1" ref="X11" ca="1">IF((INDIRECT("'"&amp;X$8&amp;"'!"&amp;($P$6&amp;$P11)))&gt;0,"DATA","NULL")</f>
        <v>DATA</v>
      </c>
      <c r="Y11" s="67" t="str" cm="1">
        <f t="array" aca="1" ref="Y11" ca="1">IF((INDIRECT("'"&amp;Y$8&amp;"'!"&amp;($P$6&amp;$P11)))&gt;0,"DATA","NULL")</f>
        <v>DATA</v>
      </c>
      <c r="Z11" s="67" t="str" cm="1">
        <f t="array" aca="1" ref="Z11" ca="1">IF((INDIRECT("'"&amp;Z$8&amp;"'!"&amp;($P$6&amp;$P11)))&gt;0,"DATA","NULL")</f>
        <v>DATA</v>
      </c>
      <c r="AA11" s="67" t="str" cm="1">
        <f t="array" aca="1" ref="AA11" ca="1">IF((INDIRECT("'"&amp;AA$8&amp;"'!"&amp;($P$6&amp;$P11)))&gt;0,"DATA","NULL")</f>
        <v>DATA</v>
      </c>
      <c r="AB11" s="67" t="str" cm="1">
        <f t="array" aca="1" ref="AB11" ca="1">IF((INDIRECT("'"&amp;AB$8&amp;"'!"&amp;($P$6&amp;$P11)))&gt;0,"DATA","NULL")</f>
        <v>DATA</v>
      </c>
      <c r="AC11" s="67" t="str" cm="1">
        <f t="array" aca="1" ref="AC11" ca="1">IF((INDIRECT("'"&amp;AC$8&amp;"'!"&amp;($P$6&amp;$P11)))&gt;0,"DATA","NULL")</f>
        <v>DATA</v>
      </c>
      <c r="AD11" s="68" t="str" cm="1">
        <f t="array" aca="1" ref="AD11" ca="1">IF((INDIRECT("'"&amp;AD$8&amp;"'!"&amp;($P$6&amp;$P11)))&gt;0,"DATA","NULL")</f>
        <v>NULL</v>
      </c>
      <c r="AE11" s="31"/>
      <c r="AF11" s="31"/>
      <c r="AG11" s="31"/>
      <c r="AH11" s="31"/>
      <c r="AI11" s="31"/>
      <c r="AJ11" s="34"/>
      <c r="AK11" s="34" t="s">
        <v>373</v>
      </c>
      <c r="AL11" s="40">
        <v>43382</v>
      </c>
      <c r="AM11" s="34" cm="1">
        <f t="array" aca="1" ref="AM11" ca="1">INDIRECT("'"&amp;$B28&amp;"'!"&amp;(D$5&amp;$P$11))</f>
        <v>1844611.215482</v>
      </c>
      <c r="AN11" s="34" cm="1">
        <f t="array" aca="1" ref="AN11" ca="1">INDIRECT("'"&amp;$B28&amp;"'!"&amp;(E$5&amp;$P$11))</f>
        <v>5596719.5903380001</v>
      </c>
      <c r="AO11" s="34" cm="1">
        <f t="array" aca="1" ref="AO11" ca="1">INDIRECT("'"&amp;$B28&amp;"'!"&amp;(F$5&amp;$P$11))</f>
        <v>438.900103</v>
      </c>
      <c r="AP11" s="21">
        <f t="shared" ref="AP11:AP20" ca="1" si="5">SQRT(((AM11-AM12)^2)+((AN11-AN12)^2))</f>
        <v>7.4110178941575885E-2</v>
      </c>
      <c r="AQ11" s="21" cm="1">
        <f t="array" aca="1" ref="AQ11" ca="1">INDIRECT("'"&amp;AK11&amp;"'!"&amp;$H$5&amp;$P$11)+0.01</f>
        <v>2.1742000000000001E-2</v>
      </c>
      <c r="AR11" s="23">
        <f t="shared" ref="AR11:AR20" ca="1" si="6">AO11-AO12</f>
        <v>-1.6292000000021289E-2</v>
      </c>
      <c r="AS11" s="7">
        <f t="shared" ref="AS11:AS20" ca="1" si="7">SQRT((AP11^2)+(AR11^2))</f>
        <v>7.587982529469274E-2</v>
      </c>
      <c r="AT11" s="7">
        <f t="shared" ca="1" si="2"/>
        <v>0.14130681751307578</v>
      </c>
      <c r="AU11" s="23">
        <f t="shared" ref="AU11:AU20" ca="1" si="8">AU12+AS11</f>
        <v>0.5136871857530414</v>
      </c>
      <c r="AV11" s="23">
        <f t="shared" ref="AV11:AV20" ca="1" si="9">AV12+AR11</f>
        <v>-0.1194427500000188</v>
      </c>
      <c r="AW11" s="34"/>
      <c r="AX11" s="34"/>
      <c r="AY11" s="4"/>
      <c r="BK11" s="3" t="s">
        <v>373</v>
      </c>
      <c r="BL11" s="1">
        <v>43382</v>
      </c>
      <c r="BM11" s="23" cm="1">
        <f t="array" aca="1" ref="BM11" ca="1">INDIRECT("'"&amp;$B28&amp;"'!"&amp;(D$5&amp;$P$21))</f>
        <v>1844395.0697069999</v>
      </c>
      <c r="BN11" s="23" cm="1">
        <f t="array" aca="1" ref="BN11" ca="1">INDIRECT("'"&amp;$B28&amp;"'!"&amp;(E$5&amp;$P$21))</f>
        <v>5596016.2094869995</v>
      </c>
      <c r="BO11" s="23" cm="1">
        <f t="array" aca="1" ref="BO11" ca="1">INDIRECT("'"&amp;$B28&amp;"'!"&amp;(F$5&amp;$P$21))</f>
        <v>389.732238</v>
      </c>
      <c r="BP11" s="7">
        <f ca="1">SQRT(((BM11-BM12)^2)+((BN11-BN12)^2))</f>
        <v>0.75003956856545961</v>
      </c>
      <c r="BQ11" s="7" cm="1">
        <f t="array" aca="1" ref="BQ11" ca="1">INDIRECT("'"&amp;BK11&amp;"'!"&amp;$H$5&amp;$P$21)+0.01</f>
        <v>4.19E-2</v>
      </c>
      <c r="BR11" s="23">
        <f ca="1">BO11-BO12</f>
        <v>-0.20933999999999742</v>
      </c>
      <c r="BS11" s="7">
        <f t="shared" ref="BS11" ca="1" si="10">SQRT((BP11^2)+(BR11^2))</f>
        <v>0.77870571464055649</v>
      </c>
      <c r="BT11" s="7">
        <f ca="1">(BS11/(BL11-BL12))*31</f>
        <v>0.12316263854008802</v>
      </c>
      <c r="BU11" s="23">
        <f t="shared" ref="BU11:BU13" ca="1" si="11">BU12+BS11</f>
        <v>3.5546421773123975</v>
      </c>
      <c r="BV11" s="23">
        <f t="shared" ref="BV11:BV20" ca="1" si="12">BV12+BR11</f>
        <v>-0.76130775000001449</v>
      </c>
    </row>
    <row r="12" spans="2:74" x14ac:dyDescent="0.3">
      <c r="B12" s="49" t="s">
        <v>375</v>
      </c>
      <c r="C12" s="46">
        <v>43186</v>
      </c>
      <c r="D12" s="47" cm="1">
        <f t="array" aca="1" ref="D12" ca="1">INDIRECT("'"&amp;$B12&amp;"'!"&amp;(D$5&amp;$K$5))</f>
        <v>1844327.083837</v>
      </c>
      <c r="E12" s="47" cm="1">
        <f t="array" aca="1" ref="E12" ca="1">INDIRECT("'"&amp;$B12&amp;"'!"&amp;(E$5&amp;$K$5))</f>
        <v>5596603.2046760004</v>
      </c>
      <c r="F12" s="47" cm="1">
        <f t="array" aca="1" ref="F12" ca="1">INDIRECT("'"&amp;$B12&amp;"'!"&amp;(F$5&amp;$K$5))</f>
        <v>430.403682</v>
      </c>
      <c r="G12" s="42">
        <f t="shared" ref="G12:G20" ca="1" si="13">SQRT(((D12-D13)^2)+((E12-E13)^2))</f>
        <v>1.6798052337444917E-2</v>
      </c>
      <c r="H12" s="42" cm="1">
        <f t="array" aca="1" ref="H12" ca="1">INDIRECT("'"&amp;B12&amp;"'!"&amp;$H$5&amp;$K$5)+0.01</f>
        <v>3.3222000000000002E-2</v>
      </c>
      <c r="I12" s="47">
        <f t="shared" ref="I12:I20" ca="1" si="14">F12-F13</f>
        <v>-3.7570000000016535E-2</v>
      </c>
      <c r="J12" s="48">
        <f ca="1">SQRT((G12^2)+(I12^2))</f>
        <v>4.1154337102336867E-2</v>
      </c>
      <c r="K12" s="48">
        <f t="shared" ca="1" si="1"/>
        <v>7.6394278453439692E-3</v>
      </c>
      <c r="L12" s="47">
        <f t="shared" ca="1" si="4"/>
        <v>0.44530597044668113</v>
      </c>
      <c r="M12" s="11"/>
      <c r="O12" s="64">
        <f t="shared" ca="1" si="0"/>
        <v>13</v>
      </c>
      <c r="P12" s="65">
        <v>7</v>
      </c>
      <c r="Q12" s="66">
        <v>2</v>
      </c>
      <c r="R12" s="67" t="str" cm="1">
        <f t="array" aca="1" ref="R12" ca="1">IF((INDIRECT("'"&amp;R$8&amp;"'!"&amp;($P$6&amp;$P12)))&gt;0,"DATA","NULL")</f>
        <v>DATA</v>
      </c>
      <c r="S12" s="67" t="str" cm="1">
        <f t="array" aca="1" ref="S12" ca="1">IF((INDIRECT("'"&amp;S$8&amp;"'!"&amp;($P$6&amp;$P12)))&gt;0,"DATA","NULL")</f>
        <v>DATA</v>
      </c>
      <c r="T12" s="67" t="str" cm="1">
        <f t="array" aca="1" ref="T12" ca="1">IF((INDIRECT("'"&amp;T$8&amp;"'!"&amp;($P$6&amp;$P12)))&gt;0,"DATA","NULL")</f>
        <v>DATA</v>
      </c>
      <c r="U12" s="67" t="str" cm="1">
        <f t="array" aca="1" ref="U12" ca="1">IF((INDIRECT("'"&amp;U$8&amp;"'!"&amp;($P$6&amp;$P12)))&gt;0,"DATA","NULL")</f>
        <v>DATA</v>
      </c>
      <c r="V12" s="67" t="str" cm="1">
        <f t="array" aca="1" ref="V12" ca="1">IF((INDIRECT("'"&amp;V$8&amp;"'!"&amp;($P$6&amp;$P12)))&gt;0,"DATA","NULL")</f>
        <v>DATA</v>
      </c>
      <c r="W12" s="67" t="str" cm="1">
        <f t="array" aca="1" ref="W12" ca="1">IF((INDIRECT("'"&amp;W$8&amp;"'!"&amp;($P$6&amp;$P12)))&gt;0,"DATA","NULL")</f>
        <v>DATA</v>
      </c>
      <c r="X12" s="67" t="str" cm="1">
        <f t="array" aca="1" ref="X12" ca="1">IF((INDIRECT("'"&amp;X$8&amp;"'!"&amp;($P$6&amp;$P12)))&gt;0,"DATA","NULL")</f>
        <v>DATA</v>
      </c>
      <c r="Y12" s="67" t="str" cm="1">
        <f t="array" aca="1" ref="Y12" ca="1">IF((INDIRECT("'"&amp;Y$8&amp;"'!"&amp;($P$6&amp;$P12)))&gt;0,"DATA","NULL")</f>
        <v>DATA</v>
      </c>
      <c r="Z12" s="67" t="str" cm="1">
        <f t="array" aca="1" ref="Z12" ca="1">IF((INDIRECT("'"&amp;Z$8&amp;"'!"&amp;($P$6&amp;$P12)))&gt;0,"DATA","NULL")</f>
        <v>DATA</v>
      </c>
      <c r="AA12" s="67" t="str" cm="1">
        <f t="array" aca="1" ref="AA12" ca="1">IF((INDIRECT("'"&amp;AA$8&amp;"'!"&amp;($P$6&amp;$P12)))&gt;0,"DATA","NULL")</f>
        <v>DATA</v>
      </c>
      <c r="AB12" s="67" t="str" cm="1">
        <f t="array" aca="1" ref="AB12" ca="1">IF((INDIRECT("'"&amp;AB$8&amp;"'!"&amp;($P$6&amp;$P12)))&gt;0,"DATA","NULL")</f>
        <v>DATA</v>
      </c>
      <c r="AC12" s="67" t="str" cm="1">
        <f t="array" aca="1" ref="AC12" ca="1">IF((INDIRECT("'"&amp;AC$8&amp;"'!"&amp;($P$6&amp;$P12)))&gt;0,"DATA","NULL")</f>
        <v>DATA</v>
      </c>
      <c r="AD12" s="68" t="str" cm="1">
        <f t="array" aca="1" ref="AD12" ca="1">IF((INDIRECT("'"&amp;AD$8&amp;"'!"&amp;($P$6&amp;$P12)))&gt;0,"DATA","NULL")</f>
        <v>DATA</v>
      </c>
      <c r="AE12" s="31"/>
      <c r="AF12" s="31"/>
      <c r="AG12" s="31"/>
      <c r="AH12" s="31"/>
      <c r="AI12" s="31"/>
      <c r="AJ12" s="31"/>
      <c r="AK12" s="31" t="s">
        <v>375</v>
      </c>
      <c r="AL12" s="41">
        <v>43186</v>
      </c>
      <c r="AM12" s="34" cm="1">
        <f t="array" aca="1" ref="AM12" ca="1">INDIRECT("'"&amp;$B29&amp;"'!"&amp;(D$5&amp;$P$11))</f>
        <v>1844611.252322</v>
      </c>
      <c r="AN12" s="34" cm="1">
        <f t="array" aca="1" ref="AN12" ca="1">INDIRECT("'"&amp;$B29&amp;"'!"&amp;(E$5&amp;$P$11))</f>
        <v>5596719.6546430001</v>
      </c>
      <c r="AO12" s="34" cm="1">
        <f t="array" aca="1" ref="AO12" ca="1">INDIRECT("'"&amp;$B29&amp;"'!"&amp;(F$5&amp;$P$11))</f>
        <v>438.91639500000002</v>
      </c>
      <c r="AP12" s="21">
        <f t="shared" ca="1" si="5"/>
        <v>5.6076412047098512E-2</v>
      </c>
      <c r="AQ12" s="21" cm="1">
        <f t="array" aca="1" ref="AQ12" ca="1">INDIRECT("'"&amp;AK12&amp;"'!"&amp;$H$5&amp;$P$11)+0.01</f>
        <v>3.1878999999999998E-2</v>
      </c>
      <c r="AR12" s="23">
        <f t="shared" ca="1" si="6"/>
        <v>-4.026099999998678E-2</v>
      </c>
      <c r="AS12" s="7">
        <f t="shared" ca="1" si="7"/>
        <v>6.9032688699448105E-2</v>
      </c>
      <c r="AT12" s="7">
        <f t="shared" ca="1" si="2"/>
        <v>0.15087982859460214</v>
      </c>
      <c r="AU12" s="23">
        <f t="shared" ca="1" si="8"/>
        <v>0.43780736045834862</v>
      </c>
      <c r="AV12" s="23">
        <f t="shared" ca="1" si="9"/>
        <v>-0.10315074999999752</v>
      </c>
      <c r="AW12" s="31"/>
      <c r="AX12" s="31"/>
      <c r="BK12" s="22" t="s">
        <v>375</v>
      </c>
      <c r="BL12" s="1">
        <v>43186</v>
      </c>
      <c r="BM12" s="23" cm="1">
        <f t="array" aca="1" ref="BM12" ca="1">INDIRECT("'"&amp;$B29&amp;"'!"&amp;(D$5&amp;$P$21))</f>
        <v>1844394.98704</v>
      </c>
      <c r="BN12" s="23" cm="1">
        <f t="array" aca="1" ref="BN12" ca="1">INDIRECT("'"&amp;$B29&amp;"'!"&amp;(E$5&amp;$P$21))</f>
        <v>5596016.954957</v>
      </c>
      <c r="BO12" s="23" cm="1">
        <f t="array" aca="1" ref="BO12" ca="1">INDIRECT("'"&amp;$B29&amp;"'!"&amp;(F$5&amp;$P$21))</f>
        <v>389.94157799999999</v>
      </c>
      <c r="BP12" s="7">
        <f t="shared" ref="BP12:BP19" ca="1" si="15">SQRT(((BM12-BM13)^2)+((BN12-BN13)^2))</f>
        <v>0.51551892996968562</v>
      </c>
      <c r="BQ12" s="7" cm="1">
        <f t="array" aca="1" ref="BQ12" ca="1">INDIRECT("'"&amp;BK12&amp;"'!"&amp;$H$5&amp;$P$21)+0.01</f>
        <v>5.0751000000000004E-2</v>
      </c>
      <c r="BR12" s="23">
        <f t="shared" ref="BR12:BR19" ca="1" si="16">BO12-BO13</f>
        <v>-4.6452000000044791E-2</v>
      </c>
      <c r="BS12" s="7">
        <f ca="1">SQRT((BP12^2)+(BR12^2))</f>
        <v>0.51760753033654161</v>
      </c>
      <c r="BT12" s="7">
        <f ca="1">(BS12/(BL12-BL13))*31</f>
        <v>9.6082834972651437E-2</v>
      </c>
      <c r="BU12" s="23">
        <f t="shared" ca="1" si="11"/>
        <v>2.775936462671841</v>
      </c>
      <c r="BV12" s="23">
        <f t="shared" ca="1" si="12"/>
        <v>-0.55196775000001708</v>
      </c>
    </row>
    <row r="13" spans="2:74" x14ac:dyDescent="0.3">
      <c r="B13" s="45" t="s">
        <v>374</v>
      </c>
      <c r="C13" s="46">
        <v>43019</v>
      </c>
      <c r="D13" s="47" cm="1">
        <f t="array" aca="1" ref="D13" ca="1">INDIRECT("'"&amp;$B13&amp;"'!"&amp;(D$5&amp;$K$5))</f>
        <v>1844327.0887549999</v>
      </c>
      <c r="E13" s="47" cm="1">
        <f t="array" aca="1" ref="E13" ca="1">INDIRECT("'"&amp;$B13&amp;"'!"&amp;(E$5&amp;$K$5))</f>
        <v>5596603.2207380002</v>
      </c>
      <c r="F13" s="47" cm="1">
        <f t="array" aca="1" ref="F13" ca="1">INDIRECT("'"&amp;$B13&amp;"'!"&amp;(F$5&amp;$K$5))</f>
        <v>430.44125200000002</v>
      </c>
      <c r="G13" s="42">
        <f t="shared" ca="1" si="13"/>
        <v>3.8343684970121035E-2</v>
      </c>
      <c r="H13" s="42" cm="1">
        <f t="array" aca="1" ref="H13" ca="1">INDIRECT("'"&amp;B13&amp;"'!"&amp;$H$5&amp;$K$5)+0.01</f>
        <v>2.4635000000000001E-2</v>
      </c>
      <c r="I13" s="47">
        <f t="shared" ca="1" si="14"/>
        <v>-4.5769000000007054E-2</v>
      </c>
      <c r="J13" s="48">
        <f t="shared" ref="J13:J20" ca="1" si="17">SQRT((G13^2)+(I13^2))</f>
        <v>5.9707952050698676E-2</v>
      </c>
      <c r="K13" s="48">
        <f t="shared" ca="1" si="1"/>
        <v>1.779756263049672E-2</v>
      </c>
      <c r="L13" s="47">
        <f t="shared" ca="1" si="4"/>
        <v>0.40415163334434429</v>
      </c>
      <c r="M13" s="11"/>
      <c r="O13" s="64">
        <f t="shared" ca="1" si="0"/>
        <v>11</v>
      </c>
      <c r="P13" s="65">
        <v>8</v>
      </c>
      <c r="Q13" s="66">
        <v>3</v>
      </c>
      <c r="R13" s="67" t="str" cm="1">
        <f t="array" aca="1" ref="R13" ca="1">IF((INDIRECT("'"&amp;R$8&amp;"'!"&amp;($P$6&amp;$P13)))&gt;0,"DATA","NULL")</f>
        <v>DATA</v>
      </c>
      <c r="S13" s="67" t="str" cm="1">
        <f t="array" aca="1" ref="S13" ca="1">IF((INDIRECT("'"&amp;S$8&amp;"'!"&amp;($P$6&amp;$P13)))&gt;0,"DATA","NULL")</f>
        <v>DATA</v>
      </c>
      <c r="T13" s="67" t="str" cm="1">
        <f t="array" aca="1" ref="T13" ca="1">IF((INDIRECT("'"&amp;T$8&amp;"'!"&amp;($P$6&amp;$P13)))&gt;0,"DATA","NULL")</f>
        <v>NULL</v>
      </c>
      <c r="U13" s="67" t="str" cm="1">
        <f t="array" aca="1" ref="U13" ca="1">IF((INDIRECT("'"&amp;U$8&amp;"'!"&amp;($P$6&amp;$P13)))&gt;0,"DATA","NULL")</f>
        <v>DATA</v>
      </c>
      <c r="V13" s="67" t="str" cm="1">
        <f t="array" aca="1" ref="V13" ca="1">IF((INDIRECT("'"&amp;V$8&amp;"'!"&amp;($P$6&amp;$P13)))&gt;0,"DATA","NULL")</f>
        <v>DATA</v>
      </c>
      <c r="W13" s="67" t="str" cm="1">
        <f t="array" aca="1" ref="W13" ca="1">IF((INDIRECT("'"&amp;W$8&amp;"'!"&amp;($P$6&amp;$P13)))&gt;0,"DATA","NULL")</f>
        <v>DATA</v>
      </c>
      <c r="X13" s="67" t="str" cm="1">
        <f t="array" aca="1" ref="X13" ca="1">IF((INDIRECT("'"&amp;X$8&amp;"'!"&amp;($P$6&amp;$P13)))&gt;0,"DATA","NULL")</f>
        <v>DATA</v>
      </c>
      <c r="Y13" s="67" t="str" cm="1">
        <f t="array" aca="1" ref="Y13" ca="1">IF((INDIRECT("'"&amp;Y$8&amp;"'!"&amp;($P$6&amp;$P13)))&gt;0,"DATA","NULL")</f>
        <v>DATA</v>
      </c>
      <c r="Z13" s="67" t="str" cm="1">
        <f t="array" aca="1" ref="Z13" ca="1">IF((INDIRECT("'"&amp;Z$8&amp;"'!"&amp;($P$6&amp;$P13)))&gt;0,"DATA","NULL")</f>
        <v>DATA</v>
      </c>
      <c r="AA13" s="67" t="str" cm="1">
        <f t="array" aca="1" ref="AA13" ca="1">IF((INDIRECT("'"&amp;AA$8&amp;"'!"&amp;($P$6&amp;$P13)))&gt;0,"DATA","NULL")</f>
        <v>DATA</v>
      </c>
      <c r="AB13" s="67" t="str" cm="1">
        <f t="array" aca="1" ref="AB13" ca="1">IF((INDIRECT("'"&amp;AB$8&amp;"'!"&amp;($P$6&amp;$P13)))&gt;0,"DATA","NULL")</f>
        <v>DATA</v>
      </c>
      <c r="AC13" s="67" t="str" cm="1">
        <f t="array" aca="1" ref="AC13" ca="1">IF((INDIRECT("'"&amp;AC$8&amp;"'!"&amp;($P$6&amp;$P13)))&gt;0,"DATA","NULL")</f>
        <v>DATA</v>
      </c>
      <c r="AD13" s="68" t="str" cm="1">
        <f t="array" aca="1" ref="AD13" ca="1">IF((INDIRECT("'"&amp;AD$8&amp;"'!"&amp;($P$6&amp;$P13)))&gt;0,"DATA","NULL")</f>
        <v>NULL</v>
      </c>
      <c r="AE13" s="31"/>
      <c r="AF13" s="31"/>
      <c r="AG13" s="31"/>
      <c r="AH13" s="31"/>
      <c r="AI13" s="31"/>
      <c r="AJ13" s="31"/>
      <c r="AK13" s="31" t="s">
        <v>374</v>
      </c>
      <c r="AL13" s="41">
        <v>43019</v>
      </c>
      <c r="AM13" s="34" cm="1">
        <f t="array" aca="1" ref="AM13" ca="1">INDIRECT("'"&amp;$B30&amp;"'!"&amp;(D$5&amp;$P$11))</f>
        <v>1844611.294649</v>
      </c>
      <c r="AN13" s="34" cm="1">
        <f t="array" aca="1" ref="AN13" ca="1">INDIRECT("'"&amp;$B30&amp;"'!"&amp;(E$5&amp;$P$11))</f>
        <v>5596719.6914259996</v>
      </c>
      <c r="AO13" s="34" cm="1">
        <f t="array" aca="1" ref="AO13" ca="1">INDIRECT("'"&amp;$B30&amp;"'!"&amp;(F$5&amp;$P$11))</f>
        <v>438.95665600000001</v>
      </c>
      <c r="AP13" s="21">
        <f t="shared" ca="1" si="5"/>
        <v>3.2971406540832533E-2</v>
      </c>
      <c r="AQ13" s="21" cm="1">
        <f t="array" aca="1" ref="AQ13" ca="1">INDIRECT("'"&amp;AK13&amp;"'!"&amp;$H$5&amp;$P$11)+0.01</f>
        <v>2.7402000000000003E-2</v>
      </c>
      <c r="AR13" s="23">
        <f t="shared" ca="1" si="6"/>
        <v>-6.4596999999992022E-2</v>
      </c>
      <c r="AS13" s="7">
        <f t="shared" ca="1" si="7"/>
        <v>7.252507192881523E-2</v>
      </c>
      <c r="AT13" s="7">
        <f t="shared" ca="1" si="2"/>
        <v>0.25453510821170727</v>
      </c>
      <c r="AU13" s="23">
        <f t="shared" ca="1" si="8"/>
        <v>0.3687746717589005</v>
      </c>
      <c r="AV13" s="23">
        <f t="shared" ca="1" si="9"/>
        <v>-6.2889750000010736E-2</v>
      </c>
      <c r="AW13" s="31"/>
      <c r="AX13" s="31"/>
      <c r="BK13" s="3" t="s">
        <v>374</v>
      </c>
      <c r="BL13" s="1">
        <v>43019</v>
      </c>
      <c r="BM13" s="23" cm="1">
        <f t="array" aca="1" ref="BM13" ca="1">INDIRECT("'"&amp;$B30&amp;"'!"&amp;(D$5&amp;$P$21))</f>
        <v>1844394.9303369999</v>
      </c>
      <c r="BN13" s="23" cm="1">
        <f t="array" aca="1" ref="BN13" ca="1">INDIRECT("'"&amp;$B30&amp;"'!"&amp;(E$5&amp;$P$21))</f>
        <v>5596017.467348</v>
      </c>
      <c r="BO13" s="23" cm="1">
        <f t="array" aca="1" ref="BO13" ca="1">INDIRECT("'"&amp;$B30&amp;"'!"&amp;(F$5&amp;$P$21))</f>
        <v>389.98803000000004</v>
      </c>
      <c r="BP13" s="7">
        <f t="shared" ca="1" si="15"/>
        <v>0.50442791241821416</v>
      </c>
      <c r="BQ13" s="7" cm="1">
        <f t="array" aca="1" ref="BQ13" ca="1">INDIRECT("'"&amp;BK13&amp;"'!"&amp;$H$5&amp;$P$21)+0.01</f>
        <v>3.8013999999999999E-2</v>
      </c>
      <c r="BR13" s="23">
        <f t="shared" ca="1" si="16"/>
        <v>-0.17574699999994436</v>
      </c>
      <c r="BS13" s="7">
        <f t="shared" ref="BS13:BS20" ca="1" si="18">SQRT((BP13^2)+(BR13^2))</f>
        <v>0.53416713380324887</v>
      </c>
      <c r="BT13" s="7">
        <f ca="1">(BS13/(BL13-BL14))*31</f>
        <v>0.15922289565289147</v>
      </c>
      <c r="BU13" s="23">
        <f t="shared" ca="1" si="11"/>
        <v>2.2583289323352993</v>
      </c>
      <c r="BV13" s="23">
        <f t="shared" ca="1" si="12"/>
        <v>-0.50551574999997229</v>
      </c>
    </row>
    <row r="14" spans="2:74" x14ac:dyDescent="0.3">
      <c r="B14" s="45" t="s">
        <v>376</v>
      </c>
      <c r="C14" s="46">
        <v>42915</v>
      </c>
      <c r="D14" s="47" cm="1">
        <f t="array" aca="1" ref="D14" ca="1">INDIRECT("'"&amp;$B14&amp;"'!"&amp;(D$5&amp;$K$5))</f>
        <v>1844327.105854</v>
      </c>
      <c r="E14" s="47" cm="1">
        <f t="array" aca="1" ref="E14" ca="1">INDIRECT("'"&amp;$B14&amp;"'!"&amp;(E$5&amp;$K$5))</f>
        <v>5596603.2550579999</v>
      </c>
      <c r="F14" s="47" cm="1">
        <f t="array" aca="1" ref="F14" ca="1">INDIRECT("'"&amp;$B14&amp;"'!"&amp;(F$5&amp;$K$5))</f>
        <v>430.48702100000003</v>
      </c>
      <c r="G14" s="42">
        <f t="shared" ca="1" si="13"/>
        <v>4.5022763704009296E-2</v>
      </c>
      <c r="H14" s="42" cm="1">
        <f t="array" aca="1" ref="H14" ca="1">INDIRECT("'"&amp;B14&amp;"'!"&amp;$H$5&amp;$K$5)+0.01</f>
        <v>5.3945E-2</v>
      </c>
      <c r="I14" s="47">
        <f t="shared" ca="1" si="14"/>
        <v>4.1283000000021275E-2</v>
      </c>
      <c r="J14" s="48">
        <f t="shared" ca="1" si="17"/>
        <v>6.1084657161588569E-2</v>
      </c>
      <c r="K14" s="48">
        <f t="shared" ca="1" si="1"/>
        <v>1.8748756158507383E-2</v>
      </c>
      <c r="L14" s="47">
        <f ca="1">L15+J14</f>
        <v>0.34444368129364561</v>
      </c>
      <c r="M14" s="11"/>
      <c r="O14" s="64">
        <f t="shared" ca="1" si="0"/>
        <v>13</v>
      </c>
      <c r="P14" s="65">
        <v>9</v>
      </c>
      <c r="Q14" s="66">
        <v>4</v>
      </c>
      <c r="R14" s="67" t="str" cm="1">
        <f t="array" aca="1" ref="R14" ca="1">IF((INDIRECT("'"&amp;R$8&amp;"'!"&amp;($P$6&amp;$P14)))&gt;0,"DATA","NULL")</f>
        <v>DATA</v>
      </c>
      <c r="S14" s="67" t="str" cm="1">
        <f t="array" aca="1" ref="S14" ca="1">IF((INDIRECT("'"&amp;S$8&amp;"'!"&amp;($P$6&amp;$P14)))&gt;0,"DATA","NULL")</f>
        <v>DATA</v>
      </c>
      <c r="T14" s="67" t="str" cm="1">
        <f t="array" aca="1" ref="T14" ca="1">IF((INDIRECT("'"&amp;T$8&amp;"'!"&amp;($P$6&amp;$P14)))&gt;0,"DATA","NULL")</f>
        <v>DATA</v>
      </c>
      <c r="U14" s="67" t="str" cm="1">
        <f t="array" aca="1" ref="U14" ca="1">IF((INDIRECT("'"&amp;U$8&amp;"'!"&amp;($P$6&amp;$P14)))&gt;0,"DATA","NULL")</f>
        <v>DATA</v>
      </c>
      <c r="V14" s="67" t="str" cm="1">
        <f t="array" aca="1" ref="V14" ca="1">IF((INDIRECT("'"&amp;V$8&amp;"'!"&amp;($P$6&amp;$P14)))&gt;0,"DATA","NULL")</f>
        <v>DATA</v>
      </c>
      <c r="W14" s="67" t="str" cm="1">
        <f t="array" aca="1" ref="W14" ca="1">IF((INDIRECT("'"&amp;W$8&amp;"'!"&amp;($P$6&amp;$P14)))&gt;0,"DATA","NULL")</f>
        <v>DATA</v>
      </c>
      <c r="X14" s="67" t="str" cm="1">
        <f t="array" aca="1" ref="X14" ca="1">IF((INDIRECT("'"&amp;X$8&amp;"'!"&amp;($P$6&amp;$P14)))&gt;0,"DATA","NULL")</f>
        <v>DATA</v>
      </c>
      <c r="Y14" s="67" t="str" cm="1">
        <f t="array" aca="1" ref="Y14" ca="1">IF((INDIRECT("'"&amp;Y$8&amp;"'!"&amp;($P$6&amp;$P14)))&gt;0,"DATA","NULL")</f>
        <v>DATA</v>
      </c>
      <c r="Z14" s="67" t="str" cm="1">
        <f t="array" aca="1" ref="Z14" ca="1">IF((INDIRECT("'"&amp;Z$8&amp;"'!"&amp;($P$6&amp;$P14)))&gt;0,"DATA","NULL")</f>
        <v>DATA</v>
      </c>
      <c r="AA14" s="67" t="str" cm="1">
        <f t="array" aca="1" ref="AA14" ca="1">IF((INDIRECT("'"&amp;AA$8&amp;"'!"&amp;($P$6&amp;$P14)))&gt;0,"DATA","NULL")</f>
        <v>DATA</v>
      </c>
      <c r="AB14" s="67" t="str" cm="1">
        <f t="array" aca="1" ref="AB14" ca="1">IF((INDIRECT("'"&amp;AB$8&amp;"'!"&amp;($P$6&amp;$P14)))&gt;0,"DATA","NULL")</f>
        <v>DATA</v>
      </c>
      <c r="AC14" s="67" t="str" cm="1">
        <f t="array" aca="1" ref="AC14" ca="1">IF((INDIRECT("'"&amp;AC$8&amp;"'!"&amp;($P$6&amp;$P14)))&gt;0,"DATA","NULL")</f>
        <v>DATA</v>
      </c>
      <c r="AD14" s="68" t="str" cm="1">
        <f t="array" aca="1" ref="AD14" ca="1">IF((INDIRECT("'"&amp;AD$8&amp;"'!"&amp;($P$6&amp;$P14)))&gt;0,"DATA","NULL")</f>
        <v>DATA</v>
      </c>
      <c r="AE14" s="31"/>
      <c r="AF14" s="31"/>
      <c r="AG14" s="31"/>
      <c r="AH14" s="31"/>
      <c r="AI14" s="31"/>
      <c r="AJ14" s="31"/>
      <c r="AK14" s="31" t="s">
        <v>376</v>
      </c>
      <c r="AL14" s="41">
        <v>42915</v>
      </c>
      <c r="AM14" s="34" cm="1">
        <f t="array" aca="1" ref="AM14" ca="1">INDIRECT("'"&amp;$B31&amp;"'!"&amp;(D$5&amp;$P$11))</f>
        <v>1844611.305807</v>
      </c>
      <c r="AN14" s="34" cm="1">
        <f t="array" aca="1" ref="AN14" ca="1">INDIRECT("'"&amp;$B31&amp;"'!"&amp;(E$5&amp;$P$11))</f>
        <v>5596719.7224519998</v>
      </c>
      <c r="AO14" s="34" cm="1">
        <f t="array" aca="1" ref="AO14" ca="1">INDIRECT("'"&amp;$B31&amp;"'!"&amp;(F$5&amp;$P$11))</f>
        <v>439.021253</v>
      </c>
      <c r="AP14" s="21">
        <f t="shared" ca="1" si="5"/>
        <v>1.9455676943815427E-2</v>
      </c>
      <c r="AQ14" s="21" cm="1">
        <f t="array" aca="1" ref="AQ14" ca="1">INDIRECT("'"&amp;AK14&amp;"'!"&amp;$H$5&amp;$P$11)+0.01</f>
        <v>3.4049999999999997E-2</v>
      </c>
      <c r="AR14" s="23">
        <f t="shared" ca="1" si="6"/>
        <v>4.4392000000016196E-2</v>
      </c>
      <c r="AS14" s="7">
        <f t="shared" ca="1" si="7"/>
        <v>4.8468268272587885E-2</v>
      </c>
      <c r="AT14" s="7">
        <f t="shared" ca="1" si="2"/>
        <v>0.17515760316331266</v>
      </c>
      <c r="AU14" s="23">
        <f t="shared" ca="1" si="8"/>
        <v>0.29624959983008525</v>
      </c>
      <c r="AV14" s="23">
        <f t="shared" ca="1" si="9"/>
        <v>1.7072499999812862E-3</v>
      </c>
      <c r="AW14" s="31"/>
      <c r="AX14" s="31"/>
      <c r="BK14" s="3" t="s">
        <v>376</v>
      </c>
      <c r="BL14" s="1">
        <v>42915</v>
      </c>
      <c r="BM14" s="23" cm="1">
        <f t="array" aca="1" ref="BM14" ca="1">INDIRECT("'"&amp;$B31&amp;"'!"&amp;(D$5&amp;$P$21))</f>
        <v>1844394.842007</v>
      </c>
      <c r="BN14" s="23" cm="1">
        <f t="array" aca="1" ref="BN14" ca="1">INDIRECT("'"&amp;$B31&amp;"'!"&amp;(E$5&amp;$P$21))</f>
        <v>5596017.963982</v>
      </c>
      <c r="BO14" s="23" cm="1">
        <f t="array" aca="1" ref="BO14" ca="1">INDIRECT("'"&amp;$B31&amp;"'!"&amp;(F$5&amp;$P$21))</f>
        <v>390.16377699999998</v>
      </c>
      <c r="BP14" s="7">
        <f t="shared" ca="1" si="15"/>
        <v>0.28251417595216588</v>
      </c>
      <c r="BQ14" s="7" cm="1">
        <f t="array" aca="1" ref="BQ14" ca="1">INDIRECT("'"&amp;BK14&amp;"'!"&amp;$H$5&amp;$P$21)+0.01</f>
        <v>4.0737000000000002E-2</v>
      </c>
      <c r="BR14" s="23">
        <f t="shared" ca="1" si="16"/>
        <v>5.281999999965592E-3</v>
      </c>
      <c r="BS14" s="7">
        <f t="shared" ca="1" si="18"/>
        <v>0.282563548848628</v>
      </c>
      <c r="BT14" s="7">
        <f ca="1">(BS14/(BL14-BL15))*31</f>
        <v>8.6727425884232351E-2</v>
      </c>
      <c r="BU14" s="23">
        <f ca="1">BU15+BS14</f>
        <v>1.7241617985320503</v>
      </c>
      <c r="BV14" s="23">
        <f t="shared" ca="1" si="12"/>
        <v>-0.32976875000002792</v>
      </c>
    </row>
    <row r="15" spans="2:74" x14ac:dyDescent="0.3">
      <c r="B15" s="45" t="s">
        <v>377</v>
      </c>
      <c r="C15" s="46">
        <v>42814</v>
      </c>
      <c r="D15" s="47" cm="1">
        <f t="array" aca="1" ref="D15" ca="1">INDIRECT("'"&amp;$B15&amp;"'!"&amp;(D$5&amp;$K$5))</f>
        <v>1844327.1392049999</v>
      </c>
      <c r="E15" s="47" cm="1">
        <f t="array" aca="1" ref="E15" ca="1">INDIRECT("'"&amp;$B15&amp;"'!"&amp;(E$5&amp;$K$5))</f>
        <v>5596603.2853030004</v>
      </c>
      <c r="F15" s="47" cm="1">
        <f t="array" aca="1" ref="F15" ca="1">INDIRECT("'"&amp;$B15&amp;"'!"&amp;(F$5&amp;$K$5))</f>
        <v>430.44573800000001</v>
      </c>
      <c r="G15" s="42">
        <f t="shared" ca="1" si="13"/>
        <v>2.6058708769006567E-2</v>
      </c>
      <c r="H15" s="42" cm="1">
        <f t="array" aca="1" ref="H15" ca="1">INDIRECT("'"&amp;B15&amp;"'!"&amp;$H$5&amp;$K$5)+0.01</f>
        <v>4.2608E-2</v>
      </c>
      <c r="I15" s="47">
        <f t="shared" ca="1" si="14"/>
        <v>5.3900000000339787E-3</v>
      </c>
      <c r="J15" s="48">
        <f t="shared" ca="1" si="17"/>
        <v>2.6610306324961124E-2</v>
      </c>
      <c r="K15" s="48">
        <f t="shared" ca="1" si="1"/>
        <v>8.5929114174353623E-3</v>
      </c>
      <c r="L15" s="47">
        <f t="shared" ref="L15:L22" ca="1" si="19">L16+J15</f>
        <v>0.28335902413205705</v>
      </c>
      <c r="M15" s="11"/>
      <c r="O15" s="64">
        <f t="shared" ca="1" si="0"/>
        <v>13</v>
      </c>
      <c r="P15" s="65">
        <v>10</v>
      </c>
      <c r="Q15" s="66">
        <v>5</v>
      </c>
      <c r="R15" s="67" t="str" cm="1">
        <f t="array" aca="1" ref="R15" ca="1">IF((INDIRECT("'"&amp;R$8&amp;"'!"&amp;($P$6&amp;$P15)))&gt;0,"DATA","NULL")</f>
        <v>DATA</v>
      </c>
      <c r="S15" s="67" t="str" cm="1">
        <f t="array" aca="1" ref="S15" ca="1">IF((INDIRECT("'"&amp;S$8&amp;"'!"&amp;($P$6&amp;$P15)))&gt;0,"DATA","NULL")</f>
        <v>DATA</v>
      </c>
      <c r="T15" s="67" t="str" cm="1">
        <f t="array" aca="1" ref="T15" ca="1">IF((INDIRECT("'"&amp;T$8&amp;"'!"&amp;($P$6&amp;$P15)))&gt;0,"DATA","NULL")</f>
        <v>DATA</v>
      </c>
      <c r="U15" s="67" t="str" cm="1">
        <f t="array" aca="1" ref="U15" ca="1">IF((INDIRECT("'"&amp;U$8&amp;"'!"&amp;($P$6&amp;$P15)))&gt;0,"DATA","NULL")</f>
        <v>DATA</v>
      </c>
      <c r="V15" s="67" t="str" cm="1">
        <f t="array" aca="1" ref="V15" ca="1">IF((INDIRECT("'"&amp;V$8&amp;"'!"&amp;($P$6&amp;$P15)))&gt;0,"DATA","NULL")</f>
        <v>DATA</v>
      </c>
      <c r="W15" s="67" t="str" cm="1">
        <f t="array" aca="1" ref="W15" ca="1">IF((INDIRECT("'"&amp;W$8&amp;"'!"&amp;($P$6&amp;$P15)))&gt;0,"DATA","NULL")</f>
        <v>DATA</v>
      </c>
      <c r="X15" s="67" t="str" cm="1">
        <f t="array" aca="1" ref="X15" ca="1">IF((INDIRECT("'"&amp;X$8&amp;"'!"&amp;($P$6&amp;$P15)))&gt;0,"DATA","NULL")</f>
        <v>DATA</v>
      </c>
      <c r="Y15" s="67" t="str" cm="1">
        <f t="array" aca="1" ref="Y15" ca="1">IF((INDIRECT("'"&amp;Y$8&amp;"'!"&amp;($P$6&amp;$P15)))&gt;0,"DATA","NULL")</f>
        <v>DATA</v>
      </c>
      <c r="Z15" s="67" t="str" cm="1">
        <f t="array" aca="1" ref="Z15" ca="1">IF((INDIRECT("'"&amp;Z$8&amp;"'!"&amp;($P$6&amp;$P15)))&gt;0,"DATA","NULL")</f>
        <v>DATA</v>
      </c>
      <c r="AA15" s="67" t="str" cm="1">
        <f t="array" aca="1" ref="AA15" ca="1">IF((INDIRECT("'"&amp;AA$8&amp;"'!"&amp;($P$6&amp;$P15)))&gt;0,"DATA","NULL")</f>
        <v>DATA</v>
      </c>
      <c r="AB15" s="67" t="str" cm="1">
        <f t="array" aca="1" ref="AB15" ca="1">IF((INDIRECT("'"&amp;AB$8&amp;"'!"&amp;($P$6&amp;$P15)))&gt;0,"DATA","NULL")</f>
        <v>DATA</v>
      </c>
      <c r="AC15" s="67" t="str" cm="1">
        <f t="array" aca="1" ref="AC15" ca="1">IF((INDIRECT("'"&amp;AC$8&amp;"'!"&amp;($P$6&amp;$P15)))&gt;0,"DATA","NULL")</f>
        <v>DATA</v>
      </c>
      <c r="AD15" s="68" t="str" cm="1">
        <f t="array" aca="1" ref="AD15" ca="1">IF((INDIRECT("'"&amp;AD$8&amp;"'!"&amp;($P$6&amp;$P15)))&gt;0,"DATA","NULL")</f>
        <v>DATA</v>
      </c>
      <c r="AE15" s="31"/>
      <c r="AF15" s="31"/>
      <c r="AG15" s="31"/>
      <c r="AH15" s="31"/>
      <c r="AI15" s="31"/>
      <c r="AJ15" s="31"/>
      <c r="AK15" s="31" t="s">
        <v>377</v>
      </c>
      <c r="AL15" s="41">
        <v>42814</v>
      </c>
      <c r="AM15" s="34" cm="1">
        <f t="array" aca="1" ref="AM15" ca="1">INDIRECT("'"&amp;$B32&amp;"'!"&amp;(D$5&amp;$P$11))</f>
        <v>1844611.3216289999</v>
      </c>
      <c r="AN15" s="34" cm="1">
        <f t="array" aca="1" ref="AN15" ca="1">INDIRECT("'"&amp;$B32&amp;"'!"&amp;(E$5&amp;$P$11))</f>
        <v>5596719.7337739998</v>
      </c>
      <c r="AO15" s="34" cm="1">
        <f t="array" aca="1" ref="AO15" ca="1">INDIRECT("'"&amp;$B32&amp;"'!"&amp;(F$5&amp;$P$11))</f>
        <v>438.97686099999999</v>
      </c>
      <c r="AP15" s="21">
        <f t="shared" ca="1" si="5"/>
        <v>2.474958157499418E-2</v>
      </c>
      <c r="AQ15" s="21" cm="1">
        <f t="array" aca="1" ref="AQ15" ca="1">INDIRECT("'"&amp;AK15&amp;"'!"&amp;$H$5&amp;$P$11)+0.01</f>
        <v>3.3175999999999997E-2</v>
      </c>
      <c r="AR15" s="23">
        <f t="shared" ca="1" si="6"/>
        <v>9.7829999999703432E-3</v>
      </c>
      <c r="AS15" s="7">
        <f t="shared" ca="1" si="7"/>
        <v>2.6612945668165168E-2</v>
      </c>
      <c r="AT15" s="7">
        <f t="shared" ca="1" si="2"/>
        <v>0.10118463717583631</v>
      </c>
      <c r="AU15" s="23">
        <f t="shared" ca="1" si="8"/>
        <v>0.24778133155749735</v>
      </c>
      <c r="AV15" s="23">
        <f t="shared" ca="1" si="9"/>
        <v>-4.268475000003491E-2</v>
      </c>
      <c r="AW15" s="31"/>
      <c r="AX15" s="31"/>
      <c r="BK15" s="3" t="s">
        <v>377</v>
      </c>
      <c r="BL15" s="1">
        <v>42814</v>
      </c>
      <c r="BM15" s="23" cm="1">
        <f t="array" aca="1" ref="BM15" ca="1">INDIRECT("'"&amp;$B32&amp;"'!"&amp;(D$5&amp;$P$21))</f>
        <v>1844394.797055</v>
      </c>
      <c r="BN15" s="23" cm="1">
        <f t="array" aca="1" ref="BN15" ca="1">INDIRECT("'"&amp;$B32&amp;"'!"&amp;(E$5&amp;$P$21))</f>
        <v>5596018.2428970002</v>
      </c>
      <c r="BO15" s="23" cm="1">
        <f t="array" aca="1" ref="BO15" ca="1">INDIRECT("'"&amp;$B32&amp;"'!"&amp;(F$5&amp;$P$21))</f>
        <v>390.15849500000002</v>
      </c>
      <c r="BP15" s="7">
        <f ca="1">SQRT(((BM15-BM17)^2)+((BN15-BN17)^2))</f>
        <v>0.26324604851555278</v>
      </c>
      <c r="BQ15" s="7" cm="1">
        <f t="array" aca="1" ref="BQ15" ca="1">INDIRECT("'"&amp;BK15&amp;"'!"&amp;$H$5&amp;$P$21)+0.01</f>
        <v>4.2842000000000005E-2</v>
      </c>
      <c r="BR15" s="23">
        <f ca="1">BO15-BO17</f>
        <v>-3.5099999999999909E-2</v>
      </c>
      <c r="BS15" s="7">
        <f t="shared" ca="1" si="18"/>
        <v>0.26557577460877857</v>
      </c>
      <c r="BT15" s="7">
        <f ca="1">(BS15/(BL15-BL17))*31</f>
        <v>5.5627358195082001E-2</v>
      </c>
      <c r="BU15" s="23">
        <f ca="1">BU17+BS15</f>
        <v>1.4415982496834223</v>
      </c>
      <c r="BV15" s="23">
        <f ca="1">BV17+BR15</f>
        <v>-0.33505074999999351</v>
      </c>
    </row>
    <row r="16" spans="2:74" x14ac:dyDescent="0.3">
      <c r="B16" s="45" t="s">
        <v>378</v>
      </c>
      <c r="C16" s="46">
        <v>42718</v>
      </c>
      <c r="D16" s="47" cm="1">
        <f t="array" aca="1" ref="D16" ca="1">INDIRECT("'"&amp;$B16&amp;"'!"&amp;(D$5&amp;$K$5))</f>
        <v>1844327.1181910001</v>
      </c>
      <c r="E16" s="47" cm="1">
        <f t="array" aca="1" ref="E16" ca="1">INDIRECT("'"&amp;$B16&amp;"'!"&amp;(E$5&amp;$K$5))</f>
        <v>5596603.2698929999</v>
      </c>
      <c r="F16" s="47" cm="1">
        <f t="array" aca="1" ref="F16" ca="1">INDIRECT("'"&amp;$B16&amp;"'!"&amp;(F$5&amp;$K$5))</f>
        <v>430.44034799999997</v>
      </c>
      <c r="G16" s="42">
        <f t="shared" ca="1" si="13"/>
        <v>3.603787156548053E-2</v>
      </c>
      <c r="H16" s="42" cm="1">
        <f t="array" aca="1" ref="H16" ca="1">INDIRECT("'"&amp;B16&amp;"'!"&amp;$H$5&amp;$K$5)+0.01</f>
        <v>2.4668000000000002E-2</v>
      </c>
      <c r="I16" s="47">
        <f t="shared" ca="1" si="14"/>
        <v>-8.0810000000610671E-3</v>
      </c>
      <c r="J16" s="48">
        <f t="shared" ca="1" si="17"/>
        <v>3.6932786896889558E-2</v>
      </c>
      <c r="K16" s="48">
        <f t="shared" ca="1" si="1"/>
        <v>2.2017622957761083E-2</v>
      </c>
      <c r="L16" s="47">
        <f t="shared" ca="1" si="19"/>
        <v>0.25674871780709591</v>
      </c>
      <c r="M16" s="11"/>
      <c r="O16" s="64">
        <f t="shared" ca="1" si="0"/>
        <v>13</v>
      </c>
      <c r="P16" s="65">
        <v>11</v>
      </c>
      <c r="Q16" s="66">
        <v>6</v>
      </c>
      <c r="R16" s="67" t="str" cm="1">
        <f t="array" aca="1" ref="R16" ca="1">IF((INDIRECT("'"&amp;R$8&amp;"'!"&amp;($P$6&amp;$P16)))&gt;0,"DATA","NULL")</f>
        <v>DATA</v>
      </c>
      <c r="S16" s="67" t="str" cm="1">
        <f t="array" aca="1" ref="S16" ca="1">IF((INDIRECT("'"&amp;S$8&amp;"'!"&amp;($P$6&amp;$P16)))&gt;0,"DATA","NULL")</f>
        <v>DATA</v>
      </c>
      <c r="T16" s="67" t="str" cm="1">
        <f t="array" aca="1" ref="T16" ca="1">IF((INDIRECT("'"&amp;T$8&amp;"'!"&amp;($P$6&amp;$P16)))&gt;0,"DATA","NULL")</f>
        <v>DATA</v>
      </c>
      <c r="U16" s="67" t="str" cm="1">
        <f t="array" aca="1" ref="U16" ca="1">IF((INDIRECT("'"&amp;U$8&amp;"'!"&amp;($P$6&amp;$P16)))&gt;0,"DATA","NULL")</f>
        <v>DATA</v>
      </c>
      <c r="V16" s="67" t="str" cm="1">
        <f t="array" aca="1" ref="V16" ca="1">IF((INDIRECT("'"&amp;V$8&amp;"'!"&amp;($P$6&amp;$P16)))&gt;0,"DATA","NULL")</f>
        <v>DATA</v>
      </c>
      <c r="W16" s="67" t="str" cm="1">
        <f t="array" aca="1" ref="W16" ca="1">IF((INDIRECT("'"&amp;W$8&amp;"'!"&amp;($P$6&amp;$P16)))&gt;0,"DATA","NULL")</f>
        <v>DATA</v>
      </c>
      <c r="X16" s="67" t="str" cm="1">
        <f t="array" aca="1" ref="X16" ca="1">IF((INDIRECT("'"&amp;X$8&amp;"'!"&amp;($P$6&amp;$P16)))&gt;0,"DATA","NULL")</f>
        <v>DATA</v>
      </c>
      <c r="Y16" s="67" t="str" cm="1">
        <f t="array" aca="1" ref="Y16" ca="1">IF((INDIRECT("'"&amp;Y$8&amp;"'!"&amp;($P$6&amp;$P16)))&gt;0,"DATA","NULL")</f>
        <v>DATA</v>
      </c>
      <c r="Z16" s="67" t="str" cm="1">
        <f t="array" aca="1" ref="Z16" ca="1">IF((INDIRECT("'"&amp;Z$8&amp;"'!"&amp;($P$6&amp;$P16)))&gt;0,"DATA","NULL")</f>
        <v>DATA</v>
      </c>
      <c r="AA16" s="67" t="str" cm="1">
        <f t="array" aca="1" ref="AA16" ca="1">IF((INDIRECT("'"&amp;AA$8&amp;"'!"&amp;($P$6&amp;$P16)))&gt;0,"DATA","NULL")</f>
        <v>DATA</v>
      </c>
      <c r="AB16" s="67" t="str" cm="1">
        <f t="array" aca="1" ref="AB16" ca="1">IF((INDIRECT("'"&amp;AB$8&amp;"'!"&amp;($P$6&amp;$P16)))&gt;0,"DATA","NULL")</f>
        <v>DATA</v>
      </c>
      <c r="AC16" s="67" t="str" cm="1">
        <f t="array" aca="1" ref="AC16" ca="1">IF((INDIRECT("'"&amp;AC$8&amp;"'!"&amp;($P$6&amp;$P16)))&gt;0,"DATA","NULL")</f>
        <v>DATA</v>
      </c>
      <c r="AD16" s="68" t="str" cm="1">
        <f t="array" aca="1" ref="AD16" ca="1">IF((INDIRECT("'"&amp;AD$8&amp;"'!"&amp;($P$6&amp;$P16)))&gt;0,"DATA","NULL")</f>
        <v>DATA</v>
      </c>
      <c r="AE16" s="31"/>
      <c r="AF16" s="31"/>
      <c r="AG16" s="31"/>
      <c r="AH16" s="31"/>
      <c r="AI16" s="31"/>
      <c r="AJ16" s="31"/>
      <c r="AK16" s="31" t="s">
        <v>378</v>
      </c>
      <c r="AL16" s="41">
        <v>42718</v>
      </c>
      <c r="AM16" s="34" cm="1">
        <f t="array" aca="1" ref="AM16" ca="1">INDIRECT("'"&amp;$B33&amp;"'!"&amp;(D$5&amp;$P$11))</f>
        <v>1844611.3049069999</v>
      </c>
      <c r="AN16" s="34" cm="1">
        <f t="array" aca="1" ref="AN16" ca="1">INDIRECT("'"&amp;$B33&amp;"'!"&amp;(E$5&amp;$P$11))</f>
        <v>5596719.7520199995</v>
      </c>
      <c r="AO16" s="34" cm="1">
        <f t="array" aca="1" ref="AO16" ca="1">INDIRECT("'"&amp;$B33&amp;"'!"&amp;(F$5&amp;$P$11))</f>
        <v>438.96707800000001</v>
      </c>
      <c r="AP16" s="21">
        <f t="shared" ca="1" si="5"/>
        <v>4.2207991845013261E-2</v>
      </c>
      <c r="AQ16" s="21" cm="1">
        <f t="array" aca="1" ref="AQ16" ca="1">INDIRECT("'"&amp;AK16&amp;"'!"&amp;$H$5&amp;$P$11)+0.01</f>
        <v>3.3257000000000002E-2</v>
      </c>
      <c r="AR16" s="23">
        <f t="shared" ca="1" si="6"/>
        <v>-1.5408999999976913E-2</v>
      </c>
      <c r="AS16" s="7">
        <f t="shared" ca="1" si="7"/>
        <v>4.4932748153078669E-2</v>
      </c>
      <c r="AT16" s="7">
        <f t="shared" ca="1" si="2"/>
        <v>0.31539332838218681</v>
      </c>
      <c r="AU16" s="23">
        <f t="shared" ca="1" si="8"/>
        <v>0.22116838588933219</v>
      </c>
      <c r="AV16" s="23">
        <f t="shared" ca="1" si="9"/>
        <v>-5.2467750000005253E-2</v>
      </c>
      <c r="AW16" s="31"/>
      <c r="AX16" s="31"/>
      <c r="BK16" s="3" t="s">
        <v>378</v>
      </c>
      <c r="BL16" s="1"/>
      <c r="BM16" s="23"/>
      <c r="BN16" s="23"/>
      <c r="BO16" s="23"/>
      <c r="BP16" s="7"/>
      <c r="BR16" s="23"/>
      <c r="BS16" s="7"/>
      <c r="BT16" s="7"/>
      <c r="BU16" s="23"/>
      <c r="BV16" s="23"/>
    </row>
    <row r="17" spans="2:74" x14ac:dyDescent="0.3">
      <c r="B17" s="45" t="s">
        <v>379</v>
      </c>
      <c r="C17" s="46">
        <v>42666</v>
      </c>
      <c r="D17" s="47" cm="1">
        <f t="array" aca="1" ref="D17" ca="1">INDIRECT("'"&amp;$B17&amp;"'!"&amp;(D$5&amp;$K$5))</f>
        <v>1844327.1347040001</v>
      </c>
      <c r="E17" s="47" cm="1">
        <f t="array" aca="1" ref="E17" ca="1">INDIRECT("'"&amp;$B17&amp;"'!"&amp;(E$5&amp;$K$5))</f>
        <v>5596603.3019249998</v>
      </c>
      <c r="F17" s="47" cm="1">
        <f t="array" aca="1" ref="F17" ca="1">INDIRECT("'"&amp;$B17&amp;"'!"&amp;(F$5&amp;$K$5))</f>
        <v>430.44842900000003</v>
      </c>
      <c r="G17" s="42">
        <f t="shared" ca="1" si="13"/>
        <v>3.8765555143189981E-2</v>
      </c>
      <c r="H17" s="42" cm="1">
        <f t="array" aca="1" ref="H17" ca="1">INDIRECT("'"&amp;B17&amp;"'!"&amp;$H$5&amp;$K$5)+0.01</f>
        <v>4.0056000000000001E-2</v>
      </c>
      <c r="I17" s="47">
        <f t="shared" ca="1" si="14"/>
        <v>-1.5265999999996893E-2</v>
      </c>
      <c r="J17" s="48">
        <f t="shared" ca="1" si="17"/>
        <v>4.1663161444609652E-2</v>
      </c>
      <c r="K17" s="48">
        <f t="shared" ca="1" si="1"/>
        <v>1.2418826969066338E-2</v>
      </c>
      <c r="L17" s="47">
        <f t="shared" ca="1" si="19"/>
        <v>0.21981593091020635</v>
      </c>
      <c r="M17" s="11"/>
      <c r="O17" s="64">
        <f t="shared" ca="1" si="0"/>
        <v>13</v>
      </c>
      <c r="P17" s="65">
        <v>12</v>
      </c>
      <c r="Q17" s="66">
        <v>7</v>
      </c>
      <c r="R17" s="67" t="str" cm="1">
        <f t="array" aca="1" ref="R17" ca="1">IF((INDIRECT("'"&amp;R$8&amp;"'!"&amp;($P$6&amp;$P17)))&gt;0,"DATA","NULL")</f>
        <v>DATA</v>
      </c>
      <c r="S17" s="67" t="str" cm="1">
        <f t="array" aca="1" ref="S17" ca="1">IF((INDIRECT("'"&amp;S$8&amp;"'!"&amp;($P$6&amp;$P17)))&gt;0,"DATA","NULL")</f>
        <v>DATA</v>
      </c>
      <c r="T17" s="67" t="str" cm="1">
        <f t="array" aca="1" ref="T17" ca="1">IF((INDIRECT("'"&amp;T$8&amp;"'!"&amp;($P$6&amp;$P17)))&gt;0,"DATA","NULL")</f>
        <v>DATA</v>
      </c>
      <c r="U17" s="67" t="str" cm="1">
        <f t="array" aca="1" ref="U17" ca="1">IF((INDIRECT("'"&amp;U$8&amp;"'!"&amp;($P$6&amp;$P17)))&gt;0,"DATA","NULL")</f>
        <v>DATA</v>
      </c>
      <c r="V17" s="67" t="str" cm="1">
        <f t="array" aca="1" ref="V17" ca="1">IF((INDIRECT("'"&amp;V$8&amp;"'!"&amp;($P$6&amp;$P17)))&gt;0,"DATA","NULL")</f>
        <v>DATA</v>
      </c>
      <c r="W17" s="67" t="str" cm="1">
        <f t="array" aca="1" ref="W17" ca="1">IF((INDIRECT("'"&amp;W$8&amp;"'!"&amp;($P$6&amp;$P17)))&gt;0,"DATA","NULL")</f>
        <v>DATA</v>
      </c>
      <c r="X17" s="67" t="str" cm="1">
        <f t="array" aca="1" ref="X17" ca="1">IF((INDIRECT("'"&amp;X$8&amp;"'!"&amp;($P$6&amp;$P17)))&gt;0,"DATA","NULL")</f>
        <v>DATA</v>
      </c>
      <c r="Y17" s="67" t="str" cm="1">
        <f t="array" aca="1" ref="Y17" ca="1">IF((INDIRECT("'"&amp;Y$8&amp;"'!"&amp;($P$6&amp;$P17)))&gt;0,"DATA","NULL")</f>
        <v>DATA</v>
      </c>
      <c r="Z17" s="67" t="str" cm="1">
        <f t="array" aca="1" ref="Z17" ca="1">IF((INDIRECT("'"&amp;Z$8&amp;"'!"&amp;($P$6&amp;$P17)))&gt;0,"DATA","NULL")</f>
        <v>DATA</v>
      </c>
      <c r="AA17" s="67" t="str" cm="1">
        <f t="array" aca="1" ref="AA17" ca="1">IF((INDIRECT("'"&amp;AA$8&amp;"'!"&amp;($P$6&amp;$P17)))&gt;0,"DATA","NULL")</f>
        <v>DATA</v>
      </c>
      <c r="AB17" s="67" t="str" cm="1">
        <f t="array" aca="1" ref="AB17" ca="1">IF((INDIRECT("'"&amp;AB$8&amp;"'!"&amp;($P$6&amp;$P17)))&gt;0,"DATA","NULL")</f>
        <v>DATA</v>
      </c>
      <c r="AC17" s="67" t="str" cm="1">
        <f t="array" aca="1" ref="AC17" ca="1">IF((INDIRECT("'"&amp;AC$8&amp;"'!"&amp;($P$6&amp;$P17)))&gt;0,"DATA","NULL")</f>
        <v>DATA</v>
      </c>
      <c r="AD17" s="68" t="str" cm="1">
        <f t="array" aca="1" ref="AD17" ca="1">IF((INDIRECT("'"&amp;AD$8&amp;"'!"&amp;($P$6&amp;$P17)))&gt;0,"DATA","NULL")</f>
        <v>DATA</v>
      </c>
      <c r="AE17" s="31"/>
      <c r="AF17" s="31"/>
      <c r="AG17" s="31"/>
      <c r="AH17" s="31"/>
      <c r="AI17" s="31"/>
      <c r="AJ17" s="31"/>
      <c r="AK17" s="31" t="s">
        <v>379</v>
      </c>
      <c r="AL17" s="41">
        <v>42666</v>
      </c>
      <c r="AM17" s="34" cm="1">
        <f t="array" aca="1" ref="AM17" ca="1">INDIRECT("'"&amp;$B34&amp;"'!"&amp;(D$5&amp;$P$11))</f>
        <v>1844611.3303769999</v>
      </c>
      <c r="AN17" s="34" cm="1">
        <f t="array" aca="1" ref="AN17" ca="1">INDIRECT("'"&amp;$B34&amp;"'!"&amp;(E$5&amp;$P$11))</f>
        <v>5596719.7856769999</v>
      </c>
      <c r="AO17" s="34" cm="1">
        <f t="array" aca="1" ref="AO17" ca="1">INDIRECT("'"&amp;$B34&amp;"'!"&amp;(F$5&amp;$P$11))</f>
        <v>438.98248699999999</v>
      </c>
      <c r="AP17" s="21">
        <f t="shared" ca="1" si="5"/>
        <v>3.9365371947797899E-2</v>
      </c>
      <c r="AQ17" s="21" cm="1">
        <f t="array" aca="1" ref="AQ17" ca="1">INDIRECT("'"&amp;AK17&amp;"'!"&amp;$H$5&amp;$P$11)+0.01</f>
        <v>2.8170000000000001E-2</v>
      </c>
      <c r="AR17" s="23">
        <f t="shared" ca="1" si="6"/>
        <v>-1.9464000000027681E-2</v>
      </c>
      <c r="AS17" s="7">
        <f t="shared" ca="1" si="7"/>
        <v>4.3914460085369957E-2</v>
      </c>
      <c r="AT17" s="7">
        <f t="shared" ca="1" si="2"/>
        <v>0.15412286472269263</v>
      </c>
      <c r="AU17" s="23">
        <f t="shared" ca="1" si="8"/>
        <v>0.17623563773625353</v>
      </c>
      <c r="AV17" s="23">
        <f t="shared" ca="1" si="9"/>
        <v>-3.705875000002834E-2</v>
      </c>
      <c r="AW17" s="31"/>
      <c r="AX17" s="31"/>
      <c r="BK17" s="3" t="s">
        <v>379</v>
      </c>
      <c r="BL17" s="1">
        <v>42666</v>
      </c>
      <c r="BM17" s="23" cm="1">
        <f t="array" aca="1" ref="BM17" ca="1">INDIRECT("'"&amp;$B34&amp;"'!"&amp;(D$5&amp;$P$21))</f>
        <v>1844394.785561</v>
      </c>
      <c r="BN17" s="23" cm="1">
        <f t="array" aca="1" ref="BN17" ca="1">INDIRECT("'"&amp;$B34&amp;"'!"&amp;(E$5&amp;$P$21))</f>
        <v>5596018.5058920002</v>
      </c>
      <c r="BO17" s="23" cm="1">
        <f t="array" aca="1" ref="BO17" ca="1">INDIRECT("'"&amp;$B34&amp;"'!"&amp;(F$5&amp;$P$21))</f>
        <v>390.19359500000002</v>
      </c>
      <c r="BP17" s="7">
        <f t="shared" ca="1" si="15"/>
        <v>0.4609253568278357</v>
      </c>
      <c r="BQ17" s="7" cm="1">
        <f t="array" aca="1" ref="BQ17" ca="1">INDIRECT("'"&amp;BK17&amp;"'!"&amp;$H$5&amp;$P$21)+0.01</f>
        <v>3.2912999999999998E-2</v>
      </c>
      <c r="BR17" s="23">
        <f t="shared" ca="1" si="16"/>
        <v>-0.14798100000001568</v>
      </c>
      <c r="BS17" s="7">
        <f t="shared" ca="1" si="18"/>
        <v>0.48409767705275381</v>
      </c>
      <c r="BT17" s="7">
        <f ca="1">(BS17/(BL17-BL18))*31</f>
        <v>0.14429834604457084</v>
      </c>
      <c r="BU17" s="23">
        <f t="shared" ref="BU17:BU19" ca="1" si="20">BU18+BS17</f>
        <v>1.1760224750746437</v>
      </c>
      <c r="BV17" s="23">
        <f t="shared" ca="1" si="12"/>
        <v>-0.2999507499999936</v>
      </c>
    </row>
    <row r="18" spans="2:74" x14ac:dyDescent="0.3">
      <c r="B18" s="45" t="s">
        <v>380</v>
      </c>
      <c r="C18" s="46">
        <v>42562</v>
      </c>
      <c r="D18" s="47" cm="1">
        <f t="array" aca="1" ref="D18" ca="1">INDIRECT("'"&amp;$B18&amp;"'!"&amp;(D$5&amp;$K$5))</f>
        <v>1844327.169948</v>
      </c>
      <c r="E18" s="47" cm="1">
        <f t="array" aca="1" ref="E18" ca="1">INDIRECT("'"&amp;$B18&amp;"'!"&amp;(E$5&amp;$K$5))</f>
        <v>5596603.3180689998</v>
      </c>
      <c r="F18" s="47" cm="1">
        <f t="array" aca="1" ref="F18" ca="1">INDIRECT("'"&amp;$B18&amp;"'!"&amp;(F$5&amp;$K$5))</f>
        <v>430.46369500000003</v>
      </c>
      <c r="G18" s="42">
        <f t="shared" ca="1" si="13"/>
        <v>4.3712081308584554E-2</v>
      </c>
      <c r="H18" s="42" cm="1">
        <f t="array" aca="1" ref="H18" ca="1">INDIRECT("'"&amp;B18&amp;"'!"&amp;$H$5&amp;$K$5)+0.01</f>
        <v>3.0275000000000003E-2</v>
      </c>
      <c r="I18" s="47">
        <f t="shared" ca="1" si="14"/>
        <v>-7.0917499999723077E-3</v>
      </c>
      <c r="J18" s="48">
        <f t="shared" ca="1" si="17"/>
        <v>4.4283619662245477E-2</v>
      </c>
      <c r="K18" s="48">
        <f t="shared" ca="1" si="1"/>
        <v>1.1834415599393187E-2</v>
      </c>
      <c r="L18" s="47">
        <f t="shared" ca="1" si="19"/>
        <v>0.17815276946559669</v>
      </c>
      <c r="M18" s="11"/>
      <c r="O18" s="64">
        <f t="shared" ca="1" si="0"/>
        <v>10</v>
      </c>
      <c r="P18" s="65">
        <v>13</v>
      </c>
      <c r="Q18" s="66">
        <v>8</v>
      </c>
      <c r="R18" s="67" t="str" cm="1">
        <f t="array" aca="1" ref="R18" ca="1">IF((INDIRECT("'"&amp;R$8&amp;"'!"&amp;($P$6&amp;$P18)))&gt;0,"DATA","NULL")</f>
        <v>NULL</v>
      </c>
      <c r="S18" s="67" t="str" cm="1">
        <f t="array" aca="1" ref="S18" ca="1">IF((INDIRECT("'"&amp;S$8&amp;"'!"&amp;($P$6&amp;$P18)))&gt;0,"DATA","NULL")</f>
        <v>NULL</v>
      </c>
      <c r="T18" s="67" t="str" cm="1">
        <f t="array" aca="1" ref="T18" ca="1">IF((INDIRECT("'"&amp;T$8&amp;"'!"&amp;($P$6&amp;$P18)))&gt;0,"DATA","NULL")</f>
        <v>NULL</v>
      </c>
      <c r="U18" s="67" t="str" cm="1">
        <f t="array" aca="1" ref="U18" ca="1">IF((INDIRECT("'"&amp;U$8&amp;"'!"&amp;($P$6&amp;$P18)))&gt;0,"DATA","NULL")</f>
        <v>DATA</v>
      </c>
      <c r="V18" s="67" t="str" cm="1">
        <f t="array" aca="1" ref="V18" ca="1">IF((INDIRECT("'"&amp;V$8&amp;"'!"&amp;($P$6&amp;$P18)))&gt;0,"DATA","NULL")</f>
        <v>DATA</v>
      </c>
      <c r="W18" s="67" t="str" cm="1">
        <f t="array" aca="1" ref="W18" ca="1">IF((INDIRECT("'"&amp;W$8&amp;"'!"&amp;($P$6&amp;$P18)))&gt;0,"DATA","NULL")</f>
        <v>DATA</v>
      </c>
      <c r="X18" s="67" t="str" cm="1">
        <f t="array" aca="1" ref="X18" ca="1">IF((INDIRECT("'"&amp;X$8&amp;"'!"&amp;($P$6&amp;$P18)))&gt;0,"DATA","NULL")</f>
        <v>DATA</v>
      </c>
      <c r="Y18" s="67" t="str" cm="1">
        <f t="array" aca="1" ref="Y18" ca="1">IF((INDIRECT("'"&amp;Y$8&amp;"'!"&amp;($P$6&amp;$P18)))&gt;0,"DATA","NULL")</f>
        <v>DATA</v>
      </c>
      <c r="Z18" s="67" t="str" cm="1">
        <f t="array" aca="1" ref="Z18" ca="1">IF((INDIRECT("'"&amp;Z$8&amp;"'!"&amp;($P$6&amp;$P18)))&gt;0,"DATA","NULL")</f>
        <v>DATA</v>
      </c>
      <c r="AA18" s="67" t="str" cm="1">
        <f t="array" aca="1" ref="AA18" ca="1">IF((INDIRECT("'"&amp;AA$8&amp;"'!"&amp;($P$6&amp;$P18)))&gt;0,"DATA","NULL")</f>
        <v>DATA</v>
      </c>
      <c r="AB18" s="67" t="str" cm="1">
        <f t="array" aca="1" ref="AB18" ca="1">IF((INDIRECT("'"&amp;AB$8&amp;"'!"&amp;($P$6&amp;$P18)))&gt;0,"DATA","NULL")</f>
        <v>DATA</v>
      </c>
      <c r="AC18" s="67" t="str" cm="1">
        <f t="array" aca="1" ref="AC18" ca="1">IF((INDIRECT("'"&amp;AC$8&amp;"'!"&amp;($P$6&amp;$P18)))&gt;0,"DATA","NULL")</f>
        <v>DATA</v>
      </c>
      <c r="AD18" s="68" t="str" cm="1">
        <f t="array" aca="1" ref="AD18" ca="1">IF((INDIRECT("'"&amp;AD$8&amp;"'!"&amp;($P$6&amp;$P18)))&gt;0,"DATA","NULL")</f>
        <v>DATA</v>
      </c>
      <c r="AE18" s="31"/>
      <c r="AF18" s="31"/>
      <c r="AG18" s="31"/>
      <c r="AH18" s="31"/>
      <c r="AI18" s="31"/>
      <c r="AJ18" s="31"/>
      <c r="AK18" s="31" t="s">
        <v>380</v>
      </c>
      <c r="AL18" s="41">
        <v>42562</v>
      </c>
      <c r="AM18" s="34" cm="1">
        <f t="array" aca="1" ref="AM18" ca="1">INDIRECT("'"&amp;$B35&amp;"'!"&amp;(D$5&amp;$P$11))</f>
        <v>1844611.3624829999</v>
      </c>
      <c r="AN18" s="34" cm="1">
        <f t="array" aca="1" ref="AN18" ca="1">INDIRECT("'"&amp;$B35&amp;"'!"&amp;(E$5&amp;$P$11))</f>
        <v>5596719.8084549997</v>
      </c>
      <c r="AO18" s="34" cm="1">
        <f t="array" aca="1" ref="AO18" ca="1">INDIRECT("'"&amp;$B35&amp;"'!"&amp;(F$5&amp;$P$11))</f>
        <v>439.00195100000002</v>
      </c>
      <c r="AP18" s="21">
        <f t="shared" ca="1" si="5"/>
        <v>3.8993634081748454E-2</v>
      </c>
      <c r="AQ18" s="21" cm="1">
        <f t="array" aca="1" ref="AQ18" ca="1">INDIRECT("'"&amp;AK18&amp;"'!"&amp;$H$5&amp;$P$11)+0.01</f>
        <v>2.8059000000000001E-2</v>
      </c>
      <c r="AR18" s="23">
        <f t="shared" ca="1" si="6"/>
        <v>2.6722499999891625E-3</v>
      </c>
      <c r="AS18" s="7">
        <f t="shared" ca="1" si="7"/>
        <v>3.9085092029618365E-2</v>
      </c>
      <c r="AT18" s="7">
        <f t="shared" ca="1" si="2"/>
        <v>0.12298326371388538</v>
      </c>
      <c r="AU18" s="23">
        <f t="shared" ca="1" si="8"/>
        <v>0.13232117765088358</v>
      </c>
      <c r="AV18" s="23">
        <f t="shared" ca="1" si="9"/>
        <v>-1.7594750000000658E-2</v>
      </c>
      <c r="AW18" s="31"/>
      <c r="AX18" s="31"/>
      <c r="BK18" s="3" t="s">
        <v>380</v>
      </c>
      <c r="BL18" s="1">
        <v>42562</v>
      </c>
      <c r="BM18" s="23" cm="1">
        <f t="array" aca="1" ref="BM18" ca="1">INDIRECT("'"&amp;$B35&amp;"'!"&amp;(D$5&amp;$P$21))</f>
        <v>1844394.7161429999</v>
      </c>
      <c r="BN18" s="23" cm="1">
        <f t="array" aca="1" ref="BN18" ca="1">INDIRECT("'"&amp;$B35&amp;"'!"&amp;(E$5&amp;$P$21))</f>
        <v>5596018.9615599997</v>
      </c>
      <c r="BO18" s="23" cm="1">
        <f t="array" aca="1" ref="BO18" ca="1">INDIRECT("'"&amp;$B35&amp;"'!"&amp;(F$5&amp;$P$21))</f>
        <v>390.34157600000003</v>
      </c>
      <c r="BP18" s="7">
        <f t="shared" ca="1" si="15"/>
        <v>0.19285351550788324</v>
      </c>
      <c r="BQ18" s="7" cm="1">
        <f t="array" aca="1" ref="BQ18" ca="1">INDIRECT("'"&amp;BK18&amp;"'!"&amp;$H$5&amp;$P$21)+0.01</f>
        <v>3.5075000000000002E-2</v>
      </c>
      <c r="BR18" s="23">
        <f t="shared" ca="1" si="16"/>
        <v>-0.10174474999996619</v>
      </c>
      <c r="BS18" s="7">
        <f t="shared" ca="1" si="18"/>
        <v>0.21804695044027783</v>
      </c>
      <c r="BT18" s="7">
        <f ca="1">(BS18/(BL18-BL19))*31</f>
        <v>5.8271167790074248E-2</v>
      </c>
      <c r="BU18" s="23">
        <f t="shared" ca="1" si="20"/>
        <v>0.69192479802188989</v>
      </c>
      <c r="BV18" s="23">
        <f t="shared" ca="1" si="12"/>
        <v>-0.15196974999997792</v>
      </c>
    </row>
    <row r="19" spans="2:74" x14ac:dyDescent="0.3">
      <c r="B19" s="45" t="s">
        <v>381</v>
      </c>
      <c r="C19" s="46">
        <v>42446</v>
      </c>
      <c r="D19" s="47" cm="1">
        <f t="array" aca="1" ref="D19" ca="1">INDIRECT("'"&amp;$B19&amp;"'!"&amp;(D$5&amp;$K$5))</f>
        <v>1844327.1998040001</v>
      </c>
      <c r="E19" s="47" cm="1">
        <f t="array" aca="1" ref="E19" ca="1">INDIRECT("'"&amp;$B19&amp;"'!"&amp;(E$5&amp;$K$5))</f>
        <v>5596603.3499965006</v>
      </c>
      <c r="F19" s="47" cm="1">
        <f t="array" aca="1" ref="F19" ca="1">INDIRECT("'"&amp;$B19&amp;"'!"&amp;(F$5&amp;$K$5))</f>
        <v>430.47078675</v>
      </c>
      <c r="G19" s="42">
        <f t="shared" ca="1" si="13"/>
        <v>4.7868713012302354E-2</v>
      </c>
      <c r="H19" s="42" cm="1">
        <f t="array" aca="1" ref="H19" ca="1">INDIRECT("'"&amp;B19&amp;"'!"&amp;$H$5&amp;$K$5)+0.01</f>
        <v>2.3030999999999999E-2</v>
      </c>
      <c r="I19" s="47">
        <f t="shared" ca="1" si="14"/>
        <v>-2.9785500000002685E-2</v>
      </c>
      <c r="J19" s="48">
        <f t="shared" ca="1" si="17"/>
        <v>5.6378982748044724E-2</v>
      </c>
      <c r="K19" s="48">
        <f t="shared" ca="1" si="1"/>
        <v>1.7304440249399866E-2</v>
      </c>
      <c r="L19" s="47">
        <f t="shared" ca="1" si="19"/>
        <v>0.13386914980335121</v>
      </c>
      <c r="M19" s="11"/>
      <c r="O19" s="64">
        <f t="shared" ca="1" si="0"/>
        <v>11</v>
      </c>
      <c r="P19" s="65">
        <v>14</v>
      </c>
      <c r="Q19" s="66">
        <v>9</v>
      </c>
      <c r="R19" s="67" t="str" cm="1">
        <f t="array" aca="1" ref="R19" ca="1">IF((INDIRECT("'"&amp;R$8&amp;"'!"&amp;($P$6&amp;$P19)))&gt;0,"DATA","NULL")</f>
        <v>NULL</v>
      </c>
      <c r="S19" s="67" t="str" cm="1">
        <f t="array" aca="1" ref="S19" ca="1">IF((INDIRECT("'"&amp;S$8&amp;"'!"&amp;($P$6&amp;$P19)))&gt;0,"DATA","NULL")</f>
        <v>NULL</v>
      </c>
      <c r="T19" s="67" t="str" cm="1">
        <f t="array" aca="1" ref="T19" ca="1">IF((INDIRECT("'"&amp;T$8&amp;"'!"&amp;($P$6&amp;$P19)))&gt;0,"DATA","NULL")</f>
        <v>DATA</v>
      </c>
      <c r="U19" s="67" t="str" cm="1">
        <f t="array" aca="1" ref="U19" ca="1">IF((INDIRECT("'"&amp;U$8&amp;"'!"&amp;($P$6&amp;$P19)))&gt;0,"DATA","NULL")</f>
        <v>DATA</v>
      </c>
      <c r="V19" s="67" t="str" cm="1">
        <f t="array" aca="1" ref="V19" ca="1">IF((INDIRECT("'"&amp;V$8&amp;"'!"&amp;($P$6&amp;$P19)))&gt;0,"DATA","NULL")</f>
        <v>DATA</v>
      </c>
      <c r="W19" s="67" t="str" cm="1">
        <f t="array" aca="1" ref="W19" ca="1">IF((INDIRECT("'"&amp;W$8&amp;"'!"&amp;($P$6&amp;$P19)))&gt;0,"DATA","NULL")</f>
        <v>DATA</v>
      </c>
      <c r="X19" s="67" t="str" cm="1">
        <f t="array" aca="1" ref="X19" ca="1">IF((INDIRECT("'"&amp;X$8&amp;"'!"&amp;($P$6&amp;$P19)))&gt;0,"DATA","NULL")</f>
        <v>DATA</v>
      </c>
      <c r="Y19" s="67" t="str" cm="1">
        <f t="array" aca="1" ref="Y19" ca="1">IF((INDIRECT("'"&amp;Y$8&amp;"'!"&amp;($P$6&amp;$P19)))&gt;0,"DATA","NULL")</f>
        <v>DATA</v>
      </c>
      <c r="Z19" s="67" t="str" cm="1">
        <f t="array" aca="1" ref="Z19" ca="1">IF((INDIRECT("'"&amp;Z$8&amp;"'!"&amp;($P$6&amp;$P19)))&gt;0,"DATA","NULL")</f>
        <v>DATA</v>
      </c>
      <c r="AA19" s="67" t="str" cm="1">
        <f t="array" aca="1" ref="AA19" ca="1">IF((INDIRECT("'"&amp;AA$8&amp;"'!"&amp;($P$6&amp;$P19)))&gt;0,"DATA","NULL")</f>
        <v>DATA</v>
      </c>
      <c r="AB19" s="67" t="str" cm="1">
        <f t="array" aca="1" ref="AB19" ca="1">IF((INDIRECT("'"&amp;AB$8&amp;"'!"&amp;($P$6&amp;$P19)))&gt;0,"DATA","NULL")</f>
        <v>DATA</v>
      </c>
      <c r="AC19" s="67" t="str" cm="1">
        <f t="array" aca="1" ref="AC19" ca="1">IF((INDIRECT("'"&amp;AC$8&amp;"'!"&amp;($P$6&amp;$P19)))&gt;0,"DATA","NULL")</f>
        <v>DATA</v>
      </c>
      <c r="AD19" s="68" t="str" cm="1">
        <f t="array" aca="1" ref="AD19" ca="1">IF((INDIRECT("'"&amp;AD$8&amp;"'!"&amp;($P$6&amp;$P19)))&gt;0,"DATA","NULL")</f>
        <v>DATA</v>
      </c>
      <c r="AE19" s="31"/>
      <c r="AF19" s="31"/>
      <c r="AG19" s="31"/>
      <c r="AH19" s="31"/>
      <c r="AI19" s="31"/>
      <c r="AJ19" s="31"/>
      <c r="AK19" s="31" t="s">
        <v>381</v>
      </c>
      <c r="AL19" s="41">
        <v>42446</v>
      </c>
      <c r="AM19" s="34" cm="1">
        <f t="array" aca="1" ref="AM19" ca="1">INDIRECT("'"&amp;$B36&amp;"'!"&amp;(D$5&amp;$P$11))</f>
        <v>1844611.3897290002</v>
      </c>
      <c r="AN19" s="34" cm="1">
        <f t="array" aca="1" ref="AN19" ca="1">INDIRECT("'"&amp;$B36&amp;"'!"&amp;(E$5&amp;$P$11))</f>
        <v>5596719.8363505006</v>
      </c>
      <c r="AO19" s="34" cm="1">
        <f t="array" aca="1" ref="AO19" ca="1">INDIRECT("'"&amp;$B36&amp;"'!"&amp;(F$5&amp;$P$11))</f>
        <v>438.99927875000003</v>
      </c>
      <c r="AP19" s="21">
        <f t="shared" ca="1" si="5"/>
        <v>3.0154143961738468E-2</v>
      </c>
      <c r="AQ19" s="21" cm="1">
        <f t="array" aca="1" ref="AQ19" ca="1">INDIRECT("'"&amp;AK19&amp;"'!"&amp;$H$5&amp;$P$11)+0.01</f>
        <v>2.3698E-2</v>
      </c>
      <c r="AR19" s="23">
        <f t="shared" ca="1" si="6"/>
        <v>-3.9293499999985215E-2</v>
      </c>
      <c r="AS19" s="7">
        <f t="shared" ca="1" si="7"/>
        <v>4.9530309309695278E-2</v>
      </c>
      <c r="AT19" s="7">
        <f t="shared" ca="1" si="2"/>
        <v>0.17899567225780968</v>
      </c>
      <c r="AU19" s="23">
        <f t="shared" ca="1" si="8"/>
        <v>9.3236085621265202E-2</v>
      </c>
      <c r="AV19" s="23">
        <f t="shared" ca="1" si="9"/>
        <v>-2.0266999999989821E-2</v>
      </c>
      <c r="AW19" s="31"/>
      <c r="AX19" s="31"/>
      <c r="BK19" s="3" t="s">
        <v>381</v>
      </c>
      <c r="BL19" s="1">
        <v>42446</v>
      </c>
      <c r="BM19" s="23" cm="1">
        <f t="array" aca="1" ref="BM19" ca="1">INDIRECT("'"&amp;$B36&amp;"'!"&amp;(D$5&amp;$P$21))</f>
        <v>1844394.7310760003</v>
      </c>
      <c r="BN19" s="23" cm="1">
        <f t="array" aca="1" ref="BN19" ca="1">INDIRECT("'"&amp;$B36&amp;"'!"&amp;(E$5&amp;$P$21))</f>
        <v>5596019.1538345013</v>
      </c>
      <c r="BO19" s="23" cm="1">
        <f t="array" aca="1" ref="BO19" ca="1">INDIRECT("'"&amp;$B36&amp;"'!"&amp;(F$5&amp;$P$21))</f>
        <v>390.44332075</v>
      </c>
      <c r="BP19" s="7">
        <f t="shared" ca="1" si="15"/>
        <v>0.12411355431793111</v>
      </c>
      <c r="BQ19" s="7" cm="1">
        <f t="array" aca="1" ref="BQ19" ca="1">INDIRECT("'"&amp;BK19&amp;"'!"&amp;$H$5&amp;$P$21)+0.01</f>
        <v>6.8406999999999996E-2</v>
      </c>
      <c r="BR19" s="23">
        <f t="shared" ca="1" si="16"/>
        <v>1.6748499999948763E-2</v>
      </c>
      <c r="BS19" s="7">
        <f t="shared" ca="1" si="18"/>
        <v>0.12523851890563989</v>
      </c>
      <c r="BT19" s="7">
        <f ca="1">(BS19/(BL19-BL20))*31</f>
        <v>3.8439545406681548E-2</v>
      </c>
      <c r="BU19" s="23">
        <f t="shared" ca="1" si="20"/>
        <v>0.473877847581612</v>
      </c>
      <c r="BV19" s="23">
        <f t="shared" ca="1" si="12"/>
        <v>-5.0225000000011732E-2</v>
      </c>
    </row>
    <row r="20" spans="2:74" x14ac:dyDescent="0.3">
      <c r="B20" s="45" t="s">
        <v>382</v>
      </c>
      <c r="C20" s="46">
        <v>42345</v>
      </c>
      <c r="D20" s="47" cm="1">
        <f t="array" aca="1" ref="D20" ca="1">INDIRECT("'"&amp;$B20&amp;"'!"&amp;(D$5&amp;$K$5))</f>
        <v>1844327.1526959999</v>
      </c>
      <c r="E20" s="47" cm="1">
        <f t="array" aca="1" ref="E20" ca="1">INDIRECT("'"&amp;$B20&amp;"'!"&amp;(E$5&amp;$K$5))</f>
        <v>5596603.3414965002</v>
      </c>
      <c r="F20" s="47" cm="1">
        <f t="array" aca="1" ref="F20" ca="1">INDIRECT("'"&amp;$B20&amp;"'!"&amp;(F$5&amp;$K$5))</f>
        <v>430.50057225</v>
      </c>
      <c r="G20" s="42">
        <f t="shared" ca="1" si="13"/>
        <v>4.3525661750564514E-2</v>
      </c>
      <c r="H20" s="42" cm="1">
        <f t="array" aca="1" ref="H20" ca="1">INDIRECT("'"&amp;B20&amp;"'!"&amp;$H$5&amp;$K$5)+0.01</f>
        <v>1.9E-2</v>
      </c>
      <c r="I20" s="47">
        <f t="shared" ca="1" si="14"/>
        <v>2.3026500000014494E-2</v>
      </c>
      <c r="J20" s="48">
        <f t="shared" ca="1" si="17"/>
        <v>4.9241272658971984E-2</v>
      </c>
      <c r="K20" s="48">
        <f t="shared" ca="1" si="1"/>
        <v>2.2448227241590169E-2</v>
      </c>
      <c r="L20" s="47">
        <f t="shared" ca="1" si="19"/>
        <v>7.749016705530648E-2</v>
      </c>
      <c r="M20" s="11"/>
      <c r="O20" s="64">
        <f t="shared" ca="1" si="0"/>
        <v>13</v>
      </c>
      <c r="P20" s="65">
        <v>15</v>
      </c>
      <c r="Q20" s="66">
        <v>10</v>
      </c>
      <c r="R20" s="67" t="str" cm="1">
        <f t="array" aca="1" ref="R20" ca="1">IF((INDIRECT("'"&amp;R$8&amp;"'!"&amp;($P$6&amp;$P20)))&gt;0,"DATA","NULL")</f>
        <v>DATA</v>
      </c>
      <c r="S20" s="67" t="str" cm="1">
        <f t="array" aca="1" ref="S20" ca="1">IF((INDIRECT("'"&amp;S$8&amp;"'!"&amp;($P$6&amp;$P20)))&gt;0,"DATA","NULL")</f>
        <v>DATA</v>
      </c>
      <c r="T20" s="67" t="str" cm="1">
        <f t="array" aca="1" ref="T20" ca="1">IF((INDIRECT("'"&amp;T$8&amp;"'!"&amp;($P$6&amp;$P20)))&gt;0,"DATA","NULL")</f>
        <v>DATA</v>
      </c>
      <c r="U20" s="67" t="str" cm="1">
        <f t="array" aca="1" ref="U20" ca="1">IF((INDIRECT("'"&amp;U$8&amp;"'!"&amp;($P$6&amp;$P20)))&gt;0,"DATA","NULL")</f>
        <v>DATA</v>
      </c>
      <c r="V20" s="67" t="str" cm="1">
        <f t="array" aca="1" ref="V20" ca="1">IF((INDIRECT("'"&amp;V$8&amp;"'!"&amp;($P$6&amp;$P20)))&gt;0,"DATA","NULL")</f>
        <v>DATA</v>
      </c>
      <c r="W20" s="67" t="str" cm="1">
        <f t="array" aca="1" ref="W20" ca="1">IF((INDIRECT("'"&amp;W$8&amp;"'!"&amp;($P$6&amp;$P20)))&gt;0,"DATA","NULL")</f>
        <v>DATA</v>
      </c>
      <c r="X20" s="67" t="str" cm="1">
        <f t="array" aca="1" ref="X20" ca="1">IF((INDIRECT("'"&amp;X$8&amp;"'!"&amp;($P$6&amp;$P20)))&gt;0,"DATA","NULL")</f>
        <v>DATA</v>
      </c>
      <c r="Y20" s="67" t="str" cm="1">
        <f t="array" aca="1" ref="Y20" ca="1">IF((INDIRECT("'"&amp;Y$8&amp;"'!"&amp;($P$6&amp;$P20)))&gt;0,"DATA","NULL")</f>
        <v>DATA</v>
      </c>
      <c r="Z20" s="67" t="str" cm="1">
        <f t="array" aca="1" ref="Z20" ca="1">IF((INDIRECT("'"&amp;Z$8&amp;"'!"&amp;($P$6&amp;$P20)))&gt;0,"DATA","NULL")</f>
        <v>DATA</v>
      </c>
      <c r="AA20" s="67" t="str" cm="1">
        <f t="array" aca="1" ref="AA20" ca="1">IF((INDIRECT("'"&amp;AA$8&amp;"'!"&amp;($P$6&amp;$P20)))&gt;0,"DATA","NULL")</f>
        <v>DATA</v>
      </c>
      <c r="AB20" s="67" t="str" cm="1">
        <f t="array" aca="1" ref="AB20" ca="1">IF((INDIRECT("'"&amp;AB$8&amp;"'!"&amp;($P$6&amp;$P20)))&gt;0,"DATA","NULL")</f>
        <v>DATA</v>
      </c>
      <c r="AC20" s="67" t="str" cm="1">
        <f t="array" aca="1" ref="AC20" ca="1">IF((INDIRECT("'"&amp;AC$8&amp;"'!"&amp;($P$6&amp;$P20)))&gt;0,"DATA","NULL")</f>
        <v>DATA</v>
      </c>
      <c r="AD20" s="68" t="str" cm="1">
        <f t="array" aca="1" ref="AD20" ca="1">IF((INDIRECT("'"&amp;AD$8&amp;"'!"&amp;($P$6&amp;$P20)))&gt;0,"DATA","NULL")</f>
        <v>DATA</v>
      </c>
      <c r="AE20" s="31"/>
      <c r="AF20" s="31"/>
      <c r="AG20" s="31"/>
      <c r="AH20" s="31"/>
      <c r="AI20" s="31"/>
      <c r="AJ20" s="31"/>
      <c r="AK20" s="31" t="s">
        <v>382</v>
      </c>
      <c r="AL20" s="41">
        <v>42345</v>
      </c>
      <c r="AM20" s="34" cm="1">
        <f t="array" aca="1" ref="AM20" ca="1">INDIRECT("'"&amp;$B37&amp;"'!"&amp;(D$5&amp;$P$11))</f>
        <v>1844611.360696</v>
      </c>
      <c r="AN20" s="34" cm="1">
        <f t="array" aca="1" ref="AN20" ca="1">INDIRECT("'"&amp;$B37&amp;"'!"&amp;(E$5&amp;$P$11))</f>
        <v>5596719.8444964997</v>
      </c>
      <c r="AO20" s="34" cm="1">
        <f t="array" aca="1" ref="AO20" ca="1">INDIRECT("'"&amp;$B37&amp;"'!"&amp;(F$5&amp;$P$11))</f>
        <v>439.03857225000002</v>
      </c>
      <c r="AP20" s="21">
        <f t="shared" ca="1" si="5"/>
        <v>3.9347009806936555E-2</v>
      </c>
      <c r="AQ20" s="21" cm="1">
        <f t="array" aca="1" ref="AQ20" ca="1">INDIRECT("'"&amp;AK20&amp;"'!"&amp;$H$5&amp;$P$11)+0.01</f>
        <v>1.7000000000000001E-2</v>
      </c>
      <c r="AR20" s="23">
        <f t="shared" ca="1" si="6"/>
        <v>1.9026499999995394E-2</v>
      </c>
      <c r="AS20" s="7">
        <f t="shared" ca="1" si="7"/>
        <v>4.3705776311569917E-2</v>
      </c>
      <c r="AT20" s="7">
        <f t="shared" ca="1" si="2"/>
        <v>0.23459718167239735</v>
      </c>
      <c r="AU20" s="23">
        <f t="shared" ca="1" si="8"/>
        <v>4.3705776311569917E-2</v>
      </c>
      <c r="AV20" s="23">
        <f t="shared" ca="1" si="9"/>
        <v>1.9026499999995394E-2</v>
      </c>
      <c r="AW20" s="31"/>
      <c r="AX20" s="31"/>
      <c r="BK20" s="3" t="s">
        <v>382</v>
      </c>
      <c r="BL20" s="1">
        <v>42345</v>
      </c>
      <c r="BM20" s="23" cm="1">
        <f t="array" aca="1" ref="BM20" ca="1">INDIRECT("'"&amp;$B37&amp;"'!"&amp;(D$5&amp;$P$21))</f>
        <v>1844394.6946960001</v>
      </c>
      <c r="BN20" s="23" cm="1">
        <f t="array" aca="1" ref="BN20" ca="1">INDIRECT("'"&amp;$B37&amp;"'!"&amp;(E$5&amp;$P$21))</f>
        <v>5596019.2724965001</v>
      </c>
      <c r="BO20" s="23" cm="1">
        <f t="array" aca="1" ref="BO20" ca="1">INDIRECT("'"&amp;$B37&amp;"'!"&amp;(F$5&amp;$P$21))</f>
        <v>390.42657225000005</v>
      </c>
      <c r="BP20" s="7">
        <f ca="1">SQRT(((BM20-BM22)^2)+((BN20-BN22)^2))</f>
        <v>0.34214606792624086</v>
      </c>
      <c r="BQ20" s="7" cm="1">
        <f t="array" aca="1" ref="BQ20" ca="1">INDIRECT("'"&amp;BK20&amp;"'!"&amp;$H$5&amp;$P$21)+0.01</f>
        <v>2.3E-2</v>
      </c>
      <c r="BR20" s="23">
        <f ca="1">BO20-BO22</f>
        <v>-6.6973499999960495E-2</v>
      </c>
      <c r="BS20" s="7">
        <f t="shared" ca="1" si="18"/>
        <v>0.34863932867597214</v>
      </c>
      <c r="BT20" s="7">
        <f ca="1">(BS20/(BL20-BL21))*31</f>
        <v>0.15893851748463436</v>
      </c>
      <c r="BU20" s="23">
        <f ca="1">BU21+BS20</f>
        <v>0.34863932867597214</v>
      </c>
      <c r="BV20" s="23">
        <f t="shared" ca="1" si="12"/>
        <v>-6.6973499999960495E-2</v>
      </c>
    </row>
    <row r="21" spans="2:74" x14ac:dyDescent="0.3">
      <c r="B21" s="45" t="s">
        <v>383</v>
      </c>
      <c r="C21" s="46">
        <v>42277</v>
      </c>
      <c r="D21" s="47" cm="1">
        <f t="array" aca="1" ref="D21" ca="1">INDIRECT("'"&amp;$B21&amp;"'!"&amp;(D$5&amp;$K$5))</f>
        <v>1844327.1768300002</v>
      </c>
      <c r="E21" s="47" cm="1">
        <f t="array" aca="1" ref="E21" ca="1">INDIRECT("'"&amp;$B21&amp;"'!"&amp;(E$5&amp;$K$5))</f>
        <v>5596603.3052745005</v>
      </c>
      <c r="F21" s="47" cm="1">
        <f t="array" aca="1" ref="F21" ca="1">INDIRECT("'"&amp;$B21&amp;"'!"&amp;(F$5&amp;$K$5))</f>
        <v>430.47754574999999</v>
      </c>
      <c r="G21" s="42">
        <f ca="1">SQRT(((D21-D22)^2)+((E21-E22)^2))</f>
        <v>2.2561029112507215E-2</v>
      </c>
      <c r="H21" s="42" cm="1">
        <f t="array" aca="1" ref="H21" ca="1">INDIRECT("'"&amp;B21&amp;"'!"&amp;$H$5&amp;$K$5)+0.01</f>
        <v>1.8000000000000002E-2</v>
      </c>
      <c r="I21" s="47">
        <f ca="1">F21-F22</f>
        <v>-1.6999999999995907E-2</v>
      </c>
      <c r="J21" s="48">
        <f ca="1">SQRT((G21^2)+(I21^2))</f>
        <v>2.8248894396334503E-2</v>
      </c>
      <c r="K21" s="48">
        <f t="shared" ca="1" si="1"/>
        <v>9.8395025425434789E-3</v>
      </c>
      <c r="L21" s="47">
        <f ca="1">L22+J21</f>
        <v>2.8248894396334503E-2</v>
      </c>
      <c r="M21" s="11"/>
      <c r="O21" s="64">
        <f t="shared" ca="1" si="0"/>
        <v>12</v>
      </c>
      <c r="P21" s="65">
        <v>16</v>
      </c>
      <c r="Q21" s="66">
        <v>11</v>
      </c>
      <c r="R21" s="67" t="str" cm="1">
        <f t="array" aca="1" ref="R21" ca="1">IF((INDIRECT("'"&amp;R$8&amp;"'!"&amp;($P$6&amp;$P21)))&gt;0,"DATA","NULL")</f>
        <v>DATA</v>
      </c>
      <c r="S21" s="67" t="str" cm="1">
        <f t="array" aca="1" ref="S21" ca="1">IF((INDIRECT("'"&amp;S$8&amp;"'!"&amp;($P$6&amp;$P21)))&gt;0,"DATA","NULL")</f>
        <v>DATA</v>
      </c>
      <c r="T21" s="67" t="str" cm="1">
        <f t="array" aca="1" ref="T21" ca="1">IF((INDIRECT("'"&amp;T$8&amp;"'!"&amp;($P$6&amp;$P21)))&gt;0,"DATA","NULL")</f>
        <v>DATA</v>
      </c>
      <c r="U21" s="67" t="str" cm="1">
        <f t="array" aca="1" ref="U21" ca="1">IF((INDIRECT("'"&amp;U$8&amp;"'!"&amp;($P$6&amp;$P21)))&gt;0,"DATA","NULL")</f>
        <v>DATA</v>
      </c>
      <c r="V21" s="67" t="str" cm="1">
        <f t="array" aca="1" ref="V21" ca="1">IF((INDIRECT("'"&amp;V$8&amp;"'!"&amp;($P$6&amp;$P21)))&gt;0,"DATA","NULL")</f>
        <v>DATA</v>
      </c>
      <c r="W21" s="67" t="str" cm="1">
        <f t="array" aca="1" ref="W21" ca="1">IF((INDIRECT("'"&amp;W$8&amp;"'!"&amp;($P$6&amp;$P21)))&gt;0,"DATA","NULL")</f>
        <v>DATA</v>
      </c>
      <c r="X21" s="67" t="str" cm="1">
        <f t="array" aca="1" ref="X21" ca="1">IF((INDIRECT("'"&amp;X$8&amp;"'!"&amp;($P$6&amp;$P21)))&gt;0,"DATA","NULL")</f>
        <v>DATA</v>
      </c>
      <c r="Y21" s="67" t="str" cm="1">
        <f t="array" aca="1" ref="Y21" ca="1">IF((INDIRECT("'"&amp;Y$8&amp;"'!"&amp;($P$6&amp;$P21)))&gt;0,"DATA","NULL")</f>
        <v>DATA</v>
      </c>
      <c r="Z21" s="67" t="str" cm="1">
        <f t="array" aca="1" ref="Z21" ca="1">IF((INDIRECT("'"&amp;Z$8&amp;"'!"&amp;($P$6&amp;$P21)))&gt;0,"DATA","NULL")</f>
        <v>DATA</v>
      </c>
      <c r="AA21" s="67" t="str" cm="1">
        <f t="array" aca="1" ref="AA21" ca="1">IF((INDIRECT("'"&amp;AA$8&amp;"'!"&amp;($P$6&amp;$P21)))&gt;0,"DATA","NULL")</f>
        <v>DATA</v>
      </c>
      <c r="AB21" s="67" t="str" cm="1">
        <f t="array" aca="1" ref="AB21" ca="1">IF((INDIRECT("'"&amp;AB$8&amp;"'!"&amp;($P$6&amp;$P21)))&gt;0,"DATA","NULL")</f>
        <v>DATA</v>
      </c>
      <c r="AC21" s="67" t="str" cm="1">
        <f t="array" aca="1" ref="AC21" ca="1">IF((INDIRECT("'"&amp;AC$8&amp;"'!"&amp;($P$6&amp;$P21)))&gt;0,"DATA","NULL")</f>
        <v>NULL</v>
      </c>
      <c r="AD21" s="68" t="str" cm="1">
        <f t="array" aca="1" ref="AD21" ca="1">IF((INDIRECT("'"&amp;AD$8&amp;"'!"&amp;($P$6&amp;$P21)))&gt;0,"DATA","NULL")</f>
        <v>DATA</v>
      </c>
      <c r="AE21" s="31"/>
      <c r="AF21" s="31"/>
      <c r="AG21" s="31"/>
      <c r="AH21" s="31"/>
      <c r="AI21" s="31"/>
      <c r="AJ21" s="31"/>
      <c r="AK21" s="31" t="s">
        <v>383</v>
      </c>
      <c r="AL21" s="41">
        <v>42277</v>
      </c>
      <c r="AM21" s="34" cm="1">
        <f t="array" aca="1" ref="AM21" ca="1">INDIRECT("'"&amp;$B38&amp;"'!"&amp;(D$5&amp;$P$11))</f>
        <v>1844611.3638300002</v>
      </c>
      <c r="AN21" s="34" cm="1">
        <f t="array" aca="1" ref="AN21" ca="1">INDIRECT("'"&amp;$B38&amp;"'!"&amp;(E$5&amp;$P$11))</f>
        <v>5596719.8052745005</v>
      </c>
      <c r="AO21" s="34" cm="1">
        <f t="array" aca="1" ref="AO21" ca="1">INDIRECT("'"&amp;$B38&amp;"'!"&amp;(F$5&amp;$P$11))</f>
        <v>439.01954575000002</v>
      </c>
      <c r="AP21" s="31"/>
      <c r="AQ21" s="31"/>
      <c r="AR21" s="31"/>
      <c r="AS21" s="31"/>
      <c r="AT21" s="31"/>
      <c r="AU21" s="31"/>
      <c r="AV21" s="23">
        <f>AV22+AR21</f>
        <v>0</v>
      </c>
      <c r="AW21" s="31"/>
      <c r="AX21" s="31"/>
      <c r="BK21" s="3" t="s">
        <v>383</v>
      </c>
      <c r="BL21" s="1">
        <v>42277</v>
      </c>
      <c r="BM21" s="23"/>
      <c r="BN21" s="23"/>
      <c r="BO21" s="23"/>
      <c r="BP21" s="7"/>
      <c r="BR21" s="23"/>
      <c r="BS21" s="7"/>
      <c r="BT21" s="7"/>
      <c r="BU21" s="23"/>
      <c r="BV21" s="23">
        <f>BV22+BR21</f>
        <v>0</v>
      </c>
    </row>
    <row r="22" spans="2:74" x14ac:dyDescent="0.3">
      <c r="B22" s="45" t="s">
        <v>384</v>
      </c>
      <c r="C22" s="46">
        <v>42188</v>
      </c>
      <c r="D22" s="47" cm="1">
        <f t="array" aca="1" ref="D22" ca="1">INDIRECT("'"&amp;$B22&amp;"'!"&amp;(D$5&amp;$K$5))</f>
        <v>1844327.1818300001</v>
      </c>
      <c r="E22" s="47" cm="1">
        <f t="array" aca="1" ref="E22" ca="1">INDIRECT("'"&amp;$B22&amp;"'!"&amp;(E$5&amp;$K$5))</f>
        <v>5596603.3272745013</v>
      </c>
      <c r="F22" s="47" cm="1">
        <f t="array" aca="1" ref="F22" ca="1">INDIRECT("'"&amp;$B22&amp;"'!"&amp;(F$5&amp;$K$5))</f>
        <v>430.49454574999999</v>
      </c>
      <c r="G22" s="42"/>
      <c r="H22" s="42"/>
      <c r="I22" s="47"/>
      <c r="J22" s="48"/>
      <c r="K22" s="48"/>
      <c r="L22" s="50"/>
      <c r="M22" s="11"/>
      <c r="O22" s="64">
        <f t="shared" ca="1" si="0"/>
        <v>13</v>
      </c>
      <c r="P22" s="65">
        <v>17</v>
      </c>
      <c r="Q22" s="66">
        <v>12</v>
      </c>
      <c r="R22" s="67" t="str" cm="1">
        <f t="array" aca="1" ref="R22" ca="1">IF((INDIRECT("'"&amp;R$8&amp;"'!"&amp;($P$6&amp;$P22)))&gt;0,"DATA","NULL")</f>
        <v>DATA</v>
      </c>
      <c r="S22" s="67" t="str" cm="1">
        <f t="array" aca="1" ref="S22" ca="1">IF((INDIRECT("'"&amp;S$8&amp;"'!"&amp;($P$6&amp;$P22)))&gt;0,"DATA","NULL")</f>
        <v>DATA</v>
      </c>
      <c r="T22" s="67" t="str" cm="1">
        <f t="array" aca="1" ref="T22" ca="1">IF((INDIRECT("'"&amp;T$8&amp;"'!"&amp;($P$6&amp;$P22)))&gt;0,"DATA","NULL")</f>
        <v>DATA</v>
      </c>
      <c r="U22" s="67" t="str" cm="1">
        <f t="array" aca="1" ref="U22" ca="1">IF((INDIRECT("'"&amp;U$8&amp;"'!"&amp;($P$6&amp;$P22)))&gt;0,"DATA","NULL")</f>
        <v>DATA</v>
      </c>
      <c r="V22" s="67" t="str" cm="1">
        <f t="array" aca="1" ref="V22" ca="1">IF((INDIRECT("'"&amp;V$8&amp;"'!"&amp;($P$6&amp;$P22)))&gt;0,"DATA","NULL")</f>
        <v>DATA</v>
      </c>
      <c r="W22" s="67" t="str" cm="1">
        <f t="array" aca="1" ref="W22" ca="1">IF((INDIRECT("'"&amp;W$8&amp;"'!"&amp;($P$6&amp;$P22)))&gt;0,"DATA","NULL")</f>
        <v>DATA</v>
      </c>
      <c r="X22" s="67" t="str" cm="1">
        <f t="array" aca="1" ref="X22" ca="1">IF((INDIRECT("'"&amp;X$8&amp;"'!"&amp;($P$6&amp;$P22)))&gt;0,"DATA","NULL")</f>
        <v>DATA</v>
      </c>
      <c r="Y22" s="67" t="str" cm="1">
        <f t="array" aca="1" ref="Y22" ca="1">IF((INDIRECT("'"&amp;Y$8&amp;"'!"&amp;($P$6&amp;$P22)))&gt;0,"DATA","NULL")</f>
        <v>DATA</v>
      </c>
      <c r="Z22" s="67" t="str" cm="1">
        <f t="array" aca="1" ref="Z22" ca="1">IF((INDIRECT("'"&amp;Z$8&amp;"'!"&amp;($P$6&amp;$P22)))&gt;0,"DATA","NULL")</f>
        <v>DATA</v>
      </c>
      <c r="AA22" s="67" t="str" cm="1">
        <f t="array" aca="1" ref="AA22" ca="1">IF((INDIRECT("'"&amp;AA$8&amp;"'!"&amp;($P$6&amp;$P22)))&gt;0,"DATA","NULL")</f>
        <v>DATA</v>
      </c>
      <c r="AB22" s="67" t="str" cm="1">
        <f t="array" aca="1" ref="AB22" ca="1">IF((INDIRECT("'"&amp;AB$8&amp;"'!"&amp;($P$6&amp;$P22)))&gt;0,"DATA","NULL")</f>
        <v>DATA</v>
      </c>
      <c r="AC22" s="67" t="str" cm="1">
        <f t="array" aca="1" ref="AC22" ca="1">IF((INDIRECT("'"&amp;AC$8&amp;"'!"&amp;($P$6&amp;$P22)))&gt;0,"DATA","NULL")</f>
        <v>DATA</v>
      </c>
      <c r="AD22" s="68" t="str" cm="1">
        <f t="array" aca="1" ref="AD22" ca="1">IF((INDIRECT("'"&amp;AD$8&amp;"'!"&amp;($P$6&amp;$P22)))&gt;0,"DATA","NULL")</f>
        <v>DATA</v>
      </c>
      <c r="AE22" s="31"/>
      <c r="AF22" s="31"/>
      <c r="AG22" s="31"/>
      <c r="AH22" s="31"/>
      <c r="AI22" s="31"/>
      <c r="AJ22" s="31"/>
      <c r="AK22" s="31" t="s">
        <v>384</v>
      </c>
      <c r="AL22" s="41">
        <v>42347</v>
      </c>
      <c r="AM22" s="31">
        <v>0</v>
      </c>
      <c r="AN22" s="31">
        <v>0</v>
      </c>
      <c r="AO22" s="31">
        <v>0</v>
      </c>
      <c r="AP22" s="31"/>
      <c r="AQ22" s="31"/>
      <c r="AR22" s="31"/>
      <c r="AS22" s="31"/>
      <c r="AT22" s="31"/>
      <c r="AU22" s="31"/>
      <c r="AV22" s="21">
        <v>0</v>
      </c>
      <c r="AW22" s="31"/>
      <c r="AX22" s="31"/>
      <c r="BK22" s="3" t="s">
        <v>384</v>
      </c>
      <c r="BL22" s="1">
        <v>42188</v>
      </c>
      <c r="BM22" s="23" cm="1">
        <f t="array" aca="1" ref="BM22" ca="1">INDIRECT("'"&amp;$B39&amp;"'!"&amp;(D$5&amp;$P$21))</f>
        <v>1844394.6788300001</v>
      </c>
      <c r="BN22" s="23" cm="1">
        <f t="array" aca="1" ref="BN22" ca="1">INDIRECT("'"&amp;$B39&amp;"'!"&amp;(E$5&amp;$P$21))</f>
        <v>5596019.6142745009</v>
      </c>
      <c r="BO22" s="23" cm="1">
        <f t="array" aca="1" ref="BO22" ca="1">INDIRECT("'"&amp;$B39&amp;"'!"&amp;(F$5&amp;$P$21))</f>
        <v>390.49354575000001</v>
      </c>
      <c r="BP22" s="7"/>
      <c r="BR22" s="23"/>
      <c r="BS22" s="7"/>
      <c r="BT22" s="7"/>
      <c r="BU22" s="10">
        <v>0</v>
      </c>
      <c r="BV22" s="21">
        <v>0</v>
      </c>
    </row>
    <row r="23" spans="2:74" x14ac:dyDescent="0.3">
      <c r="B23" s="3"/>
      <c r="C23" s="1"/>
      <c r="D23" s="23"/>
      <c r="E23" s="23"/>
      <c r="F23" s="23"/>
      <c r="G23" s="21"/>
      <c r="H23" s="21"/>
      <c r="I23" s="23"/>
      <c r="J23" s="7"/>
      <c r="K23" s="7"/>
      <c r="L23" s="10"/>
      <c r="M23" s="11"/>
      <c r="O23" s="64">
        <f t="shared" ca="1" si="0"/>
        <v>13</v>
      </c>
      <c r="P23" s="65">
        <v>18</v>
      </c>
      <c r="Q23" s="66">
        <v>13</v>
      </c>
      <c r="R23" s="67" t="str" cm="1">
        <f t="array" aca="1" ref="R23" ca="1">IF((INDIRECT("'"&amp;R$8&amp;"'!"&amp;($P$6&amp;$P23)))&gt;0,"DATA","NULL")</f>
        <v>DATA</v>
      </c>
      <c r="S23" s="67" t="str" cm="1">
        <f t="array" aca="1" ref="S23" ca="1">IF((INDIRECT("'"&amp;S$8&amp;"'!"&amp;($P$6&amp;$P23)))&gt;0,"DATA","NULL")</f>
        <v>DATA</v>
      </c>
      <c r="T23" s="67" t="str" cm="1">
        <f t="array" aca="1" ref="T23" ca="1">IF((INDIRECT("'"&amp;T$8&amp;"'!"&amp;($P$6&amp;$P23)))&gt;0,"DATA","NULL")</f>
        <v>DATA</v>
      </c>
      <c r="U23" s="67" t="str" cm="1">
        <f t="array" aca="1" ref="U23" ca="1">IF((INDIRECT("'"&amp;U$8&amp;"'!"&amp;($P$6&amp;$P23)))&gt;0,"DATA","NULL")</f>
        <v>DATA</v>
      </c>
      <c r="V23" s="67" t="str" cm="1">
        <f t="array" aca="1" ref="V23" ca="1">IF((INDIRECT("'"&amp;V$8&amp;"'!"&amp;($P$6&amp;$P23)))&gt;0,"DATA","NULL")</f>
        <v>DATA</v>
      </c>
      <c r="W23" s="67" t="str" cm="1">
        <f t="array" aca="1" ref="W23" ca="1">IF((INDIRECT("'"&amp;W$8&amp;"'!"&amp;($P$6&amp;$P23)))&gt;0,"DATA","NULL")</f>
        <v>DATA</v>
      </c>
      <c r="X23" s="67" t="str" cm="1">
        <f t="array" aca="1" ref="X23" ca="1">IF((INDIRECT("'"&amp;X$8&amp;"'!"&amp;($P$6&amp;$P23)))&gt;0,"DATA","NULL")</f>
        <v>DATA</v>
      </c>
      <c r="Y23" s="67" t="str" cm="1">
        <f t="array" aca="1" ref="Y23" ca="1">IF((INDIRECT("'"&amp;Y$8&amp;"'!"&amp;($P$6&amp;$P23)))&gt;0,"DATA","NULL")</f>
        <v>DATA</v>
      </c>
      <c r="Z23" s="67" t="str" cm="1">
        <f t="array" aca="1" ref="Z23" ca="1">IF((INDIRECT("'"&amp;Z$8&amp;"'!"&amp;($P$6&amp;$P23)))&gt;0,"DATA","NULL")</f>
        <v>DATA</v>
      </c>
      <c r="AA23" s="67" t="str" cm="1">
        <f t="array" aca="1" ref="AA23" ca="1">IF((INDIRECT("'"&amp;AA$8&amp;"'!"&amp;($P$6&amp;$P23)))&gt;0,"DATA","NULL")</f>
        <v>DATA</v>
      </c>
      <c r="AB23" s="67" t="str" cm="1">
        <f t="array" aca="1" ref="AB23" ca="1">IF((INDIRECT("'"&amp;AB$8&amp;"'!"&amp;($P$6&amp;$P23)))&gt;0,"DATA","NULL")</f>
        <v>DATA</v>
      </c>
      <c r="AC23" s="67" t="str" cm="1">
        <f t="array" aca="1" ref="AC23" ca="1">IF((INDIRECT("'"&amp;AC$8&amp;"'!"&amp;($P$6&amp;$P23)))&gt;0,"DATA","NULL")</f>
        <v>DATA</v>
      </c>
      <c r="AD23" s="68" t="str" cm="1">
        <f t="array" aca="1" ref="AD23" ca="1">IF((INDIRECT("'"&amp;AD$8&amp;"'!"&amp;($P$6&amp;$P23)))&gt;0,"DATA","NULL")</f>
        <v>DATA</v>
      </c>
      <c r="AE23" s="31"/>
      <c r="AF23" s="31"/>
      <c r="AG23" s="31"/>
      <c r="AH23" s="31"/>
      <c r="AI23" s="31"/>
      <c r="AL23" s="1"/>
      <c r="BP23" s="7"/>
    </row>
    <row r="24" spans="2:74" x14ac:dyDescent="0.3">
      <c r="B24" s="35" t="s">
        <v>565</v>
      </c>
      <c r="C24" s="36"/>
      <c r="D24" s="36"/>
      <c r="E24" s="36"/>
      <c r="F24" s="36"/>
      <c r="G24" s="36"/>
      <c r="H24" s="36"/>
      <c r="I24" s="36"/>
      <c r="J24" s="36"/>
      <c r="K24" s="36"/>
      <c r="L24" s="36"/>
      <c r="O24" s="64">
        <f t="shared" ca="1" si="0"/>
        <v>13</v>
      </c>
      <c r="P24" s="65">
        <v>19</v>
      </c>
      <c r="Q24" s="66">
        <v>14</v>
      </c>
      <c r="R24" s="67" t="str" cm="1">
        <f t="array" aca="1" ref="R24" ca="1">IF((INDIRECT("'"&amp;R$8&amp;"'!"&amp;($P$6&amp;$P24)))&gt;0,"DATA","NULL")</f>
        <v>DATA</v>
      </c>
      <c r="S24" s="67" t="str" cm="1">
        <f t="array" aca="1" ref="S24" ca="1">IF((INDIRECT("'"&amp;S$8&amp;"'!"&amp;($P$6&amp;$P24)))&gt;0,"DATA","NULL")</f>
        <v>DATA</v>
      </c>
      <c r="T24" s="67" t="str" cm="1">
        <f t="array" aca="1" ref="T24" ca="1">IF((INDIRECT("'"&amp;T$8&amp;"'!"&amp;($P$6&amp;$P24)))&gt;0,"DATA","NULL")</f>
        <v>DATA</v>
      </c>
      <c r="U24" s="67" t="str" cm="1">
        <f t="array" aca="1" ref="U24" ca="1">IF((INDIRECT("'"&amp;U$8&amp;"'!"&amp;($P$6&amp;$P24)))&gt;0,"DATA","NULL")</f>
        <v>DATA</v>
      </c>
      <c r="V24" s="67" t="str" cm="1">
        <f t="array" aca="1" ref="V24" ca="1">IF((INDIRECT("'"&amp;V$8&amp;"'!"&amp;($P$6&amp;$P24)))&gt;0,"DATA","NULL")</f>
        <v>DATA</v>
      </c>
      <c r="W24" s="67" t="str" cm="1">
        <f t="array" aca="1" ref="W24" ca="1">IF((INDIRECT("'"&amp;W$8&amp;"'!"&amp;($P$6&amp;$P24)))&gt;0,"DATA","NULL")</f>
        <v>DATA</v>
      </c>
      <c r="X24" s="67" t="str" cm="1">
        <f t="array" aca="1" ref="X24" ca="1">IF((INDIRECT("'"&amp;X$8&amp;"'!"&amp;($P$6&amp;$P24)))&gt;0,"DATA","NULL")</f>
        <v>DATA</v>
      </c>
      <c r="Y24" s="67" t="str" cm="1">
        <f t="array" aca="1" ref="Y24" ca="1">IF((INDIRECT("'"&amp;Y$8&amp;"'!"&amp;($P$6&amp;$P24)))&gt;0,"DATA","NULL")</f>
        <v>DATA</v>
      </c>
      <c r="Z24" s="67" t="str" cm="1">
        <f t="array" aca="1" ref="Z24" ca="1">IF((INDIRECT("'"&amp;Z$8&amp;"'!"&amp;($P$6&amp;$P24)))&gt;0,"DATA","NULL")</f>
        <v>DATA</v>
      </c>
      <c r="AA24" s="67" t="str" cm="1">
        <f t="array" aca="1" ref="AA24" ca="1">IF((INDIRECT("'"&amp;AA$8&amp;"'!"&amp;($P$6&amp;$P24)))&gt;0,"DATA","NULL")</f>
        <v>DATA</v>
      </c>
      <c r="AB24" s="67" t="str" cm="1">
        <f t="array" aca="1" ref="AB24" ca="1">IF((INDIRECT("'"&amp;AB$8&amp;"'!"&amp;($P$6&amp;$P24)))&gt;0,"DATA","NULL")</f>
        <v>DATA</v>
      </c>
      <c r="AC24" s="67" t="str" cm="1">
        <f t="array" aca="1" ref="AC24" ca="1">IF((INDIRECT("'"&amp;AC$8&amp;"'!"&amp;($P$6&amp;$P24)))&gt;0,"DATA","NULL")</f>
        <v>DATA</v>
      </c>
      <c r="AD24" s="68" t="str" cm="1">
        <f t="array" aca="1" ref="AD24" ca="1">IF((INDIRECT("'"&amp;AD$8&amp;"'!"&amp;($P$6&amp;$P24)))&gt;0,"DATA","NULL")</f>
        <v>DATA</v>
      </c>
      <c r="AE24" s="31"/>
      <c r="AF24" s="31"/>
      <c r="AG24" s="31"/>
      <c r="AH24" s="31"/>
      <c r="AI24" s="31"/>
      <c r="AK24" s="31" t="s">
        <v>564</v>
      </c>
      <c r="AL24" s="1"/>
      <c r="BP24" s="7"/>
    </row>
    <row r="25" spans="2:74" x14ac:dyDescent="0.3">
      <c r="B25" s="37"/>
      <c r="C25" s="38"/>
      <c r="D25" s="36"/>
      <c r="E25" s="36"/>
      <c r="F25" s="36"/>
      <c r="G25" s="36"/>
      <c r="H25" s="36"/>
      <c r="I25" s="36"/>
      <c r="J25" s="36"/>
      <c r="K25" s="36"/>
      <c r="L25" s="36"/>
      <c r="M25" s="4"/>
      <c r="O25" s="64">
        <f t="shared" ca="1" si="0"/>
        <v>11</v>
      </c>
      <c r="P25" s="65">
        <v>20</v>
      </c>
      <c r="Q25" s="66">
        <v>15</v>
      </c>
      <c r="R25" s="67" t="str" cm="1">
        <f t="array" aca="1" ref="R25" ca="1">IF((INDIRECT("'"&amp;R$8&amp;"'!"&amp;($P$6&amp;$P25)))&gt;0,"DATA","NULL")</f>
        <v>DATA</v>
      </c>
      <c r="S25" s="67" t="str" cm="1">
        <f t="array" aca="1" ref="S25" ca="1">IF((INDIRECT("'"&amp;S$8&amp;"'!"&amp;($P$6&amp;$P25)))&gt;0,"DATA","NULL")</f>
        <v>DATA</v>
      </c>
      <c r="T25" s="67" t="str" cm="1">
        <f t="array" aca="1" ref="T25" ca="1">IF((INDIRECT("'"&amp;T$8&amp;"'!"&amp;($P$6&amp;$P25)))&gt;0,"DATA","NULL")</f>
        <v>DATA</v>
      </c>
      <c r="U25" s="67" t="str" cm="1">
        <f t="array" aca="1" ref="U25" ca="1">IF((INDIRECT("'"&amp;U$8&amp;"'!"&amp;($P$6&amp;$P25)))&gt;0,"DATA","NULL")</f>
        <v>DATA</v>
      </c>
      <c r="V25" s="67" t="str" cm="1">
        <f t="array" aca="1" ref="V25" ca="1">IF((INDIRECT("'"&amp;V$8&amp;"'!"&amp;($P$6&amp;$P25)))&gt;0,"DATA","NULL")</f>
        <v>DATA</v>
      </c>
      <c r="W25" s="67" t="str" cm="1">
        <f t="array" aca="1" ref="W25" ca="1">IF((INDIRECT("'"&amp;W$8&amp;"'!"&amp;($P$6&amp;$P25)))&gt;0,"DATA","NULL")</f>
        <v>DATA</v>
      </c>
      <c r="X25" s="67" t="str" cm="1">
        <f t="array" aca="1" ref="X25" ca="1">IF((INDIRECT("'"&amp;X$8&amp;"'!"&amp;($P$6&amp;$P25)))&gt;0,"DATA","NULL")</f>
        <v>DATA</v>
      </c>
      <c r="Y25" s="67" t="str" cm="1">
        <f t="array" aca="1" ref="Y25" ca="1">IF((INDIRECT("'"&amp;Y$8&amp;"'!"&amp;($P$6&amp;$P25)))&gt;0,"DATA","NULL")</f>
        <v>DATA</v>
      </c>
      <c r="Z25" s="67" t="str" cm="1">
        <f t="array" aca="1" ref="Z25" ca="1">IF((INDIRECT("'"&amp;Z$8&amp;"'!"&amp;($P$6&amp;$P25)))&gt;0,"DATA","NULL")</f>
        <v>DATA</v>
      </c>
      <c r="AA25" s="67" t="str" cm="1">
        <f t="array" aca="1" ref="AA25" ca="1">IF((INDIRECT("'"&amp;AA$8&amp;"'!"&amp;($P$6&amp;$P25)))&gt;0,"DATA","NULL")</f>
        <v>DATA</v>
      </c>
      <c r="AB25" s="67" t="str" cm="1">
        <f t="array" aca="1" ref="AB25" ca="1">IF((INDIRECT("'"&amp;AB$8&amp;"'!"&amp;($P$6&amp;$P25)))&gt;0,"DATA","NULL")</f>
        <v>DATA</v>
      </c>
      <c r="AC25" s="67" t="str" cm="1">
        <f t="array" aca="1" ref="AC25" ca="1">IF((INDIRECT("'"&amp;AC$8&amp;"'!"&amp;($P$6&amp;$P25)))&gt;0,"DATA","NULL")</f>
        <v>NULL</v>
      </c>
      <c r="AD25" s="68" t="str" cm="1">
        <f t="array" aca="1" ref="AD25" ca="1">IF((INDIRECT("'"&amp;AD$8&amp;"'!"&amp;($P$6&amp;$P25)))&gt;0,"DATA","NULL")</f>
        <v>NULL</v>
      </c>
      <c r="AE25" s="31"/>
      <c r="AF25" s="31"/>
      <c r="AG25" s="31"/>
      <c r="AH25" s="31"/>
      <c r="AI25" s="31"/>
      <c r="AL25" s="1"/>
      <c r="AM25" t="s">
        <v>541</v>
      </c>
      <c r="AN25" t="s">
        <v>542</v>
      </c>
      <c r="AO25" t="s">
        <v>543</v>
      </c>
      <c r="AP25" t="s">
        <v>427</v>
      </c>
      <c r="AQ25" t="s">
        <v>525</v>
      </c>
      <c r="AR25" t="s">
        <v>428</v>
      </c>
      <c r="AS25" t="s">
        <v>429</v>
      </c>
      <c r="AT25" t="s">
        <v>438</v>
      </c>
      <c r="AU25" t="s">
        <v>430</v>
      </c>
      <c r="AV25" s="33" t="s">
        <v>582</v>
      </c>
      <c r="BL25" s="23"/>
      <c r="BP25" s="7"/>
    </row>
    <row r="26" spans="2:74" x14ac:dyDescent="0.3">
      <c r="B26" s="42"/>
      <c r="C26" s="43"/>
      <c r="D26" s="44" t="s">
        <v>541</v>
      </c>
      <c r="E26" s="44" t="s">
        <v>542</v>
      </c>
      <c r="F26" s="44" t="s">
        <v>543</v>
      </c>
      <c r="G26" s="42" t="s">
        <v>427</v>
      </c>
      <c r="H26" s="42" t="s">
        <v>525</v>
      </c>
      <c r="I26" s="42" t="s">
        <v>428</v>
      </c>
      <c r="J26" s="42" t="s">
        <v>429</v>
      </c>
      <c r="K26" s="42" t="s">
        <v>606</v>
      </c>
      <c r="L26" s="42" t="s">
        <v>430</v>
      </c>
      <c r="M26" s="4"/>
      <c r="O26" s="64">
        <f t="shared" ca="1" si="0"/>
        <v>5</v>
      </c>
      <c r="P26" s="65">
        <v>21</v>
      </c>
      <c r="Q26" s="66">
        <v>16</v>
      </c>
      <c r="R26" s="67" t="str" cm="1">
        <f t="array" aca="1" ref="R26" ca="1">IF((INDIRECT("'"&amp;R$8&amp;"'!"&amp;($P$6&amp;$P26)))&gt;0,"DATA","NULL")</f>
        <v>NULL</v>
      </c>
      <c r="S26" s="67" t="str" cm="1">
        <f t="array" aca="1" ref="S26" ca="1">IF((INDIRECT("'"&amp;S$8&amp;"'!"&amp;($P$6&amp;$P26)))&gt;0,"DATA","NULL")</f>
        <v>NULL</v>
      </c>
      <c r="T26" s="67" t="str" cm="1">
        <f t="array" aca="1" ref="T26" ca="1">IF((INDIRECT("'"&amp;T$8&amp;"'!"&amp;($P$6&amp;$P26)))&gt;0,"DATA","NULL")</f>
        <v>NULL</v>
      </c>
      <c r="U26" s="67" t="str" cm="1">
        <f t="array" aca="1" ref="U26" ca="1">IF((INDIRECT("'"&amp;U$8&amp;"'!"&amp;($P$6&amp;$P26)))&gt;0,"DATA","NULL")</f>
        <v>NULL</v>
      </c>
      <c r="V26" s="67" t="str" cm="1">
        <f t="array" aca="1" ref="V26" ca="1">IF((INDIRECT("'"&amp;V$8&amp;"'!"&amp;($P$6&amp;$P26)))&gt;0,"DATA","NULL")</f>
        <v>NULL</v>
      </c>
      <c r="W26" s="67" t="str" cm="1">
        <f t="array" aca="1" ref="W26" ca="1">IF((INDIRECT("'"&amp;W$8&amp;"'!"&amp;($P$6&amp;$P26)))&gt;0,"DATA","NULL")</f>
        <v>NULL</v>
      </c>
      <c r="X26" s="67" t="str" cm="1">
        <f t="array" aca="1" ref="X26" ca="1">IF((INDIRECT("'"&amp;X$8&amp;"'!"&amp;($P$6&amp;$P26)))&gt;0,"DATA","NULL")</f>
        <v>NULL</v>
      </c>
      <c r="Y26" s="67" t="str" cm="1">
        <f t="array" aca="1" ref="Y26" ca="1">IF((INDIRECT("'"&amp;Y$8&amp;"'!"&amp;($P$6&amp;$P26)))&gt;0,"DATA","NULL")</f>
        <v>NULL</v>
      </c>
      <c r="Z26" s="67" t="str" cm="1">
        <f t="array" aca="1" ref="Z26" ca="1">IF((INDIRECT("'"&amp;Z$8&amp;"'!"&amp;($P$6&amp;$P26)))&gt;0,"DATA","NULL")</f>
        <v>DATA</v>
      </c>
      <c r="AA26" s="67" t="str" cm="1">
        <f t="array" aca="1" ref="AA26" ca="1">IF((INDIRECT("'"&amp;AA$8&amp;"'!"&amp;($P$6&amp;$P26)))&gt;0,"DATA","NULL")</f>
        <v>DATA</v>
      </c>
      <c r="AB26" s="67" t="str" cm="1">
        <f t="array" aca="1" ref="AB26" ca="1">IF((INDIRECT("'"&amp;AB$8&amp;"'!"&amp;($P$6&amp;$P26)))&gt;0,"DATA","NULL")</f>
        <v>DATA</v>
      </c>
      <c r="AC26" s="67" t="str" cm="1">
        <f t="array" aca="1" ref="AC26" ca="1">IF((INDIRECT("'"&amp;AC$8&amp;"'!"&amp;($P$6&amp;$P26)))&gt;0,"DATA","NULL")</f>
        <v>DATA</v>
      </c>
      <c r="AD26" s="68" t="str" cm="1">
        <f t="array" aca="1" ref="AD26" ca="1">IF((INDIRECT("'"&amp;AD$8&amp;"'!"&amp;($P$6&amp;$P26)))&gt;0,"DATA","NULL")</f>
        <v>DATA</v>
      </c>
      <c r="AE26" s="31"/>
      <c r="AF26" s="31"/>
      <c r="AG26" s="31"/>
      <c r="AH26" s="31"/>
      <c r="AI26" s="31"/>
      <c r="AK26" t="s">
        <v>526</v>
      </c>
      <c r="AL26" s="1">
        <v>43817</v>
      </c>
      <c r="AM26" s="34" cm="1">
        <f t="array" aca="1" ref="AM26" ca="1">INDIRECT("'"&amp;$B27&amp;"'!"&amp;(D$5&amp;$P$12))</f>
        <v>1844327.0349940001</v>
      </c>
      <c r="AN26" s="34" cm="1">
        <f t="array" aca="1" ref="AN26" ca="1">INDIRECT("'"&amp;$B27&amp;"'!"&amp;(E$5&amp;$P$12))</f>
        <v>5596603.1033340003</v>
      </c>
      <c r="AO26" s="34" cm="1">
        <f t="array" aca="1" ref="AO26" ca="1">INDIRECT("'"&amp;$B27&amp;"'!"&amp;(F$5&amp;$P$12))</f>
        <v>430.35041999999999</v>
      </c>
      <c r="AP26" s="21">
        <f ca="1">SQRT(((AM26-AM27)^2)+((AN26-AN27)^2))</f>
        <v>2.9896061533904485E-2</v>
      </c>
      <c r="AQ26" s="21" cm="1">
        <f t="array" aca="1" ref="AQ26" ca="1">INDIRECT("'"&amp;AK26&amp;"'!"&amp;$H$5&amp;$P$12)+0.01</f>
        <v>2.6347000000000002E-2</v>
      </c>
      <c r="AR26" s="23">
        <f ca="1">AO26-AO27</f>
        <v>-9.1229999999882239E-3</v>
      </c>
      <c r="AS26" s="7">
        <f ca="1">SQRT((AP26^2)+(AR26^2))</f>
        <v>3.1257057190957512E-2</v>
      </c>
      <c r="AT26" s="7">
        <f ca="1">(AS26/(AL26-AL27))*365</f>
        <v>2.6227185918849403E-2</v>
      </c>
      <c r="AU26" s="23">
        <f ca="1">AU27+AS26</f>
        <v>0.57216844828629732</v>
      </c>
      <c r="AV26" s="23">
        <f ca="1">AV27+AR26</f>
        <v>-0.14412575000000061</v>
      </c>
      <c r="BK26" s="21" t="s">
        <v>585</v>
      </c>
      <c r="BL26" s="1"/>
      <c r="BM26" s="21" t="s">
        <v>541</v>
      </c>
      <c r="BN26" s="21" t="s">
        <v>542</v>
      </c>
      <c r="BO26" s="21" t="s">
        <v>543</v>
      </c>
      <c r="BP26" s="7" t="s">
        <v>427</v>
      </c>
      <c r="BQ26" s="7" t="s">
        <v>525</v>
      </c>
      <c r="BR26" s="21" t="s">
        <v>428</v>
      </c>
      <c r="BS26" s="21" t="s">
        <v>429</v>
      </c>
      <c r="BT26" s="21" t="s">
        <v>606</v>
      </c>
      <c r="BU26" s="21" t="s">
        <v>430</v>
      </c>
      <c r="BV26" s="33" t="s">
        <v>582</v>
      </c>
    </row>
    <row r="27" spans="2:74" x14ac:dyDescent="0.3">
      <c r="B27" s="45" t="s">
        <v>526</v>
      </c>
      <c r="C27" s="46">
        <v>43817</v>
      </c>
      <c r="D27" s="47" cm="1">
        <f t="array" aca="1" ref="D27" ca="1">INDIRECT("'"&amp;$B27&amp;"'!"&amp;(D$5&amp;$K$5))</f>
        <v>1844327.0349940001</v>
      </c>
      <c r="E27" s="47" cm="1">
        <f t="array" aca="1" ref="E27" ca="1">INDIRECT("'"&amp;$B27&amp;"'!"&amp;(E$5&amp;$K$5))</f>
        <v>5596603.1033340003</v>
      </c>
      <c r="F27" s="47" cm="1">
        <f t="array" aca="1" ref="F27" ca="1">INDIRECT("'"&amp;$B27&amp;"'!"&amp;(F$5&amp;$K$5))</f>
        <v>430.35041999999999</v>
      </c>
      <c r="G27" s="42">
        <f ca="1">SQRT(((D27-D28)^2)+((E27-E28)^2))</f>
        <v>2.9896061533904485E-2</v>
      </c>
      <c r="H27" s="42" cm="1">
        <f t="array" aca="1" ref="H27" ca="1">INDIRECT("'"&amp;B27&amp;"'!"&amp;$H$5&amp;$K$5)+0.01</f>
        <v>2.6347000000000002E-2</v>
      </c>
      <c r="I27" s="47">
        <f ca="1">F27-F28</f>
        <v>-9.1229999999882239E-3</v>
      </c>
      <c r="J27" s="48">
        <f ca="1">SQRT((G27^2)+(I27^2))</f>
        <v>3.1257057190957512E-2</v>
      </c>
      <c r="K27" s="48">
        <f t="shared" ref="K27:K38" ca="1" si="21">(J27/(C27-C28))*31</f>
        <v>2.2275144205050178E-3</v>
      </c>
      <c r="L27" s="47">
        <f ca="1">L28+J27</f>
        <v>0.57216844828629732</v>
      </c>
      <c r="M27" s="4"/>
      <c r="O27" s="64">
        <f t="shared" ca="1" si="0"/>
        <v>10</v>
      </c>
      <c r="P27" s="65">
        <v>22</v>
      </c>
      <c r="Q27" s="66">
        <v>17</v>
      </c>
      <c r="R27" s="67" t="str" cm="1">
        <f t="array" aca="1" ref="R27" ca="1">IF((INDIRECT("'"&amp;R$8&amp;"'!"&amp;($P$6&amp;$P27)))&gt;0,"DATA","NULL")</f>
        <v>DATA</v>
      </c>
      <c r="S27" s="67" t="str" cm="1">
        <f t="array" aca="1" ref="S27" ca="1">IF((INDIRECT("'"&amp;S$8&amp;"'!"&amp;($P$6&amp;$P27)))&gt;0,"DATA","NULL")</f>
        <v>DATA</v>
      </c>
      <c r="T27" s="67" t="str" cm="1">
        <f t="array" aca="1" ref="T27" ca="1">IF((INDIRECT("'"&amp;T$8&amp;"'!"&amp;($P$6&amp;$P27)))&gt;0,"DATA","NULL")</f>
        <v>DATA</v>
      </c>
      <c r="U27" s="67" t="str" cm="1">
        <f t="array" aca="1" ref="U27" ca="1">IF((INDIRECT("'"&amp;U$8&amp;"'!"&amp;($P$6&amp;$P27)))&gt;0,"DATA","NULL")</f>
        <v>DATA</v>
      </c>
      <c r="V27" s="67" t="str" cm="1">
        <f t="array" aca="1" ref="V27" ca="1">IF((INDIRECT("'"&amp;V$8&amp;"'!"&amp;($P$6&amp;$P27)))&gt;0,"DATA","NULL")</f>
        <v>DATA</v>
      </c>
      <c r="W27" s="67" t="str" cm="1">
        <f t="array" aca="1" ref="W27" ca="1">IF((INDIRECT("'"&amp;W$8&amp;"'!"&amp;($P$6&amp;$P27)))&gt;0,"DATA","NULL")</f>
        <v>DATA</v>
      </c>
      <c r="X27" s="67" t="str" cm="1">
        <f t="array" aca="1" ref="X27" ca="1">IF((INDIRECT("'"&amp;X$8&amp;"'!"&amp;($P$6&amp;$P27)))&gt;0,"DATA","NULL")</f>
        <v>DATA</v>
      </c>
      <c r="Y27" s="67" t="str" cm="1">
        <f t="array" aca="1" ref="Y27" ca="1">IF((INDIRECT("'"&amp;Y$8&amp;"'!"&amp;($P$6&amp;$P27)))&gt;0,"DATA","NULL")</f>
        <v>NULL</v>
      </c>
      <c r="Z27" s="67" t="str" cm="1">
        <f t="array" aca="1" ref="Z27" ca="1">IF((INDIRECT("'"&amp;Z$8&amp;"'!"&amp;($P$6&amp;$P27)))&gt;0,"DATA","NULL")</f>
        <v>DATA</v>
      </c>
      <c r="AA27" s="67" t="str" cm="1">
        <f t="array" aca="1" ref="AA27" ca="1">IF((INDIRECT("'"&amp;AA$8&amp;"'!"&amp;($P$6&amp;$P27)))&gt;0,"DATA","NULL")</f>
        <v>DATA</v>
      </c>
      <c r="AB27" s="67" t="str" cm="1">
        <f t="array" aca="1" ref="AB27" ca="1">IF((INDIRECT("'"&amp;AB$8&amp;"'!"&amp;($P$6&amp;$P27)))&gt;0,"DATA","NULL")</f>
        <v>DATA</v>
      </c>
      <c r="AC27" s="67" t="str" cm="1">
        <f t="array" aca="1" ref="AC27" ca="1">IF((INDIRECT("'"&amp;AC$8&amp;"'!"&amp;($P$6&amp;$P27)))&gt;0,"DATA","NULL")</f>
        <v>NULL</v>
      </c>
      <c r="AD27" s="68" t="str" cm="1">
        <f t="array" aca="1" ref="AD27" ca="1">IF((INDIRECT("'"&amp;AD$8&amp;"'!"&amp;($P$6&amp;$P27)))&gt;0,"DATA","NULL")</f>
        <v>NULL</v>
      </c>
      <c r="AE27" s="31"/>
      <c r="AF27" s="31"/>
      <c r="AG27" s="31"/>
      <c r="AH27" s="31"/>
      <c r="AI27" s="31"/>
      <c r="AK27" t="s">
        <v>373</v>
      </c>
      <c r="AL27" s="1">
        <v>43382</v>
      </c>
      <c r="AM27" s="34" cm="1">
        <f t="array" aca="1" ref="AM27" ca="1">INDIRECT("'"&amp;$B28&amp;"'!"&amp;(D$5&amp;$P$12))</f>
        <v>1844327.038464</v>
      </c>
      <c r="AN27" s="34" cm="1">
        <f t="array" aca="1" ref="AN27" ca="1">INDIRECT("'"&amp;$B28&amp;"'!"&amp;(E$5&amp;$P$12))</f>
        <v>5596603.1330279997</v>
      </c>
      <c r="AO27" s="34" cm="1">
        <f t="array" aca="1" ref="AO27" ca="1">INDIRECT("'"&amp;$B28&amp;"'!"&amp;(F$5&amp;$P$12))</f>
        <v>430.35954299999997</v>
      </c>
      <c r="AP27" s="21">
        <f t="shared" ref="AP27:AP37" ca="1" si="22">SQRT(((AM27-AM28)^2)+((AN27-AN28)^2))</f>
        <v>8.480651588412505E-2</v>
      </c>
      <c r="AQ27" s="21" cm="1">
        <f t="array" aca="1" ref="AQ27" ca="1">INDIRECT("'"&amp;AK27&amp;"'!"&amp;$H$5&amp;$P$12)+0.01</f>
        <v>2.9463000000000003E-2</v>
      </c>
      <c r="AR27" s="23">
        <f t="shared" ref="AR27:AR37" ca="1" si="23">AO27-AO28</f>
        <v>-4.4139000000029682E-2</v>
      </c>
      <c r="AS27" s="7">
        <f t="shared" ref="AS27:AS37" ca="1" si="24">SQRT((AP27^2)+(AR27^2))</f>
        <v>9.5605420648658707E-2</v>
      </c>
      <c r="AT27" s="7">
        <f t="shared" ref="AT27:AT37" ca="1" si="25">(AS27/(AL27-AL28))*365</f>
        <v>0.17804070682020628</v>
      </c>
      <c r="AU27" s="23">
        <f t="shared" ref="AU27:AU37" ca="1" si="26">AU28+AS27</f>
        <v>0.54091139109533981</v>
      </c>
      <c r="AV27" s="23">
        <f t="shared" ref="AV27:AV37" ca="1" si="27">AV28+AR27</f>
        <v>-0.13500275000001238</v>
      </c>
      <c r="BK27" s="21" t="s">
        <v>526</v>
      </c>
      <c r="BL27" s="1">
        <v>43817</v>
      </c>
      <c r="BM27" s="34" cm="1">
        <f t="array" aca="1" ref="BM27" ca="1">INDIRECT("'"&amp;$B27&amp;"'!"&amp;(D$5&amp;$P$22))</f>
        <v>1844569.510278</v>
      </c>
      <c r="BN27" s="34" cm="1">
        <f t="array" aca="1" ref="BN27" ca="1">INDIRECT("'"&amp;$B27&amp;"'!"&amp;(E$5&amp;$P$22))</f>
        <v>5596015.778159</v>
      </c>
      <c r="BO27" s="34" cm="1">
        <f t="array" aca="1" ref="BO27" ca="1">INDIRECT("'"&amp;$B27&amp;"'!"&amp;(F$5&amp;$P$22))</f>
        <v>397.17468700000001</v>
      </c>
      <c r="BP27" s="7">
        <f ca="1">SQRT(((BM27-BM28)^2)+((BN27-BN28)^2))</f>
        <v>0.92881428861999482</v>
      </c>
      <c r="BQ27" s="7" cm="1">
        <f t="array" aca="1" ref="BQ27" ca="1">INDIRECT("'"&amp;BK27&amp;"'!"&amp;$H$5&amp;$P$22)+0.01</f>
        <v>2.7560000000000001E-2</v>
      </c>
      <c r="BR27" s="23">
        <f ca="1">BO27-BO28</f>
        <v>-0.38074799999998277</v>
      </c>
      <c r="BS27" s="7">
        <f ca="1">SQRT((BP27^2)+(BR27^2))</f>
        <v>1.0038251950656816</v>
      </c>
      <c r="BT27" s="7">
        <f t="shared" ref="BT27:BT38" ca="1" si="28">(BS27/(BL27-BL28))*31</f>
        <v>7.1536967924220984E-2</v>
      </c>
      <c r="BU27" s="23">
        <f ca="1">BU28+BS27</f>
        <v>3.9342536488857904</v>
      </c>
      <c r="BV27" s="23">
        <f ca="1">BV28+BR27</f>
        <v>-1.464858750000019</v>
      </c>
    </row>
    <row r="28" spans="2:74" x14ac:dyDescent="0.3">
      <c r="B28" s="45" t="s">
        <v>373</v>
      </c>
      <c r="C28" s="46">
        <v>43382</v>
      </c>
      <c r="D28" s="47" cm="1">
        <f t="array" aca="1" ref="D28" ca="1">INDIRECT("'"&amp;$B28&amp;"'!"&amp;(D$5&amp;$K$5))</f>
        <v>1844327.038464</v>
      </c>
      <c r="E28" s="47" cm="1">
        <f t="array" aca="1" ref="E28" ca="1">INDIRECT("'"&amp;$B28&amp;"'!"&amp;(E$5&amp;$K$5))</f>
        <v>5596603.1330279997</v>
      </c>
      <c r="F28" s="47" cm="1">
        <f t="array" aca="1" ref="F28" ca="1">INDIRECT("'"&amp;$B28&amp;"'!"&amp;(F$5&amp;$K$5))</f>
        <v>430.35954299999997</v>
      </c>
      <c r="G28" s="42">
        <f ca="1">SQRT(((D28-D29)^2)+((E28-E29)^2))</f>
        <v>8.480651588412505E-2</v>
      </c>
      <c r="H28" s="42" cm="1">
        <f t="array" aca="1" ref="H28" ca="1">INDIRECT("'"&amp;B28&amp;"'!"&amp;$H$5&amp;$K$5)+0.01</f>
        <v>2.9463000000000003E-2</v>
      </c>
      <c r="I28" s="47">
        <f ca="1">F28-F29</f>
        <v>-4.4139000000029682E-2</v>
      </c>
      <c r="J28" s="48">
        <f t="shared" ref="J28" ca="1" si="29">SQRT((G28^2)+(I28^2))</f>
        <v>9.5605420648658707E-2</v>
      </c>
      <c r="K28" s="48">
        <f t="shared" ca="1" si="21"/>
        <v>1.5121265510757246E-2</v>
      </c>
      <c r="L28" s="47">
        <f t="shared" ref="L28" ca="1" si="30">L29+J28</f>
        <v>0.54091139109533981</v>
      </c>
      <c r="M28" s="4"/>
      <c r="O28" s="64">
        <f t="shared" ca="1" si="0"/>
        <v>12</v>
      </c>
      <c r="P28" s="65">
        <v>23</v>
      </c>
      <c r="Q28" s="66">
        <v>18</v>
      </c>
      <c r="R28" s="67" t="str" cm="1">
        <f t="array" aca="1" ref="R28" ca="1">IF((INDIRECT("'"&amp;R$8&amp;"'!"&amp;($P$6&amp;$P28)))&gt;0,"DATA","NULL")</f>
        <v>DATA</v>
      </c>
      <c r="S28" s="67" t="str" cm="1">
        <f t="array" aca="1" ref="S28" ca="1">IF((INDIRECT("'"&amp;S$8&amp;"'!"&amp;($P$6&amp;$P28)))&gt;0,"DATA","NULL")</f>
        <v>DATA</v>
      </c>
      <c r="T28" s="67" t="str" cm="1">
        <f t="array" aca="1" ref="T28" ca="1">IF((INDIRECT("'"&amp;T$8&amp;"'!"&amp;($P$6&amp;$P28)))&gt;0,"DATA","NULL")</f>
        <v>DATA</v>
      </c>
      <c r="U28" s="67" t="str" cm="1">
        <f t="array" aca="1" ref="U28" ca="1">IF((INDIRECT("'"&amp;U$8&amp;"'!"&amp;($P$6&amp;$P28)))&gt;0,"DATA","NULL")</f>
        <v>DATA</v>
      </c>
      <c r="V28" s="67" t="str" cm="1">
        <f t="array" aca="1" ref="V28" ca="1">IF((INDIRECT("'"&amp;V$8&amp;"'!"&amp;($P$6&amp;$P28)))&gt;0,"DATA","NULL")</f>
        <v>DATA</v>
      </c>
      <c r="W28" s="67" t="str" cm="1">
        <f t="array" aca="1" ref="W28" ca="1">IF((INDIRECT("'"&amp;W$8&amp;"'!"&amp;($P$6&amp;$P28)))&gt;0,"DATA","NULL")</f>
        <v>DATA</v>
      </c>
      <c r="X28" s="67" t="str" cm="1">
        <f t="array" aca="1" ref="X28" ca="1">IF((INDIRECT("'"&amp;X$8&amp;"'!"&amp;($P$6&amp;$P28)))&gt;0,"DATA","NULL")</f>
        <v>DATA</v>
      </c>
      <c r="Y28" s="67" t="str" cm="1">
        <f t="array" aca="1" ref="Y28" ca="1">IF((INDIRECT("'"&amp;Y$8&amp;"'!"&amp;($P$6&amp;$P28)))&gt;0,"DATA","NULL")</f>
        <v>NULL</v>
      </c>
      <c r="Z28" s="67" t="str" cm="1">
        <f t="array" aca="1" ref="Z28" ca="1">IF((INDIRECT("'"&amp;Z$8&amp;"'!"&amp;($P$6&amp;$P28)))&gt;0,"DATA","NULL")</f>
        <v>DATA</v>
      </c>
      <c r="AA28" s="67" t="str" cm="1">
        <f t="array" aca="1" ref="AA28" ca="1">IF((INDIRECT("'"&amp;AA$8&amp;"'!"&amp;($P$6&amp;$P28)))&gt;0,"DATA","NULL")</f>
        <v>DATA</v>
      </c>
      <c r="AB28" s="67" t="str" cm="1">
        <f t="array" aca="1" ref="AB28" ca="1">IF((INDIRECT("'"&amp;AB$8&amp;"'!"&amp;($P$6&amp;$P28)))&gt;0,"DATA","NULL")</f>
        <v>DATA</v>
      </c>
      <c r="AC28" s="67" t="str" cm="1">
        <f t="array" aca="1" ref="AC28" ca="1">IF((INDIRECT("'"&amp;AC$8&amp;"'!"&amp;($P$6&amp;$P28)))&gt;0,"DATA","NULL")</f>
        <v>DATA</v>
      </c>
      <c r="AD28" s="68" t="str" cm="1">
        <f t="array" aca="1" ref="AD28" ca="1">IF((INDIRECT("'"&amp;AD$8&amp;"'!"&amp;($P$6&amp;$P28)))&gt;0,"DATA","NULL")</f>
        <v>DATA</v>
      </c>
      <c r="AE28" s="31"/>
      <c r="AF28" s="31"/>
      <c r="AG28" s="31"/>
      <c r="AH28" s="31"/>
      <c r="AI28" s="31"/>
      <c r="AK28" t="s">
        <v>375</v>
      </c>
      <c r="AL28" s="1">
        <v>43186</v>
      </c>
      <c r="AM28" s="34" cm="1">
        <f t="array" aca="1" ref="AM28" ca="1">INDIRECT("'"&amp;$B29&amp;"'!"&amp;(D$5&amp;$P$12))</f>
        <v>1844327.083837</v>
      </c>
      <c r="AN28" s="34" cm="1">
        <f t="array" aca="1" ref="AN28" ca="1">INDIRECT("'"&amp;$B29&amp;"'!"&amp;(E$5&amp;$P$12))</f>
        <v>5596603.2046760004</v>
      </c>
      <c r="AO28" s="34" cm="1">
        <f t="array" aca="1" ref="AO28" ca="1">INDIRECT("'"&amp;$B29&amp;"'!"&amp;(F$5&amp;$P$12))</f>
        <v>430.403682</v>
      </c>
      <c r="AP28" s="21">
        <f t="shared" ca="1" si="22"/>
        <v>1.6798052337444917E-2</v>
      </c>
      <c r="AQ28" s="21" cm="1">
        <f t="array" aca="1" ref="AQ28" ca="1">INDIRECT("'"&amp;AK28&amp;"'!"&amp;$H$5&amp;$P$12)+0.01</f>
        <v>3.3222000000000002E-2</v>
      </c>
      <c r="AR28" s="23">
        <f t="shared" ca="1" si="23"/>
        <v>-3.7570000000016535E-2</v>
      </c>
      <c r="AS28" s="7">
        <f t="shared" ca="1" si="24"/>
        <v>4.1154337102336867E-2</v>
      </c>
      <c r="AT28" s="7">
        <f t="shared" ca="1" si="25"/>
        <v>8.99481020500177E-2</v>
      </c>
      <c r="AU28" s="23">
        <f t="shared" ca="1" si="26"/>
        <v>0.44530597044668113</v>
      </c>
      <c r="AV28" s="23">
        <f t="shared" ca="1" si="27"/>
        <v>-9.0863749999982701E-2</v>
      </c>
      <c r="BK28" s="21" t="s">
        <v>373</v>
      </c>
      <c r="BL28" s="1">
        <v>43382</v>
      </c>
      <c r="BM28" s="34" cm="1">
        <f t="array" aca="1" ref="BM28" ca="1">INDIRECT("'"&amp;$B28&amp;"'!"&amp;(D$5&amp;$P$22))</f>
        <v>1844569.6195090001</v>
      </c>
      <c r="BN28" s="34" cm="1">
        <f t="array" aca="1" ref="BN28" ca="1">INDIRECT("'"&amp;$B28&amp;"'!"&amp;(E$5&amp;$P$22))</f>
        <v>5596016.7005279996</v>
      </c>
      <c r="BO28" s="34" cm="1">
        <f t="array" aca="1" ref="BO28" ca="1">INDIRECT("'"&amp;$B28&amp;"'!"&amp;(F$5&amp;$P$22))</f>
        <v>397.55543499999999</v>
      </c>
      <c r="BP28" s="7">
        <f t="shared" ref="BP28:BP38" ca="1" si="31">SQRT(((BM28-BM29)^2)+((BN28-BN29)^2))</f>
        <v>0.62104407177899856</v>
      </c>
      <c r="BQ28" s="7" cm="1">
        <f t="array" aca="1" ref="BQ28" ca="1">INDIRECT("'"&amp;BK28&amp;"'!"&amp;$H$5&amp;$P$22)+0.01</f>
        <v>3.0290999999999998E-2</v>
      </c>
      <c r="BR28" s="23">
        <f t="shared" ref="BR28:BR38" ca="1" si="32">BO28-BO29</f>
        <v>-0.24552900000003319</v>
      </c>
      <c r="BS28" s="7">
        <f t="shared" ref="BS28:BS38" ca="1" si="33">SQRT((BP28^2)+(BR28^2))</f>
        <v>0.66781751169975634</v>
      </c>
      <c r="BT28" s="7">
        <f t="shared" ca="1" si="28"/>
        <v>0.1056241982790431</v>
      </c>
      <c r="BU28" s="23">
        <f t="shared" ref="BU28:BU38" ca="1" si="34">BU29+BS28</f>
        <v>2.9304284538201086</v>
      </c>
      <c r="BV28" s="23">
        <f t="shared" ref="BV28:BV38" ca="1" si="35">BV29+BR28</f>
        <v>-1.0841107500000362</v>
      </c>
    </row>
    <row r="29" spans="2:74" x14ac:dyDescent="0.3">
      <c r="B29" s="49" t="s">
        <v>375</v>
      </c>
      <c r="C29" s="46">
        <v>43186</v>
      </c>
      <c r="D29" s="47" cm="1">
        <f t="array" aca="1" ref="D29" ca="1">INDIRECT("'"&amp;$B29&amp;"'!"&amp;(D$5&amp;$K$5))</f>
        <v>1844327.083837</v>
      </c>
      <c r="E29" s="47" cm="1">
        <f t="array" aca="1" ref="E29" ca="1">INDIRECT("'"&amp;$B29&amp;"'!"&amp;(E$5&amp;$K$5))</f>
        <v>5596603.2046760004</v>
      </c>
      <c r="F29" s="47" cm="1">
        <f t="array" aca="1" ref="F29" ca="1">INDIRECT("'"&amp;$B29&amp;"'!"&amp;(F$5&amp;$K$5))</f>
        <v>430.403682</v>
      </c>
      <c r="G29" s="42">
        <f t="shared" ref="G29:G37" ca="1" si="36">SQRT(((D29-D30)^2)+((E29-E30)^2))</f>
        <v>1.6798052337444917E-2</v>
      </c>
      <c r="H29" s="42" cm="1">
        <f t="array" aca="1" ref="H29" ca="1">INDIRECT("'"&amp;B29&amp;"'!"&amp;$H$5&amp;$K$5)+0.01</f>
        <v>3.3222000000000002E-2</v>
      </c>
      <c r="I29" s="47">
        <f t="shared" ref="I29:I36" ca="1" si="37">F29-F30</f>
        <v>-3.7570000000016535E-2</v>
      </c>
      <c r="J29" s="48">
        <f ca="1">SQRT((G29^2)+(I29^2))</f>
        <v>4.1154337102336867E-2</v>
      </c>
      <c r="K29" s="48">
        <f t="shared" ca="1" si="21"/>
        <v>7.6394278453439692E-3</v>
      </c>
      <c r="L29" s="47">
        <f t="shared" ref="L29:L36" ca="1" si="38">L30+J29</f>
        <v>0.44530597044668113</v>
      </c>
      <c r="M29" s="4"/>
      <c r="O29" s="64">
        <f t="shared" ca="1" si="0"/>
        <v>12</v>
      </c>
      <c r="P29" s="65">
        <v>24</v>
      </c>
      <c r="Q29" s="66">
        <v>19</v>
      </c>
      <c r="R29" s="67" t="str" cm="1">
        <f t="array" aca="1" ref="R29" ca="1">IF((INDIRECT("'"&amp;R$8&amp;"'!"&amp;($P$6&amp;$P29)))&gt;0,"DATA","NULL")</f>
        <v>DATA</v>
      </c>
      <c r="S29" s="67" t="str" cm="1">
        <f t="array" aca="1" ref="S29" ca="1">IF((INDIRECT("'"&amp;S$8&amp;"'!"&amp;($P$6&amp;$P29)))&gt;0,"DATA","NULL")</f>
        <v>DATA</v>
      </c>
      <c r="T29" s="67" t="str" cm="1">
        <f t="array" aca="1" ref="T29" ca="1">IF((INDIRECT("'"&amp;T$8&amp;"'!"&amp;($P$6&amp;$P29)))&gt;0,"DATA","NULL")</f>
        <v>DATA</v>
      </c>
      <c r="U29" s="67" t="str" cm="1">
        <f t="array" aca="1" ref="U29" ca="1">IF((INDIRECT("'"&amp;U$8&amp;"'!"&amp;($P$6&amp;$P29)))&gt;0,"DATA","NULL")</f>
        <v>DATA</v>
      </c>
      <c r="V29" s="67" t="str" cm="1">
        <f t="array" aca="1" ref="V29" ca="1">IF((INDIRECT("'"&amp;V$8&amp;"'!"&amp;($P$6&amp;$P29)))&gt;0,"DATA","NULL")</f>
        <v>DATA</v>
      </c>
      <c r="W29" s="67" t="str" cm="1">
        <f t="array" aca="1" ref="W29" ca="1">IF((INDIRECT("'"&amp;W$8&amp;"'!"&amp;($P$6&amp;$P29)))&gt;0,"DATA","NULL")</f>
        <v>DATA</v>
      </c>
      <c r="X29" s="67" t="str" cm="1">
        <f t="array" aca="1" ref="X29" ca="1">IF((INDIRECT("'"&amp;X$8&amp;"'!"&amp;($P$6&amp;$P29)))&gt;0,"DATA","NULL")</f>
        <v>DATA</v>
      </c>
      <c r="Y29" s="67" t="str" cm="1">
        <f t="array" aca="1" ref="Y29" ca="1">IF((INDIRECT("'"&amp;Y$8&amp;"'!"&amp;($P$6&amp;$P29)))&gt;0,"DATA","NULL")</f>
        <v>NULL</v>
      </c>
      <c r="Z29" s="67" t="str" cm="1">
        <f t="array" aca="1" ref="Z29" ca="1">IF((INDIRECT("'"&amp;Z$8&amp;"'!"&amp;($P$6&amp;$P29)))&gt;0,"DATA","NULL")</f>
        <v>DATA</v>
      </c>
      <c r="AA29" s="67" t="str" cm="1">
        <f t="array" aca="1" ref="AA29" ca="1">IF((INDIRECT("'"&amp;AA$8&amp;"'!"&amp;($P$6&amp;$P29)))&gt;0,"DATA","NULL")</f>
        <v>DATA</v>
      </c>
      <c r="AB29" s="67" t="str" cm="1">
        <f t="array" aca="1" ref="AB29" ca="1">IF((INDIRECT("'"&amp;AB$8&amp;"'!"&amp;($P$6&amp;$P29)))&gt;0,"DATA","NULL")</f>
        <v>DATA</v>
      </c>
      <c r="AC29" s="67" t="str" cm="1">
        <f t="array" aca="1" ref="AC29" ca="1">IF((INDIRECT("'"&amp;AC$8&amp;"'!"&amp;($P$6&amp;$P29)))&gt;0,"DATA","NULL")</f>
        <v>DATA</v>
      </c>
      <c r="AD29" s="68" t="str" cm="1">
        <f t="array" aca="1" ref="AD29" ca="1">IF((INDIRECT("'"&amp;AD$8&amp;"'!"&amp;($P$6&amp;$P29)))&gt;0,"DATA","NULL")</f>
        <v>DATA</v>
      </c>
      <c r="AE29" s="31"/>
      <c r="AF29" s="31"/>
      <c r="AG29" s="31"/>
      <c r="AH29" s="31"/>
      <c r="AI29" s="31"/>
      <c r="AK29" t="s">
        <v>374</v>
      </c>
      <c r="AL29" s="1">
        <v>43019</v>
      </c>
      <c r="AM29" s="34" cm="1">
        <f t="array" aca="1" ref="AM29" ca="1">INDIRECT("'"&amp;$B30&amp;"'!"&amp;(D$5&amp;$P$12))</f>
        <v>1844327.0887549999</v>
      </c>
      <c r="AN29" s="34" cm="1">
        <f t="array" aca="1" ref="AN29" ca="1">INDIRECT("'"&amp;$B30&amp;"'!"&amp;(E$5&amp;$P$12))</f>
        <v>5596603.2207380002</v>
      </c>
      <c r="AO29" s="34" cm="1">
        <f t="array" aca="1" ref="AO29" ca="1">INDIRECT("'"&amp;$B30&amp;"'!"&amp;(F$5&amp;$P$12))</f>
        <v>430.44125200000002</v>
      </c>
      <c r="AP29" s="21">
        <f t="shared" ca="1" si="22"/>
        <v>3.8343684970121035E-2</v>
      </c>
      <c r="AQ29" s="21" cm="1">
        <f t="array" aca="1" ref="AQ29" ca="1">INDIRECT("'"&amp;AK29&amp;"'!"&amp;$H$5&amp;$P$12)+0.01</f>
        <v>2.4635000000000001E-2</v>
      </c>
      <c r="AR29" s="23">
        <f t="shared" ca="1" si="23"/>
        <v>-4.5769000000007054E-2</v>
      </c>
      <c r="AS29" s="7">
        <f t="shared" ca="1" si="24"/>
        <v>5.9707952050698676E-2</v>
      </c>
      <c r="AT29" s="7">
        <f t="shared" ca="1" si="25"/>
        <v>0.20955194710100977</v>
      </c>
      <c r="AU29" s="23">
        <f t="shared" ca="1" si="26"/>
        <v>0.40415163334434429</v>
      </c>
      <c r="AV29" s="23">
        <f t="shared" ca="1" si="27"/>
        <v>-5.3293749999966167E-2</v>
      </c>
      <c r="BK29" s="21" t="s">
        <v>375</v>
      </c>
      <c r="BL29" s="1">
        <v>43186</v>
      </c>
      <c r="BM29" s="34" cm="1">
        <f t="array" aca="1" ref="BM29" ca="1">INDIRECT("'"&amp;$B29&amp;"'!"&amp;(D$5&amp;$P$22))</f>
        <v>1844569.7025369999</v>
      </c>
      <c r="BN29" s="34" cm="1">
        <f t="array" aca="1" ref="BN29" ca="1">INDIRECT("'"&amp;$B29&amp;"'!"&amp;(E$5&amp;$P$22))</f>
        <v>5596017.3159969999</v>
      </c>
      <c r="BO29" s="34" cm="1">
        <f t="array" aca="1" ref="BO29" ca="1">INDIRECT("'"&amp;$B29&amp;"'!"&amp;(F$5&amp;$P$22))</f>
        <v>397.80096400000002</v>
      </c>
      <c r="BP29" s="7">
        <f t="shared" ca="1" si="31"/>
        <v>0.37069708043133293</v>
      </c>
      <c r="BQ29" s="7" cm="1">
        <f t="array" aca="1" ref="BQ29" ca="1">INDIRECT("'"&amp;BK29&amp;"'!"&amp;$H$5&amp;$P$22)+0.01</f>
        <v>4.1902000000000002E-2</v>
      </c>
      <c r="BR29" s="23">
        <f t="shared" ca="1" si="32"/>
        <v>-0.15898799999996527</v>
      </c>
      <c r="BS29" s="7">
        <f t="shared" ca="1" si="33"/>
        <v>0.40335283510135772</v>
      </c>
      <c r="BT29" s="7">
        <f t="shared" ca="1" si="28"/>
        <v>7.48738795697131E-2</v>
      </c>
      <c r="BU29" s="23">
        <f t="shared" ca="1" si="34"/>
        <v>2.2626109421203524</v>
      </c>
      <c r="BV29" s="23">
        <f t="shared" ca="1" si="35"/>
        <v>-0.83858175000000301</v>
      </c>
    </row>
    <row r="30" spans="2:74" x14ac:dyDescent="0.3">
      <c r="B30" s="45" t="s">
        <v>374</v>
      </c>
      <c r="C30" s="46">
        <v>43019</v>
      </c>
      <c r="D30" s="47" cm="1">
        <f t="array" aca="1" ref="D30" ca="1">INDIRECT("'"&amp;$B30&amp;"'!"&amp;(D$5&amp;$K$5))</f>
        <v>1844327.0887549999</v>
      </c>
      <c r="E30" s="47" cm="1">
        <f t="array" aca="1" ref="E30" ca="1">INDIRECT("'"&amp;$B30&amp;"'!"&amp;(E$5&amp;$K$5))</f>
        <v>5596603.2207380002</v>
      </c>
      <c r="F30" s="47" cm="1">
        <f t="array" aca="1" ref="F30" ca="1">INDIRECT("'"&amp;$B30&amp;"'!"&amp;(F$5&amp;$K$5))</f>
        <v>430.44125200000002</v>
      </c>
      <c r="G30" s="42">
        <f t="shared" ca="1" si="36"/>
        <v>3.8343684970121035E-2</v>
      </c>
      <c r="H30" s="42" cm="1">
        <f t="array" aca="1" ref="H30" ca="1">INDIRECT("'"&amp;B30&amp;"'!"&amp;$H$5&amp;$K$5)+0.01</f>
        <v>2.4635000000000001E-2</v>
      </c>
      <c r="I30" s="47">
        <f t="shared" ca="1" si="37"/>
        <v>-4.5769000000007054E-2</v>
      </c>
      <c r="J30" s="48">
        <f t="shared" ref="J30:J36" ca="1" si="39">SQRT((G30^2)+(I30^2))</f>
        <v>5.9707952050698676E-2</v>
      </c>
      <c r="K30" s="48">
        <f t="shared" ca="1" si="21"/>
        <v>1.779756263049672E-2</v>
      </c>
      <c r="L30" s="47">
        <f t="shared" ca="1" si="38"/>
        <v>0.40415163334434429</v>
      </c>
      <c r="M30" s="4"/>
      <c r="O30" s="64">
        <f t="shared" ca="1" si="0"/>
        <v>11</v>
      </c>
      <c r="P30" s="65">
        <v>25</v>
      </c>
      <c r="Q30" s="66">
        <v>20</v>
      </c>
      <c r="R30" s="67" t="str" cm="1">
        <f t="array" aca="1" ref="R30" ca="1">IF((INDIRECT("'"&amp;R$8&amp;"'!"&amp;($P$6&amp;$P30)))&gt;0,"DATA","NULL")</f>
        <v>DATA</v>
      </c>
      <c r="S30" s="67" t="str" cm="1">
        <f t="array" aca="1" ref="S30" ca="1">IF((INDIRECT("'"&amp;S$8&amp;"'!"&amp;($P$6&amp;$P30)))&gt;0,"DATA","NULL")</f>
        <v>DATA</v>
      </c>
      <c r="T30" s="67" t="str" cm="1">
        <f t="array" aca="1" ref="T30" ca="1">IF((INDIRECT("'"&amp;T$8&amp;"'!"&amp;($P$6&amp;$P30)))&gt;0,"DATA","NULL")</f>
        <v>DATA</v>
      </c>
      <c r="U30" s="67" t="str" cm="1">
        <f t="array" aca="1" ref="U30" ca="1">IF((INDIRECT("'"&amp;U$8&amp;"'!"&amp;($P$6&amp;$P30)))&gt;0,"DATA","NULL")</f>
        <v>NULL</v>
      </c>
      <c r="V30" s="67" t="str" cm="1">
        <f t="array" aca="1" ref="V30" ca="1">IF((INDIRECT("'"&amp;V$8&amp;"'!"&amp;($P$6&amp;$P30)))&gt;0,"DATA","NULL")</f>
        <v>DATA</v>
      </c>
      <c r="W30" s="67" t="str" cm="1">
        <f t="array" aca="1" ref="W30" ca="1">IF((INDIRECT("'"&amp;W$8&amp;"'!"&amp;($P$6&amp;$P30)))&gt;0,"DATA","NULL")</f>
        <v>DATA</v>
      </c>
      <c r="X30" s="67" t="str" cm="1">
        <f t="array" aca="1" ref="X30" ca="1">IF((INDIRECT("'"&amp;X$8&amp;"'!"&amp;($P$6&amp;$P30)))&gt;0,"DATA","NULL")</f>
        <v>DATA</v>
      </c>
      <c r="Y30" s="67" t="str" cm="1">
        <f t="array" aca="1" ref="Y30" ca="1">IF((INDIRECT("'"&amp;Y$8&amp;"'!"&amp;($P$6&amp;$P30)))&gt;0,"DATA","NULL")</f>
        <v>NULL</v>
      </c>
      <c r="Z30" s="67" t="str" cm="1">
        <f t="array" aca="1" ref="Z30" ca="1">IF((INDIRECT("'"&amp;Z$8&amp;"'!"&amp;($P$6&amp;$P30)))&gt;0,"DATA","NULL")</f>
        <v>DATA</v>
      </c>
      <c r="AA30" s="67" t="str" cm="1">
        <f t="array" aca="1" ref="AA30" ca="1">IF((INDIRECT("'"&amp;AA$8&amp;"'!"&amp;($P$6&amp;$P30)))&gt;0,"DATA","NULL")</f>
        <v>DATA</v>
      </c>
      <c r="AB30" s="67" t="str" cm="1">
        <f t="array" aca="1" ref="AB30" ca="1">IF((INDIRECT("'"&amp;AB$8&amp;"'!"&amp;($P$6&amp;$P30)))&gt;0,"DATA","NULL")</f>
        <v>DATA</v>
      </c>
      <c r="AC30" s="67" t="str" cm="1">
        <f t="array" aca="1" ref="AC30" ca="1">IF((INDIRECT("'"&amp;AC$8&amp;"'!"&amp;($P$6&amp;$P30)))&gt;0,"DATA","NULL")</f>
        <v>DATA</v>
      </c>
      <c r="AD30" s="68" t="str" cm="1">
        <f t="array" aca="1" ref="AD30" ca="1">IF((INDIRECT("'"&amp;AD$8&amp;"'!"&amp;($P$6&amp;$P30)))&gt;0,"DATA","NULL")</f>
        <v>DATA</v>
      </c>
      <c r="AE30" s="31"/>
      <c r="AF30" s="31"/>
      <c r="AG30" s="31"/>
      <c r="AH30" s="31"/>
      <c r="AI30" s="31"/>
      <c r="AK30" t="s">
        <v>376</v>
      </c>
      <c r="AL30" s="1">
        <v>42915</v>
      </c>
      <c r="AM30" s="34" cm="1">
        <f t="array" aca="1" ref="AM30" ca="1">INDIRECT("'"&amp;$B31&amp;"'!"&amp;(D$5&amp;$P$12))</f>
        <v>1844327.105854</v>
      </c>
      <c r="AN30" s="34" cm="1">
        <f t="array" aca="1" ref="AN30" ca="1">INDIRECT("'"&amp;$B31&amp;"'!"&amp;(E$5&amp;$P$12))</f>
        <v>5596603.2550579999</v>
      </c>
      <c r="AO30" s="34" cm="1">
        <f t="array" aca="1" ref="AO30" ca="1">INDIRECT("'"&amp;$B31&amp;"'!"&amp;(F$5&amp;$P$12))</f>
        <v>430.48702100000003</v>
      </c>
      <c r="AP30" s="21">
        <f t="shared" ca="1" si="22"/>
        <v>4.5022763704009296E-2</v>
      </c>
      <c r="AQ30" s="21" cm="1">
        <f t="array" aca="1" ref="AQ30" ca="1">INDIRECT("'"&amp;AK30&amp;"'!"&amp;$H$5&amp;$P$12)+0.01</f>
        <v>5.3945E-2</v>
      </c>
      <c r="AR30" s="23">
        <f t="shared" ca="1" si="23"/>
        <v>4.1283000000021275E-2</v>
      </c>
      <c r="AS30" s="7">
        <f t="shared" ca="1" si="24"/>
        <v>6.1084657161588569E-2</v>
      </c>
      <c r="AT30" s="7">
        <f t="shared" ca="1" si="25"/>
        <v>0.22075148380178047</v>
      </c>
      <c r="AU30" s="23">
        <f t="shared" ca="1" si="26"/>
        <v>0.34444368129364561</v>
      </c>
      <c r="AV30" s="23">
        <f t="shared" ca="1" si="27"/>
        <v>-7.5247499999591128E-3</v>
      </c>
      <c r="BK30" s="21" t="s">
        <v>374</v>
      </c>
      <c r="BL30" s="1">
        <v>43019</v>
      </c>
      <c r="BM30" s="34" cm="1">
        <f t="array" aca="1" ref="BM30" ca="1">INDIRECT("'"&amp;$B30&amp;"'!"&amp;(D$5&amp;$P$22))</f>
        <v>1844569.7649920001</v>
      </c>
      <c r="BN30" s="34" cm="1">
        <f t="array" aca="1" ref="BN30" ca="1">INDIRECT("'"&amp;$B30&amp;"'!"&amp;(E$5&amp;$P$22))</f>
        <v>5596017.6813949998</v>
      </c>
      <c r="BO30" s="34" cm="1">
        <f t="array" aca="1" ref="BO30" ca="1">INDIRECT("'"&amp;$B30&amp;"'!"&amp;(F$5&amp;$P$22))</f>
        <v>397.95995199999999</v>
      </c>
      <c r="BP30" s="7">
        <f t="shared" ca="1" si="31"/>
        <v>0.36032262981776297</v>
      </c>
      <c r="BQ30" s="7" cm="1">
        <f t="array" aca="1" ref="BQ30" ca="1">INDIRECT("'"&amp;BK30&amp;"'!"&amp;$H$5&amp;$P$22)+0.01</f>
        <v>3.4409000000000002E-2</v>
      </c>
      <c r="BR30" s="23">
        <f t="shared" ca="1" si="32"/>
        <v>-0.21585500000003321</v>
      </c>
      <c r="BS30" s="7">
        <f t="shared" ca="1" si="33"/>
        <v>0.42003068766913088</v>
      </c>
      <c r="BT30" s="7">
        <f t="shared" ca="1" si="28"/>
        <v>0.12520145497829863</v>
      </c>
      <c r="BU30" s="23">
        <f t="shared" ca="1" si="34"/>
        <v>1.8592581070189949</v>
      </c>
      <c r="BV30" s="23">
        <f t="shared" ca="1" si="35"/>
        <v>-0.67959375000003774</v>
      </c>
    </row>
    <row r="31" spans="2:74" x14ac:dyDescent="0.3">
      <c r="B31" s="45" t="s">
        <v>376</v>
      </c>
      <c r="C31" s="46">
        <v>42915</v>
      </c>
      <c r="D31" s="47" cm="1">
        <f t="array" aca="1" ref="D31" ca="1">INDIRECT("'"&amp;$B31&amp;"'!"&amp;(D$5&amp;$K$5))</f>
        <v>1844327.105854</v>
      </c>
      <c r="E31" s="47" cm="1">
        <f t="array" aca="1" ref="E31" ca="1">INDIRECT("'"&amp;$B31&amp;"'!"&amp;(E$5&amp;$K$5))</f>
        <v>5596603.2550579999</v>
      </c>
      <c r="F31" s="47" cm="1">
        <f t="array" aca="1" ref="F31" ca="1">INDIRECT("'"&amp;$B31&amp;"'!"&amp;(F$5&amp;$K$5))</f>
        <v>430.48702100000003</v>
      </c>
      <c r="G31" s="42">
        <f t="shared" ca="1" si="36"/>
        <v>4.5022763704009296E-2</v>
      </c>
      <c r="H31" s="42" cm="1">
        <f t="array" aca="1" ref="H31" ca="1">INDIRECT("'"&amp;B31&amp;"'!"&amp;$H$5&amp;$K$5)+0.01</f>
        <v>5.3945E-2</v>
      </c>
      <c r="I31" s="47">
        <f t="shared" ca="1" si="37"/>
        <v>4.1283000000021275E-2</v>
      </c>
      <c r="J31" s="48">
        <f t="shared" ca="1" si="39"/>
        <v>6.1084657161588569E-2</v>
      </c>
      <c r="K31" s="48">
        <f t="shared" ca="1" si="21"/>
        <v>1.8748756158507383E-2</v>
      </c>
      <c r="L31" s="47">
        <f ca="1">L32+J31</f>
        <v>0.34444368129364561</v>
      </c>
      <c r="M31" s="4"/>
      <c r="O31" s="64">
        <f t="shared" ca="1" si="0"/>
        <v>13</v>
      </c>
      <c r="P31" s="65">
        <v>26</v>
      </c>
      <c r="Q31" s="66">
        <v>21</v>
      </c>
      <c r="R31" s="67" t="str" cm="1">
        <f t="array" aca="1" ref="R31" ca="1">IF((INDIRECT("'"&amp;R$8&amp;"'!"&amp;($P$6&amp;$P31)))&gt;0,"DATA","NULL")</f>
        <v>DATA</v>
      </c>
      <c r="S31" s="67" t="str" cm="1">
        <f t="array" aca="1" ref="S31" ca="1">IF((INDIRECT("'"&amp;S$8&amp;"'!"&amp;($P$6&amp;$P31)))&gt;0,"DATA","NULL")</f>
        <v>DATA</v>
      </c>
      <c r="T31" s="67" t="str" cm="1">
        <f t="array" aca="1" ref="T31" ca="1">IF((INDIRECT("'"&amp;T$8&amp;"'!"&amp;($P$6&amp;$P31)))&gt;0,"DATA","NULL")</f>
        <v>DATA</v>
      </c>
      <c r="U31" s="67" t="str" cm="1">
        <f t="array" aca="1" ref="U31" ca="1">IF((INDIRECT("'"&amp;U$8&amp;"'!"&amp;($P$6&amp;$P31)))&gt;0,"DATA","NULL")</f>
        <v>DATA</v>
      </c>
      <c r="V31" s="67" t="str" cm="1">
        <f t="array" aca="1" ref="V31" ca="1">IF((INDIRECT("'"&amp;V$8&amp;"'!"&amp;($P$6&amp;$P31)))&gt;0,"DATA","NULL")</f>
        <v>DATA</v>
      </c>
      <c r="W31" s="67" t="str" cm="1">
        <f t="array" aca="1" ref="W31" ca="1">IF((INDIRECT("'"&amp;W$8&amp;"'!"&amp;($P$6&amp;$P31)))&gt;0,"DATA","NULL")</f>
        <v>DATA</v>
      </c>
      <c r="X31" s="67" t="str" cm="1">
        <f t="array" aca="1" ref="X31" ca="1">IF((INDIRECT("'"&amp;X$8&amp;"'!"&amp;($P$6&amp;$P31)))&gt;0,"DATA","NULL")</f>
        <v>DATA</v>
      </c>
      <c r="Y31" s="67" t="str" cm="1">
        <f t="array" aca="1" ref="Y31" ca="1">IF((INDIRECT("'"&amp;Y$8&amp;"'!"&amp;($P$6&amp;$P31)))&gt;0,"DATA","NULL")</f>
        <v>DATA</v>
      </c>
      <c r="Z31" s="67" t="str" cm="1">
        <f t="array" aca="1" ref="Z31" ca="1">IF((INDIRECT("'"&amp;Z$8&amp;"'!"&amp;($P$6&amp;$P31)))&gt;0,"DATA","NULL")</f>
        <v>DATA</v>
      </c>
      <c r="AA31" s="67" t="str" cm="1">
        <f t="array" aca="1" ref="AA31" ca="1">IF((INDIRECT("'"&amp;AA$8&amp;"'!"&amp;($P$6&amp;$P31)))&gt;0,"DATA","NULL")</f>
        <v>DATA</v>
      </c>
      <c r="AB31" s="67" t="str" cm="1">
        <f t="array" aca="1" ref="AB31" ca="1">IF((INDIRECT("'"&amp;AB$8&amp;"'!"&amp;($P$6&amp;$P31)))&gt;0,"DATA","NULL")</f>
        <v>DATA</v>
      </c>
      <c r="AC31" s="67" t="str" cm="1">
        <f t="array" aca="1" ref="AC31" ca="1">IF((INDIRECT("'"&amp;AC$8&amp;"'!"&amp;($P$6&amp;$P31)))&gt;0,"DATA","NULL")</f>
        <v>DATA</v>
      </c>
      <c r="AD31" s="68" t="str" cm="1">
        <f t="array" aca="1" ref="AD31" ca="1">IF((INDIRECT("'"&amp;AD$8&amp;"'!"&amp;($P$6&amp;$P31)))&gt;0,"DATA","NULL")</f>
        <v>DATA</v>
      </c>
      <c r="AE31" s="31"/>
      <c r="AF31" s="31"/>
      <c r="AG31" s="31"/>
      <c r="AH31" s="31"/>
      <c r="AI31" s="31"/>
      <c r="AK31" t="s">
        <v>377</v>
      </c>
      <c r="AL31" s="1">
        <v>42814</v>
      </c>
      <c r="AM31" s="34" cm="1">
        <f t="array" aca="1" ref="AM31" ca="1">INDIRECT("'"&amp;$B32&amp;"'!"&amp;(D$5&amp;$P$12))</f>
        <v>1844327.1392049999</v>
      </c>
      <c r="AN31" s="34" cm="1">
        <f t="array" aca="1" ref="AN31" ca="1">INDIRECT("'"&amp;$B32&amp;"'!"&amp;(E$5&amp;$P$12))</f>
        <v>5596603.2853030004</v>
      </c>
      <c r="AO31" s="34" cm="1">
        <f t="array" aca="1" ref="AO31" ca="1">INDIRECT("'"&amp;$B32&amp;"'!"&amp;(F$5&amp;$P$12))</f>
        <v>430.44573800000001</v>
      </c>
      <c r="AP31" s="21">
        <f t="shared" ca="1" si="22"/>
        <v>2.6058708769006567E-2</v>
      </c>
      <c r="AQ31" s="21" cm="1">
        <f t="array" aca="1" ref="AQ31" ca="1">INDIRECT("'"&amp;AK31&amp;"'!"&amp;$H$5&amp;$P$12)+0.01</f>
        <v>4.2608E-2</v>
      </c>
      <c r="AR31" s="23">
        <f t="shared" ca="1" si="23"/>
        <v>5.3900000000339787E-3</v>
      </c>
      <c r="AS31" s="7">
        <f t="shared" ca="1" si="24"/>
        <v>2.6610306324961124E-2</v>
      </c>
      <c r="AT31" s="7">
        <f t="shared" ca="1" si="25"/>
        <v>0.10117460217302927</v>
      </c>
      <c r="AU31" s="23">
        <f t="shared" ca="1" si="26"/>
        <v>0.28335902413205705</v>
      </c>
      <c r="AV31" s="23">
        <f t="shared" ca="1" si="27"/>
        <v>-4.8807749999980388E-2</v>
      </c>
      <c r="BK31" s="21" t="s">
        <v>376</v>
      </c>
      <c r="BL31" s="1">
        <v>42915</v>
      </c>
      <c r="BM31" s="34" cm="1">
        <f t="array" aca="1" ref="BM31" ca="1">INDIRECT("'"&amp;$B31&amp;"'!"&amp;(D$5&amp;$P$22))</f>
        <v>1844569.8312570001</v>
      </c>
      <c r="BN31" s="34" cm="1">
        <f t="array" aca="1" ref="BN31" ca="1">INDIRECT("'"&amp;$B31&amp;"'!"&amp;(E$5&amp;$P$22))</f>
        <v>5596018.0355719998</v>
      </c>
      <c r="BO31" s="34" cm="1">
        <f t="array" aca="1" ref="BO31" ca="1">INDIRECT("'"&amp;$B31&amp;"'!"&amp;(F$5&amp;$P$22))</f>
        <v>398.17580700000002</v>
      </c>
      <c r="BP31" s="7">
        <f t="shared" ca="1" si="31"/>
        <v>0.25845591196079915</v>
      </c>
      <c r="BQ31" s="7" cm="1">
        <f t="array" aca="1" ref="BQ31" ca="1">INDIRECT("'"&amp;BK31&amp;"'!"&amp;$H$5&amp;$P$22)+0.01</f>
        <v>5.2274000000000001E-2</v>
      </c>
      <c r="BR31" s="23">
        <f t="shared" ca="1" si="32"/>
        <v>-3.8050999999995838E-2</v>
      </c>
      <c r="BS31" s="7">
        <f t="shared" ca="1" si="33"/>
        <v>0.26124191284801151</v>
      </c>
      <c r="BT31" s="7">
        <f t="shared" ca="1" si="28"/>
        <v>8.0183161369191652E-2</v>
      </c>
      <c r="BU31" s="23">
        <f t="shared" ca="1" si="34"/>
        <v>1.439227419349864</v>
      </c>
      <c r="BV31" s="23">
        <f t="shared" ca="1" si="35"/>
        <v>-0.46373875000000453</v>
      </c>
    </row>
    <row r="32" spans="2:74" x14ac:dyDescent="0.3">
      <c r="B32" s="45" t="s">
        <v>377</v>
      </c>
      <c r="C32" s="46">
        <v>42814</v>
      </c>
      <c r="D32" s="47" cm="1">
        <f t="array" aca="1" ref="D32" ca="1">INDIRECT("'"&amp;$B32&amp;"'!"&amp;(D$5&amp;$K$5))</f>
        <v>1844327.1392049999</v>
      </c>
      <c r="E32" s="47" cm="1">
        <f t="array" aca="1" ref="E32" ca="1">INDIRECT("'"&amp;$B32&amp;"'!"&amp;(E$5&amp;$K$5))</f>
        <v>5596603.2853030004</v>
      </c>
      <c r="F32" s="47" cm="1">
        <f t="array" aca="1" ref="F32" ca="1">INDIRECT("'"&amp;$B32&amp;"'!"&amp;(F$5&amp;$K$5))</f>
        <v>430.44573800000001</v>
      </c>
      <c r="G32" s="42">
        <f t="shared" ca="1" si="36"/>
        <v>2.6058708769006567E-2</v>
      </c>
      <c r="H32" s="42" cm="1">
        <f t="array" aca="1" ref="H32" ca="1">INDIRECT("'"&amp;B32&amp;"'!"&amp;$H$5&amp;$K$5)+0.01</f>
        <v>4.2608E-2</v>
      </c>
      <c r="I32" s="47">
        <f t="shared" ca="1" si="37"/>
        <v>5.3900000000339787E-3</v>
      </c>
      <c r="J32" s="48">
        <f t="shared" ca="1" si="39"/>
        <v>2.6610306324961124E-2</v>
      </c>
      <c r="K32" s="48">
        <f t="shared" ca="1" si="21"/>
        <v>8.5929114174353623E-3</v>
      </c>
      <c r="L32" s="47">
        <f t="shared" ca="1" si="38"/>
        <v>0.28335902413205705</v>
      </c>
      <c r="M32" s="4"/>
      <c r="O32" s="64">
        <f t="shared" ca="1" si="0"/>
        <v>11</v>
      </c>
      <c r="P32" s="65">
        <v>27</v>
      </c>
      <c r="Q32" s="66">
        <v>22</v>
      </c>
      <c r="R32" s="67" t="str" cm="1">
        <f t="array" aca="1" ref="R32" ca="1">IF((INDIRECT("'"&amp;R$8&amp;"'!"&amp;($P$6&amp;$P32)))&gt;0,"DATA","NULL")</f>
        <v>NULL</v>
      </c>
      <c r="S32" s="67" t="str" cm="1">
        <f t="array" aca="1" ref="S32" ca="1">IF((INDIRECT("'"&amp;S$8&amp;"'!"&amp;($P$6&amp;$P32)))&gt;0,"DATA","NULL")</f>
        <v>NULL</v>
      </c>
      <c r="T32" s="67" t="str" cm="1">
        <f t="array" aca="1" ref="T32" ca="1">IF((INDIRECT("'"&amp;T$8&amp;"'!"&amp;($P$6&amp;$P32)))&gt;0,"DATA","NULL")</f>
        <v>DATA</v>
      </c>
      <c r="U32" s="67" t="str" cm="1">
        <f t="array" aca="1" ref="U32" ca="1">IF((INDIRECT("'"&amp;U$8&amp;"'!"&amp;($P$6&amp;$P32)))&gt;0,"DATA","NULL")</f>
        <v>DATA</v>
      </c>
      <c r="V32" s="67" t="str" cm="1">
        <f t="array" aca="1" ref="V32" ca="1">IF((INDIRECT("'"&amp;V$8&amp;"'!"&amp;($P$6&amp;$P32)))&gt;0,"DATA","NULL")</f>
        <v>DATA</v>
      </c>
      <c r="W32" s="67" t="str" cm="1">
        <f t="array" aca="1" ref="W32" ca="1">IF((INDIRECT("'"&amp;W$8&amp;"'!"&amp;($P$6&amp;$P32)))&gt;0,"DATA","NULL")</f>
        <v>DATA</v>
      </c>
      <c r="X32" s="67" t="str" cm="1">
        <f t="array" aca="1" ref="X32" ca="1">IF((INDIRECT("'"&amp;X$8&amp;"'!"&amp;($P$6&amp;$P32)))&gt;0,"DATA","NULL")</f>
        <v>DATA</v>
      </c>
      <c r="Y32" s="67" t="str" cm="1">
        <f t="array" aca="1" ref="Y32" ca="1">IF((INDIRECT("'"&amp;Y$8&amp;"'!"&amp;($P$6&amp;$P32)))&gt;0,"DATA","NULL")</f>
        <v>DATA</v>
      </c>
      <c r="Z32" s="67" t="str" cm="1">
        <f t="array" aca="1" ref="Z32" ca="1">IF((INDIRECT("'"&amp;Z$8&amp;"'!"&amp;($P$6&amp;$P32)))&gt;0,"DATA","NULL")</f>
        <v>DATA</v>
      </c>
      <c r="AA32" s="67" t="str" cm="1">
        <f t="array" aca="1" ref="AA32" ca="1">IF((INDIRECT("'"&amp;AA$8&amp;"'!"&amp;($P$6&amp;$P32)))&gt;0,"DATA","NULL")</f>
        <v>DATA</v>
      </c>
      <c r="AB32" s="67" t="str" cm="1">
        <f t="array" aca="1" ref="AB32" ca="1">IF((INDIRECT("'"&amp;AB$8&amp;"'!"&amp;($P$6&amp;$P32)))&gt;0,"DATA","NULL")</f>
        <v>DATA</v>
      </c>
      <c r="AC32" s="67" t="str" cm="1">
        <f t="array" aca="1" ref="AC32" ca="1">IF((INDIRECT("'"&amp;AC$8&amp;"'!"&amp;($P$6&amp;$P32)))&gt;0,"DATA","NULL")</f>
        <v>DATA</v>
      </c>
      <c r="AD32" s="68" t="str" cm="1">
        <f t="array" aca="1" ref="AD32" ca="1">IF((INDIRECT("'"&amp;AD$8&amp;"'!"&amp;($P$6&amp;$P32)))&gt;0,"DATA","NULL")</f>
        <v>DATA</v>
      </c>
      <c r="AE32" s="31"/>
      <c r="AF32" s="31"/>
      <c r="AG32" s="31"/>
      <c r="AH32" s="31"/>
      <c r="AI32" s="31"/>
      <c r="AK32" t="s">
        <v>378</v>
      </c>
      <c r="AL32" s="1">
        <v>42718</v>
      </c>
      <c r="AM32" s="34" cm="1">
        <f t="array" aca="1" ref="AM32" ca="1">INDIRECT("'"&amp;$B33&amp;"'!"&amp;(D$5&amp;$P$12))</f>
        <v>1844327.1181910001</v>
      </c>
      <c r="AN32" s="34" cm="1">
        <f t="array" aca="1" ref="AN32" ca="1">INDIRECT("'"&amp;$B33&amp;"'!"&amp;(E$5&amp;$P$12))</f>
        <v>5596603.2698929999</v>
      </c>
      <c r="AO32" s="34" cm="1">
        <f t="array" aca="1" ref="AO32" ca="1">INDIRECT("'"&amp;$B33&amp;"'!"&amp;(F$5&amp;$P$12))</f>
        <v>430.44034799999997</v>
      </c>
      <c r="AP32" s="21">
        <f t="shared" ca="1" si="22"/>
        <v>3.603787156548053E-2</v>
      </c>
      <c r="AQ32" s="21" cm="1">
        <f t="array" aca="1" ref="AQ32" ca="1">INDIRECT("'"&amp;AK32&amp;"'!"&amp;$H$5&amp;$P$12)+0.01</f>
        <v>2.4668000000000002E-2</v>
      </c>
      <c r="AR32" s="23">
        <f t="shared" ca="1" si="23"/>
        <v>-8.0810000000610671E-3</v>
      </c>
      <c r="AS32" s="7">
        <f t="shared" ca="1" si="24"/>
        <v>3.6932786896889558E-2</v>
      </c>
      <c r="AT32" s="7">
        <f t="shared" ca="1" si="25"/>
        <v>0.25923975418009015</v>
      </c>
      <c r="AU32" s="23">
        <f t="shared" ca="1" si="26"/>
        <v>0.25674871780709591</v>
      </c>
      <c r="AV32" s="23">
        <f t="shared" ca="1" si="27"/>
        <v>-5.4197750000014366E-2</v>
      </c>
      <c r="BK32" s="21" t="s">
        <v>377</v>
      </c>
      <c r="BL32" s="1">
        <v>42814</v>
      </c>
      <c r="BM32" s="34" cm="1">
        <f t="array" aca="1" ref="BM32" ca="1">INDIRECT("'"&amp;$B32&amp;"'!"&amp;(D$5&amp;$P$22))</f>
        <v>1844569.862158</v>
      </c>
      <c r="BN32" s="34" cm="1">
        <f t="array" aca="1" ref="BN32" ca="1">INDIRECT("'"&amp;$B32&amp;"'!"&amp;(E$5&amp;$P$22))</f>
        <v>5596018.2921740003</v>
      </c>
      <c r="BO32" s="34" cm="1">
        <f t="array" aca="1" ref="BO32" ca="1">INDIRECT("'"&amp;$B32&amp;"'!"&amp;(F$5&amp;$P$22))</f>
        <v>398.21385800000002</v>
      </c>
      <c r="BP32" s="7">
        <f t="shared" ca="1" si="31"/>
        <v>9.5640963952671576E-2</v>
      </c>
      <c r="BQ32" s="7" cm="1">
        <f t="array" aca="1" ref="BQ32" ca="1">INDIRECT("'"&amp;BK32&amp;"'!"&amp;$H$5&amp;$P$22)+0.01</f>
        <v>3.5612999999999999E-2</v>
      </c>
      <c r="BR32" s="23">
        <f t="shared" ca="1" si="32"/>
        <v>-5.6976999999960753E-2</v>
      </c>
      <c r="BS32" s="7">
        <f t="shared" ca="1" si="33"/>
        <v>0.1113264232551812</v>
      </c>
      <c r="BT32" s="7">
        <f t="shared" ca="1" si="28"/>
        <v>3.5949157509485602E-2</v>
      </c>
      <c r="BU32" s="23">
        <f t="shared" ca="1" si="34"/>
        <v>1.1779855065018525</v>
      </c>
      <c r="BV32" s="23">
        <f t="shared" ca="1" si="35"/>
        <v>-0.42568775000000869</v>
      </c>
    </row>
    <row r="33" spans="2:74" x14ac:dyDescent="0.3">
      <c r="B33" s="45" t="s">
        <v>378</v>
      </c>
      <c r="C33" s="46">
        <v>42718</v>
      </c>
      <c r="D33" s="47" cm="1">
        <f t="array" aca="1" ref="D33" ca="1">INDIRECT("'"&amp;$B33&amp;"'!"&amp;(D$5&amp;$K$5))</f>
        <v>1844327.1181910001</v>
      </c>
      <c r="E33" s="47" cm="1">
        <f t="array" aca="1" ref="E33" ca="1">INDIRECT("'"&amp;$B33&amp;"'!"&amp;(E$5&amp;$K$5))</f>
        <v>5596603.2698929999</v>
      </c>
      <c r="F33" s="47" cm="1">
        <f t="array" aca="1" ref="F33" ca="1">INDIRECT("'"&amp;$B33&amp;"'!"&amp;(F$5&amp;$K$5))</f>
        <v>430.44034799999997</v>
      </c>
      <c r="G33" s="42">
        <f t="shared" ca="1" si="36"/>
        <v>3.603787156548053E-2</v>
      </c>
      <c r="H33" s="42" cm="1">
        <f t="array" aca="1" ref="H33" ca="1">INDIRECT("'"&amp;B33&amp;"'!"&amp;$H$5&amp;$K$5)+0.01</f>
        <v>2.4668000000000002E-2</v>
      </c>
      <c r="I33" s="47">
        <f t="shared" ca="1" si="37"/>
        <v>-8.0810000000610671E-3</v>
      </c>
      <c r="J33" s="48">
        <f t="shared" ca="1" si="39"/>
        <v>3.6932786896889558E-2</v>
      </c>
      <c r="K33" s="48">
        <f t="shared" ca="1" si="21"/>
        <v>2.2017622957761083E-2</v>
      </c>
      <c r="L33" s="47">
        <f t="shared" ca="1" si="38"/>
        <v>0.25674871780709591</v>
      </c>
      <c r="M33" s="4"/>
      <c r="O33" s="64">
        <f t="shared" ca="1" si="0"/>
        <v>13</v>
      </c>
      <c r="P33" s="65">
        <v>28</v>
      </c>
      <c r="Q33" s="66">
        <v>23</v>
      </c>
      <c r="R33" s="67" t="str" cm="1">
        <f t="array" aca="1" ref="R33" ca="1">IF((INDIRECT("'"&amp;R$8&amp;"'!"&amp;($P$6&amp;$P33)))&gt;0,"DATA","NULL")</f>
        <v>DATA</v>
      </c>
      <c r="S33" s="67" t="str" cm="1">
        <f t="array" aca="1" ref="S33" ca="1">IF((INDIRECT("'"&amp;S$8&amp;"'!"&amp;($P$6&amp;$P33)))&gt;0,"DATA","NULL")</f>
        <v>DATA</v>
      </c>
      <c r="T33" s="67" t="str" cm="1">
        <f t="array" aca="1" ref="T33" ca="1">IF((INDIRECT("'"&amp;T$8&amp;"'!"&amp;($P$6&amp;$P33)))&gt;0,"DATA","NULL")</f>
        <v>DATA</v>
      </c>
      <c r="U33" s="67" t="str" cm="1">
        <f t="array" aca="1" ref="U33" ca="1">IF((INDIRECT("'"&amp;U$8&amp;"'!"&amp;($P$6&amp;$P33)))&gt;0,"DATA","NULL")</f>
        <v>DATA</v>
      </c>
      <c r="V33" s="67" t="str" cm="1">
        <f t="array" aca="1" ref="V33" ca="1">IF((INDIRECT("'"&amp;V$8&amp;"'!"&amp;($P$6&amp;$P33)))&gt;0,"DATA","NULL")</f>
        <v>DATA</v>
      </c>
      <c r="W33" s="67" t="str" cm="1">
        <f t="array" aca="1" ref="W33" ca="1">IF((INDIRECT("'"&amp;W$8&amp;"'!"&amp;($P$6&amp;$P33)))&gt;0,"DATA","NULL")</f>
        <v>DATA</v>
      </c>
      <c r="X33" s="67" t="str" cm="1">
        <f t="array" aca="1" ref="X33" ca="1">IF((INDIRECT("'"&amp;X$8&amp;"'!"&amp;($P$6&amp;$P33)))&gt;0,"DATA","NULL")</f>
        <v>DATA</v>
      </c>
      <c r="Y33" s="67" t="str" cm="1">
        <f t="array" aca="1" ref="Y33" ca="1">IF((INDIRECT("'"&amp;Y$8&amp;"'!"&amp;($P$6&amp;$P33)))&gt;0,"DATA","NULL")</f>
        <v>DATA</v>
      </c>
      <c r="Z33" s="67" t="str" cm="1">
        <f t="array" aca="1" ref="Z33" ca="1">IF((INDIRECT("'"&amp;Z$8&amp;"'!"&amp;($P$6&amp;$P33)))&gt;0,"DATA","NULL")</f>
        <v>DATA</v>
      </c>
      <c r="AA33" s="67" t="str" cm="1">
        <f t="array" aca="1" ref="AA33" ca="1">IF((INDIRECT("'"&amp;AA$8&amp;"'!"&amp;($P$6&amp;$P33)))&gt;0,"DATA","NULL")</f>
        <v>DATA</v>
      </c>
      <c r="AB33" s="67" t="str" cm="1">
        <f t="array" aca="1" ref="AB33" ca="1">IF((INDIRECT("'"&amp;AB$8&amp;"'!"&amp;($P$6&amp;$P33)))&gt;0,"DATA","NULL")</f>
        <v>DATA</v>
      </c>
      <c r="AC33" s="67" t="str" cm="1">
        <f t="array" aca="1" ref="AC33" ca="1">IF((INDIRECT("'"&amp;AC$8&amp;"'!"&amp;($P$6&amp;$P33)))&gt;0,"DATA","NULL")</f>
        <v>DATA</v>
      </c>
      <c r="AD33" s="68" t="str" cm="1">
        <f t="array" aca="1" ref="AD33" ca="1">IF((INDIRECT("'"&amp;AD$8&amp;"'!"&amp;($P$6&amp;$P33)))&gt;0,"DATA","NULL")</f>
        <v>DATA</v>
      </c>
      <c r="AE33" s="31"/>
      <c r="AF33" s="31"/>
      <c r="AG33" s="31"/>
      <c r="AH33" s="31"/>
      <c r="AI33" s="31"/>
      <c r="AK33" t="s">
        <v>379</v>
      </c>
      <c r="AL33" s="1">
        <v>42666</v>
      </c>
      <c r="AM33" s="34" cm="1">
        <f t="array" aca="1" ref="AM33" ca="1">INDIRECT("'"&amp;$B34&amp;"'!"&amp;(D$5&amp;$P$12))</f>
        <v>1844327.1347040001</v>
      </c>
      <c r="AN33" s="34" cm="1">
        <f t="array" aca="1" ref="AN33" ca="1">INDIRECT("'"&amp;$B34&amp;"'!"&amp;(E$5&amp;$P$12))</f>
        <v>5596603.3019249998</v>
      </c>
      <c r="AO33" s="34" cm="1">
        <f t="array" aca="1" ref="AO33" ca="1">INDIRECT("'"&amp;$B34&amp;"'!"&amp;(F$5&amp;$P$12))</f>
        <v>430.44842900000003</v>
      </c>
      <c r="AP33" s="21">
        <f t="shared" ca="1" si="22"/>
        <v>3.8765555143189981E-2</v>
      </c>
      <c r="AQ33" s="21" cm="1">
        <f t="array" aca="1" ref="AQ33" ca="1">INDIRECT("'"&amp;AK33&amp;"'!"&amp;$H$5&amp;$P$12)+0.01</f>
        <v>4.0056000000000001E-2</v>
      </c>
      <c r="AR33" s="23">
        <f t="shared" ca="1" si="23"/>
        <v>-1.5265999999996893E-2</v>
      </c>
      <c r="AS33" s="7">
        <f t="shared" ca="1" si="24"/>
        <v>4.1663161444609652E-2</v>
      </c>
      <c r="AT33" s="7">
        <f t="shared" ca="1" si="25"/>
        <v>0.14622167237771658</v>
      </c>
      <c r="AU33" s="23">
        <f t="shared" ca="1" si="26"/>
        <v>0.21981593091020635</v>
      </c>
      <c r="AV33" s="23">
        <f t="shared" ca="1" si="27"/>
        <v>-4.6116749999953299E-2</v>
      </c>
      <c r="BK33" s="21" t="s">
        <v>378</v>
      </c>
      <c r="BL33" s="1">
        <v>42718</v>
      </c>
      <c r="BM33" s="34" cm="1">
        <f t="array" aca="1" ref="BM33" ca="1">INDIRECT("'"&amp;$B33&amp;"'!"&amp;(D$5&amp;$P$22))</f>
        <v>1844569.859098</v>
      </c>
      <c r="BN33" s="34" cm="1">
        <f t="array" aca="1" ref="BN33" ca="1">INDIRECT("'"&amp;$B33&amp;"'!"&amp;(E$5&amp;$P$22))</f>
        <v>5596018.3877659999</v>
      </c>
      <c r="BO33" s="34" cm="1">
        <f t="array" aca="1" ref="BO33" ca="1">INDIRECT("'"&amp;$B33&amp;"'!"&amp;(F$5&amp;$P$22))</f>
        <v>398.27083499999998</v>
      </c>
      <c r="BP33" s="7">
        <f t="shared" ca="1" si="31"/>
        <v>9.8480384723025893E-2</v>
      </c>
      <c r="BQ33" s="7" cm="1">
        <f t="array" aca="1" ref="BQ33" ca="1">INDIRECT("'"&amp;BK33&amp;"'!"&amp;$H$5&amp;$P$22)+0.01</f>
        <v>2.6123E-2</v>
      </c>
      <c r="BR33" s="23">
        <f t="shared" ca="1" si="32"/>
        <v>-1.5857000000039534E-2</v>
      </c>
      <c r="BS33" s="7">
        <f t="shared" ca="1" si="33"/>
        <v>9.9748837708498864E-2</v>
      </c>
      <c r="BT33" s="7">
        <f t="shared" ca="1" si="28"/>
        <v>5.9465653249297402E-2</v>
      </c>
      <c r="BU33" s="23">
        <f t="shared" ca="1" si="34"/>
        <v>1.0666590832466714</v>
      </c>
      <c r="BV33" s="23">
        <f t="shared" ca="1" si="35"/>
        <v>-0.36871075000004794</v>
      </c>
    </row>
    <row r="34" spans="2:74" x14ac:dyDescent="0.3">
      <c r="B34" s="45" t="s">
        <v>379</v>
      </c>
      <c r="C34" s="46">
        <v>42666</v>
      </c>
      <c r="D34" s="47" cm="1">
        <f t="array" aca="1" ref="D34" ca="1">INDIRECT("'"&amp;$B34&amp;"'!"&amp;(D$5&amp;$K$5))</f>
        <v>1844327.1347040001</v>
      </c>
      <c r="E34" s="47" cm="1">
        <f t="array" aca="1" ref="E34" ca="1">INDIRECT("'"&amp;$B34&amp;"'!"&amp;(E$5&amp;$K$5))</f>
        <v>5596603.3019249998</v>
      </c>
      <c r="F34" s="47" cm="1">
        <f t="array" aca="1" ref="F34" ca="1">INDIRECT("'"&amp;$B34&amp;"'!"&amp;(F$5&amp;$K$5))</f>
        <v>430.44842900000003</v>
      </c>
      <c r="G34" s="42">
        <f t="shared" ca="1" si="36"/>
        <v>3.8765555143189981E-2</v>
      </c>
      <c r="H34" s="42" cm="1">
        <f t="array" aca="1" ref="H34" ca="1">INDIRECT("'"&amp;B34&amp;"'!"&amp;$H$5&amp;$K$5)+0.01</f>
        <v>4.0056000000000001E-2</v>
      </c>
      <c r="I34" s="47">
        <f t="shared" ca="1" si="37"/>
        <v>-1.5265999999996893E-2</v>
      </c>
      <c r="J34" s="48">
        <f t="shared" ca="1" si="39"/>
        <v>4.1663161444609652E-2</v>
      </c>
      <c r="K34" s="48">
        <f t="shared" ca="1" si="21"/>
        <v>1.2418826969066338E-2</v>
      </c>
      <c r="L34" s="47">
        <f t="shared" ca="1" si="38"/>
        <v>0.21981593091020635</v>
      </c>
      <c r="M34" s="4"/>
      <c r="O34" s="64">
        <f t="shared" ca="1" si="0"/>
        <v>12</v>
      </c>
      <c r="P34" s="65">
        <v>29</v>
      </c>
      <c r="Q34" s="66">
        <v>24</v>
      </c>
      <c r="R34" s="67" t="str" cm="1">
        <f t="array" aca="1" ref="R34" ca="1">IF((INDIRECT("'"&amp;R$8&amp;"'!"&amp;($P$6&amp;$P34)))&gt;0,"DATA","NULL")</f>
        <v>DATA</v>
      </c>
      <c r="S34" s="67" t="str" cm="1">
        <f t="array" aca="1" ref="S34" ca="1">IF((INDIRECT("'"&amp;S$8&amp;"'!"&amp;($P$6&amp;$P34)))&gt;0,"DATA","NULL")</f>
        <v>DATA</v>
      </c>
      <c r="T34" s="67" t="str" cm="1">
        <f t="array" aca="1" ref="T34" ca="1">IF((INDIRECT("'"&amp;T$8&amp;"'!"&amp;($P$6&amp;$P34)))&gt;0,"DATA","NULL")</f>
        <v>DATA</v>
      </c>
      <c r="U34" s="67" t="str" cm="1">
        <f t="array" aca="1" ref="U34" ca="1">IF((INDIRECT("'"&amp;U$8&amp;"'!"&amp;($P$6&amp;$P34)))&gt;0,"DATA","NULL")</f>
        <v>DATA</v>
      </c>
      <c r="V34" s="67" t="str" cm="1">
        <f t="array" aca="1" ref="V34" ca="1">IF((INDIRECT("'"&amp;V$8&amp;"'!"&amp;($P$6&amp;$P34)))&gt;0,"DATA","NULL")</f>
        <v>DATA</v>
      </c>
      <c r="W34" s="67" t="str" cm="1">
        <f t="array" aca="1" ref="W34" ca="1">IF((INDIRECT("'"&amp;W$8&amp;"'!"&amp;($P$6&amp;$P34)))&gt;0,"DATA","NULL")</f>
        <v>DATA</v>
      </c>
      <c r="X34" s="67" t="str" cm="1">
        <f t="array" aca="1" ref="X34" ca="1">IF((INDIRECT("'"&amp;X$8&amp;"'!"&amp;($P$6&amp;$P34)))&gt;0,"DATA","NULL")</f>
        <v>DATA</v>
      </c>
      <c r="Y34" s="67" t="str" cm="1">
        <f t="array" aca="1" ref="Y34" ca="1">IF((INDIRECT("'"&amp;Y$8&amp;"'!"&amp;($P$6&amp;$P34)))&gt;0,"DATA","NULL")</f>
        <v>DATA</v>
      </c>
      <c r="Z34" s="67" t="str" cm="1">
        <f t="array" aca="1" ref="Z34" ca="1">IF((INDIRECT("'"&amp;Z$8&amp;"'!"&amp;($P$6&amp;$P34)))&gt;0,"DATA","NULL")</f>
        <v>NULL</v>
      </c>
      <c r="AA34" s="67" t="str" cm="1">
        <f t="array" aca="1" ref="AA34" ca="1">IF((INDIRECT("'"&amp;AA$8&amp;"'!"&amp;($P$6&amp;$P34)))&gt;0,"DATA","NULL")</f>
        <v>DATA</v>
      </c>
      <c r="AB34" s="67" t="str" cm="1">
        <f t="array" aca="1" ref="AB34" ca="1">IF((INDIRECT("'"&amp;AB$8&amp;"'!"&amp;($P$6&amp;$P34)))&gt;0,"DATA","NULL")</f>
        <v>DATA</v>
      </c>
      <c r="AC34" s="67" t="str" cm="1">
        <f t="array" aca="1" ref="AC34" ca="1">IF((INDIRECT("'"&amp;AC$8&amp;"'!"&amp;($P$6&amp;$P34)))&gt;0,"DATA","NULL")</f>
        <v>DATA</v>
      </c>
      <c r="AD34" s="68" t="str" cm="1">
        <f t="array" aca="1" ref="AD34" ca="1">IF((INDIRECT("'"&amp;AD$8&amp;"'!"&amp;($P$6&amp;$P34)))&gt;0,"DATA","NULL")</f>
        <v>DATA</v>
      </c>
      <c r="AE34" s="31"/>
      <c r="AF34" s="31"/>
      <c r="AG34" s="31"/>
      <c r="AH34" s="31"/>
      <c r="AI34" s="31"/>
      <c r="AK34" t="s">
        <v>380</v>
      </c>
      <c r="AL34" s="1">
        <v>42562</v>
      </c>
      <c r="AM34" s="34" cm="1">
        <f t="array" aca="1" ref="AM34" ca="1">INDIRECT("'"&amp;$B35&amp;"'!"&amp;(D$5&amp;$P$12))</f>
        <v>1844327.169948</v>
      </c>
      <c r="AN34" s="34" cm="1">
        <f t="array" aca="1" ref="AN34" ca="1">INDIRECT("'"&amp;$B35&amp;"'!"&amp;(E$5&amp;$P$12))</f>
        <v>5596603.3180689998</v>
      </c>
      <c r="AO34" s="34" cm="1">
        <f t="array" aca="1" ref="AO34" ca="1">INDIRECT("'"&amp;$B35&amp;"'!"&amp;(F$5&amp;$P$12))</f>
        <v>430.46369500000003</v>
      </c>
      <c r="AP34" s="21">
        <f t="shared" ca="1" si="22"/>
        <v>4.3712081308584554E-2</v>
      </c>
      <c r="AQ34" s="21" cm="1">
        <f t="array" aca="1" ref="AQ34" ca="1">INDIRECT("'"&amp;AK34&amp;"'!"&amp;$H$5&amp;$P$12)+0.01</f>
        <v>3.0275000000000003E-2</v>
      </c>
      <c r="AR34" s="23">
        <f t="shared" ca="1" si="23"/>
        <v>-7.0917499999723077E-3</v>
      </c>
      <c r="AS34" s="7">
        <f t="shared" ca="1" si="24"/>
        <v>4.4283619662245477E-2</v>
      </c>
      <c r="AT34" s="7">
        <f t="shared" ca="1" si="25"/>
        <v>0.13934069979930688</v>
      </c>
      <c r="AU34" s="23">
        <f t="shared" ca="1" si="26"/>
        <v>0.17815276946559669</v>
      </c>
      <c r="AV34" s="23">
        <f t="shared" ca="1" si="27"/>
        <v>-3.0850749999956406E-2</v>
      </c>
      <c r="BK34" s="21" t="s">
        <v>379</v>
      </c>
      <c r="BL34" s="1">
        <v>42666</v>
      </c>
      <c r="BM34" s="34" cm="1">
        <f t="array" aca="1" ref="BM34" ca="1">INDIRECT("'"&amp;$B34&amp;"'!"&amp;(D$5&amp;$P$22))</f>
        <v>1844569.889312</v>
      </c>
      <c r="BN34" s="34" cm="1">
        <f t="array" aca="1" ref="BN34" ca="1">INDIRECT("'"&amp;$B34&amp;"'!"&amp;(E$5&amp;$P$22))</f>
        <v>5596018.481497</v>
      </c>
      <c r="BO34" s="34" cm="1">
        <f t="array" aca="1" ref="BO34" ca="1">INDIRECT("'"&amp;$B34&amp;"'!"&amp;(F$5&amp;$P$22))</f>
        <v>398.28669200000002</v>
      </c>
      <c r="BP34" s="7">
        <f t="shared" ca="1" si="31"/>
        <v>0.37018736561683507</v>
      </c>
      <c r="BQ34" s="7" cm="1">
        <f t="array" aca="1" ref="BQ34" ca="1">INDIRECT("'"&amp;BK34&amp;"'!"&amp;$H$5&amp;$P$22)+0.01</f>
        <v>2.9122000000000002E-2</v>
      </c>
      <c r="BR34" s="23">
        <f t="shared" ca="1" si="32"/>
        <v>-0.16830099999998538</v>
      </c>
      <c r="BS34" s="7">
        <f t="shared" ca="1" si="33"/>
        <v>0.40664961854565584</v>
      </c>
      <c r="BT34" s="7">
        <f t="shared" ca="1" si="28"/>
        <v>0.12121286706649356</v>
      </c>
      <c r="BU34" s="23">
        <f t="shared" ca="1" si="34"/>
        <v>0.96691024553817251</v>
      </c>
      <c r="BV34" s="23">
        <f t="shared" ca="1" si="35"/>
        <v>-0.3528537500000084</v>
      </c>
    </row>
    <row r="35" spans="2:74" x14ac:dyDescent="0.3">
      <c r="B35" s="45" t="s">
        <v>380</v>
      </c>
      <c r="C35" s="46">
        <v>42562</v>
      </c>
      <c r="D35" s="47" cm="1">
        <f t="array" aca="1" ref="D35" ca="1">INDIRECT("'"&amp;$B35&amp;"'!"&amp;(D$5&amp;$K$5))</f>
        <v>1844327.169948</v>
      </c>
      <c r="E35" s="47" cm="1">
        <f t="array" aca="1" ref="E35" ca="1">INDIRECT("'"&amp;$B35&amp;"'!"&amp;(E$5&amp;$K$5))</f>
        <v>5596603.3180689998</v>
      </c>
      <c r="F35" s="47" cm="1">
        <f t="array" aca="1" ref="F35" ca="1">INDIRECT("'"&amp;$B35&amp;"'!"&amp;(F$5&amp;$K$5))</f>
        <v>430.46369500000003</v>
      </c>
      <c r="G35" s="42">
        <f t="shared" ca="1" si="36"/>
        <v>4.3712081308584554E-2</v>
      </c>
      <c r="H35" s="42" cm="1">
        <f t="array" aca="1" ref="H35" ca="1">INDIRECT("'"&amp;B35&amp;"'!"&amp;$H$5&amp;$K$5)+0.01</f>
        <v>3.0275000000000003E-2</v>
      </c>
      <c r="I35" s="47">
        <f t="shared" ca="1" si="37"/>
        <v>-7.0917499999723077E-3</v>
      </c>
      <c r="J35" s="48">
        <f t="shared" ca="1" si="39"/>
        <v>4.4283619662245477E-2</v>
      </c>
      <c r="K35" s="48">
        <f t="shared" ca="1" si="21"/>
        <v>1.1834415599393187E-2</v>
      </c>
      <c r="L35" s="47">
        <f t="shared" ca="1" si="38"/>
        <v>0.17815276946559669</v>
      </c>
      <c r="M35" s="4"/>
      <c r="O35" s="64">
        <f t="shared" ca="1" si="0"/>
        <v>12</v>
      </c>
      <c r="P35" s="65">
        <v>30</v>
      </c>
      <c r="Q35" s="66">
        <v>25</v>
      </c>
      <c r="R35" s="67" t="str" cm="1">
        <f t="array" aca="1" ref="R35" ca="1">IF((INDIRECT("'"&amp;R$8&amp;"'!"&amp;($P$6&amp;$P35)))&gt;0,"DATA","NULL")</f>
        <v>DATA</v>
      </c>
      <c r="S35" s="67" t="str" cm="1">
        <f t="array" aca="1" ref="S35" ca="1">IF((INDIRECT("'"&amp;S$8&amp;"'!"&amp;($P$6&amp;$P35)))&gt;0,"DATA","NULL")</f>
        <v>DATA</v>
      </c>
      <c r="T35" s="67" t="str" cm="1">
        <f t="array" aca="1" ref="T35" ca="1">IF((INDIRECT("'"&amp;T$8&amp;"'!"&amp;($P$6&amp;$P35)))&gt;0,"DATA","NULL")</f>
        <v>DATA</v>
      </c>
      <c r="U35" s="67" t="str" cm="1">
        <f t="array" aca="1" ref="U35" ca="1">IF((INDIRECT("'"&amp;U$8&amp;"'!"&amp;($P$6&amp;$P35)))&gt;0,"DATA","NULL")</f>
        <v>DATA</v>
      </c>
      <c r="V35" s="67" t="str" cm="1">
        <f t="array" aca="1" ref="V35" ca="1">IF((INDIRECT("'"&amp;V$8&amp;"'!"&amp;($P$6&amp;$P35)))&gt;0,"DATA","NULL")</f>
        <v>DATA</v>
      </c>
      <c r="W35" s="67" t="str" cm="1">
        <f t="array" aca="1" ref="W35" ca="1">IF((INDIRECT("'"&amp;W$8&amp;"'!"&amp;($P$6&amp;$P35)))&gt;0,"DATA","NULL")</f>
        <v>DATA</v>
      </c>
      <c r="X35" s="67" t="str" cm="1">
        <f t="array" aca="1" ref="X35" ca="1">IF((INDIRECT("'"&amp;X$8&amp;"'!"&amp;($P$6&amp;$P35)))&gt;0,"DATA","NULL")</f>
        <v>DATA</v>
      </c>
      <c r="Y35" s="67" t="str" cm="1">
        <f t="array" aca="1" ref="Y35" ca="1">IF((INDIRECT("'"&amp;Y$8&amp;"'!"&amp;($P$6&amp;$P35)))&gt;0,"DATA","NULL")</f>
        <v>DATA</v>
      </c>
      <c r="Z35" s="67" t="str" cm="1">
        <f t="array" aca="1" ref="Z35" ca="1">IF((INDIRECT("'"&amp;Z$8&amp;"'!"&amp;($P$6&amp;$P35)))&gt;0,"DATA","NULL")</f>
        <v>DATA</v>
      </c>
      <c r="AA35" s="67" t="str" cm="1">
        <f t="array" aca="1" ref="AA35" ca="1">IF((INDIRECT("'"&amp;AA$8&amp;"'!"&amp;($P$6&amp;$P35)))&gt;0,"DATA","NULL")</f>
        <v>DATA</v>
      </c>
      <c r="AB35" s="67" t="str" cm="1">
        <f t="array" aca="1" ref="AB35" ca="1">IF((INDIRECT("'"&amp;AB$8&amp;"'!"&amp;($P$6&amp;$P35)))&gt;0,"DATA","NULL")</f>
        <v>DATA</v>
      </c>
      <c r="AC35" s="67" t="str" cm="1">
        <f t="array" aca="1" ref="AC35" ca="1">IF((INDIRECT("'"&amp;AC$8&amp;"'!"&amp;($P$6&amp;$P35)))&gt;0,"DATA","NULL")</f>
        <v>DATA</v>
      </c>
      <c r="AD35" s="68" t="str" cm="1">
        <f t="array" aca="1" ref="AD35" ca="1">IF((INDIRECT("'"&amp;AD$8&amp;"'!"&amp;($P$6&amp;$P35)))&gt;0,"DATA","NULL")</f>
        <v>NULL</v>
      </c>
      <c r="AE35" s="31"/>
      <c r="AF35" s="31"/>
      <c r="AG35" s="31"/>
      <c r="AH35" s="31"/>
      <c r="AI35" s="31"/>
      <c r="AK35" t="s">
        <v>381</v>
      </c>
      <c r="AL35" s="1">
        <v>42446</v>
      </c>
      <c r="AM35" s="34" cm="1">
        <f t="array" aca="1" ref="AM35" ca="1">INDIRECT("'"&amp;$B36&amp;"'!"&amp;(D$5&amp;$P$12))</f>
        <v>1844327.1998040001</v>
      </c>
      <c r="AN35" s="34" cm="1">
        <f t="array" aca="1" ref="AN35" ca="1">INDIRECT("'"&amp;$B36&amp;"'!"&amp;(E$5&amp;$P$12))</f>
        <v>5596603.3499965006</v>
      </c>
      <c r="AO35" s="34" cm="1">
        <f t="array" aca="1" ref="AO35" ca="1">INDIRECT("'"&amp;$B36&amp;"'!"&amp;(F$5&amp;$P$12))</f>
        <v>430.47078675</v>
      </c>
      <c r="AP35" s="21">
        <f t="shared" ca="1" si="22"/>
        <v>4.7868713012302354E-2</v>
      </c>
      <c r="AQ35" s="21" cm="1">
        <f t="array" aca="1" ref="AQ35" ca="1">INDIRECT("'"&amp;AK35&amp;"'!"&amp;$H$5&amp;$P$12)+0.01</f>
        <v>2.3030999999999999E-2</v>
      </c>
      <c r="AR35" s="23">
        <f t="shared" ca="1" si="23"/>
        <v>-2.9785500000002685E-2</v>
      </c>
      <c r="AS35" s="7">
        <f t="shared" ca="1" si="24"/>
        <v>5.6378982748044724E-2</v>
      </c>
      <c r="AT35" s="7">
        <f t="shared" ca="1" si="25"/>
        <v>0.20374582874293393</v>
      </c>
      <c r="AU35" s="23">
        <f t="shared" ca="1" si="26"/>
        <v>0.13386914980335121</v>
      </c>
      <c r="AV35" s="23">
        <f t="shared" ca="1" si="27"/>
        <v>-2.3758999999984098E-2</v>
      </c>
      <c r="BK35" s="21" t="s">
        <v>380</v>
      </c>
      <c r="BL35" s="1">
        <v>42562</v>
      </c>
      <c r="BM35" s="34" cm="1">
        <f t="array" aca="1" ref="BM35" ca="1">INDIRECT("'"&amp;$B35&amp;"'!"&amp;(D$5&amp;$P$22))</f>
        <v>1844569.966061</v>
      </c>
      <c r="BN35" s="34" cm="1">
        <f t="array" aca="1" ref="BN35" ca="1">INDIRECT("'"&amp;$B35&amp;"'!"&amp;(E$5&amp;$P$22))</f>
        <v>5596018.8436409999</v>
      </c>
      <c r="BO35" s="34" cm="1">
        <f t="array" aca="1" ref="BO35" ca="1">INDIRECT("'"&amp;$B35&amp;"'!"&amp;(F$5&amp;$P$22))</f>
        <v>398.454993</v>
      </c>
      <c r="BP35" s="7">
        <f t="shared" ca="1" si="31"/>
        <v>0.14095652372430267</v>
      </c>
      <c r="BQ35" s="7" cm="1">
        <f t="array" aca="1" ref="BQ35" ca="1">INDIRECT("'"&amp;BK35&amp;"'!"&amp;$H$5&amp;$P$22)+0.01</f>
        <v>3.5379000000000001E-2</v>
      </c>
      <c r="BR35" s="23">
        <f t="shared" ca="1" si="32"/>
        <v>-1.8775000000914588E-4</v>
      </c>
      <c r="BS35" s="7">
        <f t="shared" ca="1" si="33"/>
        <v>0.14095664876302361</v>
      </c>
      <c r="BT35" s="7">
        <f t="shared" ca="1" si="28"/>
        <v>3.7669449238394236E-2</v>
      </c>
      <c r="BU35" s="23">
        <f t="shared" ca="1" si="34"/>
        <v>0.56026062699251666</v>
      </c>
      <c r="BV35" s="23">
        <f t="shared" ca="1" si="35"/>
        <v>-0.18455275000002302</v>
      </c>
    </row>
    <row r="36" spans="2:74" x14ac:dyDescent="0.3">
      <c r="B36" s="45" t="s">
        <v>381</v>
      </c>
      <c r="C36" s="46">
        <v>42446</v>
      </c>
      <c r="D36" s="47" cm="1">
        <f t="array" aca="1" ref="D36" ca="1">INDIRECT("'"&amp;$B36&amp;"'!"&amp;(D$5&amp;$K$5))</f>
        <v>1844327.1998040001</v>
      </c>
      <c r="E36" s="47" cm="1">
        <f t="array" aca="1" ref="E36" ca="1">INDIRECT("'"&amp;$B36&amp;"'!"&amp;(E$5&amp;$K$5))</f>
        <v>5596603.3499965006</v>
      </c>
      <c r="F36" s="47" cm="1">
        <f t="array" aca="1" ref="F36" ca="1">INDIRECT("'"&amp;$B36&amp;"'!"&amp;(F$5&amp;$K$5))</f>
        <v>430.47078675</v>
      </c>
      <c r="G36" s="42">
        <f t="shared" ca="1" si="36"/>
        <v>4.7868713012302354E-2</v>
      </c>
      <c r="H36" s="42" cm="1">
        <f t="array" aca="1" ref="H36" ca="1">INDIRECT("'"&amp;B36&amp;"'!"&amp;$H$5&amp;$K$5)+0.01</f>
        <v>2.3030999999999999E-2</v>
      </c>
      <c r="I36" s="47">
        <f t="shared" ca="1" si="37"/>
        <v>-2.9785500000002685E-2</v>
      </c>
      <c r="J36" s="48">
        <f t="shared" ca="1" si="39"/>
        <v>5.6378982748044724E-2</v>
      </c>
      <c r="K36" s="48">
        <f t="shared" ca="1" si="21"/>
        <v>1.7304440249399866E-2</v>
      </c>
      <c r="L36" s="47">
        <f t="shared" ca="1" si="38"/>
        <v>0.13386914980335121</v>
      </c>
      <c r="M36" s="4"/>
      <c r="O36" s="64">
        <f t="shared" ca="1" si="0"/>
        <v>12</v>
      </c>
      <c r="P36" s="65">
        <v>31</v>
      </c>
      <c r="Q36" s="66">
        <v>26</v>
      </c>
      <c r="R36" s="67" t="str" cm="1">
        <f t="array" aca="1" ref="R36" ca="1">IF((INDIRECT("'"&amp;R$8&amp;"'!"&amp;($P$6&amp;$P36)))&gt;0,"DATA","NULL")</f>
        <v>DATA</v>
      </c>
      <c r="S36" s="67" t="str" cm="1">
        <f t="array" aca="1" ref="S36" ca="1">IF((INDIRECT("'"&amp;S$8&amp;"'!"&amp;($P$6&amp;$P36)))&gt;0,"DATA","NULL")</f>
        <v>DATA</v>
      </c>
      <c r="T36" s="67" t="str" cm="1">
        <f t="array" aca="1" ref="T36" ca="1">IF((INDIRECT("'"&amp;T$8&amp;"'!"&amp;($P$6&amp;$P36)))&gt;0,"DATA","NULL")</f>
        <v>DATA</v>
      </c>
      <c r="U36" s="67" t="str" cm="1">
        <f t="array" aca="1" ref="U36" ca="1">IF((INDIRECT("'"&amp;U$8&amp;"'!"&amp;($P$6&amp;$P36)))&gt;0,"DATA","NULL")</f>
        <v>DATA</v>
      </c>
      <c r="V36" s="67" t="str" cm="1">
        <f t="array" aca="1" ref="V36" ca="1">IF((INDIRECT("'"&amp;V$8&amp;"'!"&amp;($P$6&amp;$P36)))&gt;0,"DATA","NULL")</f>
        <v>DATA</v>
      </c>
      <c r="W36" s="67" t="str" cm="1">
        <f t="array" aca="1" ref="W36" ca="1">IF((INDIRECT("'"&amp;W$8&amp;"'!"&amp;($P$6&amp;$P36)))&gt;0,"DATA","NULL")</f>
        <v>DATA</v>
      </c>
      <c r="X36" s="67" t="str" cm="1">
        <f t="array" aca="1" ref="X36" ca="1">IF((INDIRECT("'"&amp;X$8&amp;"'!"&amp;($P$6&amp;$P36)))&gt;0,"DATA","NULL")</f>
        <v>DATA</v>
      </c>
      <c r="Y36" s="67" t="str" cm="1">
        <f t="array" aca="1" ref="Y36" ca="1">IF((INDIRECT("'"&amp;Y$8&amp;"'!"&amp;($P$6&amp;$P36)))&gt;0,"DATA","NULL")</f>
        <v>DATA</v>
      </c>
      <c r="Z36" s="67" t="str" cm="1">
        <f t="array" aca="1" ref="Z36" ca="1">IF((INDIRECT("'"&amp;Z$8&amp;"'!"&amp;($P$6&amp;$P36)))&gt;0,"DATA","NULL")</f>
        <v>DATA</v>
      </c>
      <c r="AA36" s="67" t="str" cm="1">
        <f t="array" aca="1" ref="AA36" ca="1">IF((INDIRECT("'"&amp;AA$8&amp;"'!"&amp;($P$6&amp;$P36)))&gt;0,"DATA","NULL")</f>
        <v>DATA</v>
      </c>
      <c r="AB36" s="67" t="str" cm="1">
        <f t="array" aca="1" ref="AB36" ca="1">IF((INDIRECT("'"&amp;AB$8&amp;"'!"&amp;($P$6&amp;$P36)))&gt;0,"DATA","NULL")</f>
        <v>DATA</v>
      </c>
      <c r="AC36" s="67" t="str" cm="1">
        <f t="array" aca="1" ref="AC36" ca="1">IF((INDIRECT("'"&amp;AC$8&amp;"'!"&amp;($P$6&amp;$P36)))&gt;0,"DATA","NULL")</f>
        <v>DATA</v>
      </c>
      <c r="AD36" s="68" t="str" cm="1">
        <f t="array" aca="1" ref="AD36" ca="1">IF((INDIRECT("'"&amp;AD$8&amp;"'!"&amp;($P$6&amp;$P36)))&gt;0,"DATA","NULL")</f>
        <v>NULL</v>
      </c>
      <c r="AE36" s="31"/>
      <c r="AF36" s="31"/>
      <c r="AG36" s="31"/>
      <c r="AH36" s="31"/>
      <c r="AI36" s="31"/>
      <c r="AK36" t="s">
        <v>382</v>
      </c>
      <c r="AL36" s="1">
        <v>42345</v>
      </c>
      <c r="AM36" s="34" cm="1">
        <f t="array" aca="1" ref="AM36" ca="1">INDIRECT("'"&amp;$B37&amp;"'!"&amp;(D$5&amp;$P$12))</f>
        <v>1844327.1526959999</v>
      </c>
      <c r="AN36" s="34" cm="1">
        <f t="array" aca="1" ref="AN36" ca="1">INDIRECT("'"&amp;$B37&amp;"'!"&amp;(E$5&amp;$P$12))</f>
        <v>5596603.3414965002</v>
      </c>
      <c r="AO36" s="34" cm="1">
        <f t="array" aca="1" ref="AO36" ca="1">INDIRECT("'"&amp;$B37&amp;"'!"&amp;(F$5&amp;$P$12))</f>
        <v>430.50057225</v>
      </c>
      <c r="AP36" s="21">
        <f t="shared" ca="1" si="22"/>
        <v>4.3525661750564514E-2</v>
      </c>
      <c r="AQ36" s="21" cm="1">
        <f t="array" aca="1" ref="AQ36" ca="1">INDIRECT("'"&amp;AK36&amp;"'!"&amp;$H$5&amp;$P$12)+0.01</f>
        <v>1.9E-2</v>
      </c>
      <c r="AR36" s="23">
        <f t="shared" ca="1" si="23"/>
        <v>2.3026500000014494E-2</v>
      </c>
      <c r="AS36" s="7">
        <f t="shared" ca="1" si="24"/>
        <v>4.9241272658971984E-2</v>
      </c>
      <c r="AT36" s="7">
        <f t="shared" ca="1" si="25"/>
        <v>0.26430977236065845</v>
      </c>
      <c r="AU36" s="23">
        <f t="shared" ca="1" si="26"/>
        <v>7.749016705530648E-2</v>
      </c>
      <c r="AV36" s="23">
        <f t="shared" ca="1" si="27"/>
        <v>6.0265000000185864E-3</v>
      </c>
      <c r="BK36" s="21" t="s">
        <v>381</v>
      </c>
      <c r="BL36" s="1">
        <v>42446</v>
      </c>
      <c r="BM36" s="34" cm="1">
        <f t="array" aca="1" ref="BM36" ca="1">INDIRECT("'"&amp;$B36&amp;"'!"&amp;(D$5&amp;$P$22))</f>
        <v>1844569.9423240002</v>
      </c>
      <c r="BN36" s="34" cm="1">
        <f t="array" aca="1" ref="BN36" ca="1">INDIRECT("'"&amp;$B36&amp;"'!"&amp;(E$5&amp;$P$22))</f>
        <v>5596018.9825845007</v>
      </c>
      <c r="BO36" s="34" cm="1">
        <f t="array" aca="1" ref="BO36" ca="1">INDIRECT("'"&amp;$B36&amp;"'!"&amp;(F$5&amp;$P$22))</f>
        <v>398.45518075000001</v>
      </c>
      <c r="BP36" s="7">
        <f t="shared" ca="1" si="31"/>
        <v>0.1072062779928107</v>
      </c>
      <c r="BQ36" s="7" cm="1">
        <f t="array" aca="1" ref="BQ36" ca="1">INDIRECT("'"&amp;BK36&amp;"'!"&amp;$H$5&amp;$P$22)+0.01</f>
        <v>4.3326000000000003E-2</v>
      </c>
      <c r="BR36" s="23">
        <f t="shared" ca="1" si="32"/>
        <v>-6.6391500000008818E-2</v>
      </c>
      <c r="BS36" s="7">
        <f t="shared" ca="1" si="33"/>
        <v>0.12609923597438241</v>
      </c>
      <c r="BT36" s="7">
        <f t="shared" ca="1" si="28"/>
        <v>3.8703725893127275E-2</v>
      </c>
      <c r="BU36" s="23">
        <f t="shared" ca="1" si="34"/>
        <v>0.41930397822949306</v>
      </c>
      <c r="BV36" s="23">
        <f t="shared" ca="1" si="35"/>
        <v>-0.18436500000001388</v>
      </c>
    </row>
    <row r="37" spans="2:74" x14ac:dyDescent="0.3">
      <c r="B37" s="45" t="s">
        <v>382</v>
      </c>
      <c r="C37" s="46">
        <v>42345</v>
      </c>
      <c r="D37" s="47" cm="1">
        <f t="array" aca="1" ref="D37" ca="1">INDIRECT("'"&amp;$B37&amp;"'!"&amp;(D$5&amp;$K$5))</f>
        <v>1844327.1526959999</v>
      </c>
      <c r="E37" s="47" cm="1">
        <f t="array" aca="1" ref="E37" ca="1">INDIRECT("'"&amp;$B37&amp;"'!"&amp;(E$5&amp;$K$5))</f>
        <v>5596603.3414965002</v>
      </c>
      <c r="F37" s="47" cm="1">
        <f t="array" aca="1" ref="F37" ca="1">INDIRECT("'"&amp;$B37&amp;"'!"&amp;(F$5&amp;$K$5))</f>
        <v>430.50057225</v>
      </c>
      <c r="G37" s="42">
        <f t="shared" ca="1" si="36"/>
        <v>4.3525661750564514E-2</v>
      </c>
      <c r="H37" s="42" cm="1">
        <f t="array" aca="1" ref="H37" ca="1">INDIRECT("'"&amp;B37&amp;"'!"&amp;$H$5&amp;$K$5)+0.01</f>
        <v>1.9E-2</v>
      </c>
      <c r="I37" s="47">
        <f t="shared" ref="I37" ca="1" si="40">F37-F38</f>
        <v>2.3026500000014494E-2</v>
      </c>
      <c r="J37" s="48">
        <f t="shared" ref="J37" ca="1" si="41">SQRT((G37^2)+(I37^2))</f>
        <v>4.9241272658971984E-2</v>
      </c>
      <c r="K37" s="48">
        <f t="shared" ca="1" si="21"/>
        <v>2.2448227241590169E-2</v>
      </c>
      <c r="L37" s="47">
        <f t="shared" ref="L37" ca="1" si="42">L38+J37</f>
        <v>7.749016705530648E-2</v>
      </c>
      <c r="M37" s="4"/>
      <c r="O37" s="64">
        <f t="shared" ca="1" si="0"/>
        <v>12</v>
      </c>
      <c r="P37" s="65">
        <v>32</v>
      </c>
      <c r="Q37" s="66">
        <v>27</v>
      </c>
      <c r="R37" s="67" t="str" cm="1">
        <f t="array" aca="1" ref="R37" ca="1">IF((INDIRECT("'"&amp;R$8&amp;"'!"&amp;($P$6&amp;$P37)))&gt;0,"DATA","NULL")</f>
        <v>NULL</v>
      </c>
      <c r="S37" s="67" t="str" cm="1">
        <f t="array" aca="1" ref="S37" ca="1">IF((INDIRECT("'"&amp;S$8&amp;"'!"&amp;($P$6&amp;$P37)))&gt;0,"DATA","NULL")</f>
        <v>DATA</v>
      </c>
      <c r="T37" s="67" t="str" cm="1">
        <f t="array" aca="1" ref="T37" ca="1">IF((INDIRECT("'"&amp;T$8&amp;"'!"&amp;($P$6&amp;$P37)))&gt;0,"DATA","NULL")</f>
        <v>DATA</v>
      </c>
      <c r="U37" s="67" t="str" cm="1">
        <f t="array" aca="1" ref="U37" ca="1">IF((INDIRECT("'"&amp;U$8&amp;"'!"&amp;($P$6&amp;$P37)))&gt;0,"DATA","NULL")</f>
        <v>DATA</v>
      </c>
      <c r="V37" s="67" t="str" cm="1">
        <f t="array" aca="1" ref="V37" ca="1">IF((INDIRECT("'"&amp;V$8&amp;"'!"&amp;($P$6&amp;$P37)))&gt;0,"DATA","NULL")</f>
        <v>DATA</v>
      </c>
      <c r="W37" s="67" t="str" cm="1">
        <f t="array" aca="1" ref="W37" ca="1">IF((INDIRECT("'"&amp;W$8&amp;"'!"&amp;($P$6&amp;$P37)))&gt;0,"DATA","NULL")</f>
        <v>DATA</v>
      </c>
      <c r="X37" s="67" t="str" cm="1">
        <f t="array" aca="1" ref="X37" ca="1">IF((INDIRECT("'"&amp;X$8&amp;"'!"&amp;($P$6&amp;$P37)))&gt;0,"DATA","NULL")</f>
        <v>DATA</v>
      </c>
      <c r="Y37" s="67" t="str" cm="1">
        <f t="array" aca="1" ref="Y37" ca="1">IF((INDIRECT("'"&amp;Y$8&amp;"'!"&amp;($P$6&amp;$P37)))&gt;0,"DATA","NULL")</f>
        <v>DATA</v>
      </c>
      <c r="Z37" s="67" t="str" cm="1">
        <f t="array" aca="1" ref="Z37" ca="1">IF((INDIRECT("'"&amp;Z$8&amp;"'!"&amp;($P$6&amp;$P37)))&gt;0,"DATA","NULL")</f>
        <v>DATA</v>
      </c>
      <c r="AA37" s="67" t="str" cm="1">
        <f t="array" aca="1" ref="AA37" ca="1">IF((INDIRECT("'"&amp;AA$8&amp;"'!"&amp;($P$6&amp;$P37)))&gt;0,"DATA","NULL")</f>
        <v>DATA</v>
      </c>
      <c r="AB37" s="67" t="str" cm="1">
        <f t="array" aca="1" ref="AB37" ca="1">IF((INDIRECT("'"&amp;AB$8&amp;"'!"&amp;($P$6&amp;$P37)))&gt;0,"DATA","NULL")</f>
        <v>DATA</v>
      </c>
      <c r="AC37" s="67" t="str" cm="1">
        <f t="array" aca="1" ref="AC37" ca="1">IF((INDIRECT("'"&amp;AC$8&amp;"'!"&amp;($P$6&amp;$P37)))&gt;0,"DATA","NULL")</f>
        <v>DATA</v>
      </c>
      <c r="AD37" s="68" t="str" cm="1">
        <f t="array" aca="1" ref="AD37" ca="1">IF((INDIRECT("'"&amp;AD$8&amp;"'!"&amp;($P$6&amp;$P37)))&gt;0,"DATA","NULL")</f>
        <v>DATA</v>
      </c>
      <c r="AE37" s="31"/>
      <c r="AF37" s="31"/>
      <c r="AG37" s="31"/>
      <c r="AH37" s="31"/>
      <c r="AI37" s="31"/>
      <c r="AK37" t="s">
        <v>383</v>
      </c>
      <c r="AL37" s="1">
        <v>42277</v>
      </c>
      <c r="AM37" s="34" cm="1">
        <f t="array" aca="1" ref="AM37" ca="1">INDIRECT("'"&amp;$B38&amp;"'!"&amp;(D$5&amp;$P$12))</f>
        <v>1844327.1768300002</v>
      </c>
      <c r="AN37" s="34" cm="1">
        <f t="array" aca="1" ref="AN37" ca="1">INDIRECT("'"&amp;$B38&amp;"'!"&amp;(E$5&amp;$P$12))</f>
        <v>5596603.3052745005</v>
      </c>
      <c r="AO37" s="34" cm="1">
        <f t="array" aca="1" ref="AO37" ca="1">INDIRECT("'"&amp;$B38&amp;"'!"&amp;(F$5&amp;$P$12))</f>
        <v>430.47754574999999</v>
      </c>
      <c r="AP37" s="21">
        <f t="shared" ca="1" si="22"/>
        <v>2.2561029112507215E-2</v>
      </c>
      <c r="AQ37" s="21" cm="1">
        <f t="array" aca="1" ref="AQ37" ca="1">INDIRECT("'"&amp;AK37&amp;"'!"&amp;$H$5&amp;$P$12)+0.01</f>
        <v>1.8000000000000002E-2</v>
      </c>
      <c r="AR37" s="23">
        <f t="shared" ca="1" si="23"/>
        <v>-1.6999999999995907E-2</v>
      </c>
      <c r="AS37" s="7">
        <f t="shared" ca="1" si="24"/>
        <v>2.8248894396334503E-2</v>
      </c>
      <c r="AT37" s="7">
        <f t="shared" ca="1" si="25"/>
        <v>0.11585220735575386</v>
      </c>
      <c r="AU37" s="23">
        <f t="shared" ca="1" si="26"/>
        <v>2.8248894396334503E-2</v>
      </c>
      <c r="AV37" s="23">
        <f t="shared" ca="1" si="27"/>
        <v>-1.6999999999995907E-2</v>
      </c>
      <c r="BK37" s="21" t="s">
        <v>382</v>
      </c>
      <c r="BL37" s="1">
        <v>42345</v>
      </c>
      <c r="BM37" s="34" cm="1">
        <f t="array" aca="1" ref="BM37" ca="1">INDIRECT("'"&amp;$B37&amp;"'!"&amp;(D$5&amp;$P$22))</f>
        <v>1844569.9686960001</v>
      </c>
      <c r="BN37" s="34" cm="1">
        <f t="array" aca="1" ref="BN37" ca="1">INDIRECT("'"&amp;$B37&amp;"'!"&amp;(E$5&amp;$P$22))</f>
        <v>5596019.0864965003</v>
      </c>
      <c r="BO37" s="34" cm="1">
        <f t="array" aca="1" ref="BO37" ca="1">INDIRECT("'"&amp;$B37&amp;"'!"&amp;(F$5&amp;$P$22))</f>
        <v>398.52157225000002</v>
      </c>
      <c r="BP37" s="7">
        <f t="shared" ca="1" si="31"/>
        <v>6.5394305391008795E-2</v>
      </c>
      <c r="BQ37" s="7" cm="1">
        <f t="array" aca="1" ref="BQ37" ca="1">INDIRECT("'"&amp;BK37&amp;"'!"&amp;$H$5&amp;$P$22)+0.01</f>
        <v>1.6E-2</v>
      </c>
      <c r="BR37" s="23">
        <f t="shared" ca="1" si="32"/>
        <v>-3.0973500000015974E-2</v>
      </c>
      <c r="BS37" s="7">
        <f t="shared" ca="1" si="33"/>
        <v>7.2358640671474142E-2</v>
      </c>
      <c r="BT37" s="7">
        <f t="shared" ca="1" si="28"/>
        <v>3.2987027364936743E-2</v>
      </c>
      <c r="BU37" s="23">
        <f t="shared" ca="1" si="34"/>
        <v>0.29320474225511062</v>
      </c>
      <c r="BV37" s="23">
        <f t="shared" ca="1" si="35"/>
        <v>-0.11797350000000506</v>
      </c>
    </row>
    <row r="38" spans="2:74" x14ac:dyDescent="0.3">
      <c r="B38" s="45" t="s">
        <v>383</v>
      </c>
      <c r="C38" s="46">
        <v>42277</v>
      </c>
      <c r="D38" s="47" cm="1">
        <f t="array" aca="1" ref="D38" ca="1">INDIRECT("'"&amp;$B38&amp;"'!"&amp;(D$5&amp;$K$5))</f>
        <v>1844327.1768300002</v>
      </c>
      <c r="E38" s="47" cm="1">
        <f t="array" aca="1" ref="E38" ca="1">INDIRECT("'"&amp;$B38&amp;"'!"&amp;(E$5&amp;$K$5))</f>
        <v>5596603.3052745005</v>
      </c>
      <c r="F38" s="47" cm="1">
        <f t="array" aca="1" ref="F38" ca="1">INDIRECT("'"&amp;$B38&amp;"'!"&amp;(F$5&amp;$K$5))</f>
        <v>430.47754574999999</v>
      </c>
      <c r="G38" s="42">
        <f ca="1">SQRT(((D38-D39)^2)+((E38-E39)^2))</f>
        <v>2.2561029112507215E-2</v>
      </c>
      <c r="H38" s="42" cm="1">
        <f t="array" aca="1" ref="H38" ca="1">INDIRECT("'"&amp;B38&amp;"'!"&amp;$H$5&amp;$K$5)+0.01</f>
        <v>1.8000000000000002E-2</v>
      </c>
      <c r="I38" s="47">
        <f ca="1">F38-F39</f>
        <v>-1.6999999999995907E-2</v>
      </c>
      <c r="J38" s="48">
        <f ca="1">SQRT((G38^2)+(I38^2))</f>
        <v>2.8248894396334503E-2</v>
      </c>
      <c r="K38" s="48">
        <f t="shared" ca="1" si="21"/>
        <v>9.8395025425434789E-3</v>
      </c>
      <c r="L38" s="47">
        <f ca="1">L39+J38</f>
        <v>2.8248894396334503E-2</v>
      </c>
      <c r="M38" s="4"/>
      <c r="O38" s="64">
        <f t="shared" ca="1" si="0"/>
        <v>8</v>
      </c>
      <c r="P38" s="65">
        <v>33</v>
      </c>
      <c r="Q38" s="66">
        <v>28</v>
      </c>
      <c r="R38" s="67" t="str" cm="1">
        <f t="array" aca="1" ref="R38" ca="1">IF((INDIRECT("'"&amp;R$8&amp;"'!"&amp;($P$6&amp;$P38)))&gt;0,"DATA","NULL")</f>
        <v>DATA</v>
      </c>
      <c r="S38" s="67" t="str" cm="1">
        <f t="array" aca="1" ref="S38" ca="1">IF((INDIRECT("'"&amp;S$8&amp;"'!"&amp;($P$6&amp;$P38)))&gt;0,"DATA","NULL")</f>
        <v>DATA</v>
      </c>
      <c r="T38" s="67" t="str" cm="1">
        <f t="array" aca="1" ref="T38" ca="1">IF((INDIRECT("'"&amp;T$8&amp;"'!"&amp;($P$6&amp;$P38)))&gt;0,"DATA","NULL")</f>
        <v>NULL</v>
      </c>
      <c r="U38" s="67" t="str" cm="1">
        <f t="array" aca="1" ref="U38" ca="1">IF((INDIRECT("'"&amp;U$8&amp;"'!"&amp;($P$6&amp;$P38)))&gt;0,"DATA","NULL")</f>
        <v>DATA</v>
      </c>
      <c r="V38" s="67" t="str" cm="1">
        <f t="array" aca="1" ref="V38" ca="1">IF((INDIRECT("'"&amp;V$8&amp;"'!"&amp;($P$6&amp;$P38)))&gt;0,"DATA","NULL")</f>
        <v>DATA</v>
      </c>
      <c r="W38" s="67" t="str" cm="1">
        <f t="array" aca="1" ref="W38" ca="1">IF((INDIRECT("'"&amp;W$8&amp;"'!"&amp;($P$6&amp;$P38)))&gt;0,"DATA","NULL")</f>
        <v>DATA</v>
      </c>
      <c r="X38" s="67" t="str" cm="1">
        <f t="array" aca="1" ref="X38" ca="1">IF((INDIRECT("'"&amp;X$8&amp;"'!"&amp;($P$6&amp;$P38)))&gt;0,"DATA","NULL")</f>
        <v>DATA</v>
      </c>
      <c r="Y38" s="67" t="str" cm="1">
        <f t="array" aca="1" ref="Y38" ca="1">IF((INDIRECT("'"&amp;Y$8&amp;"'!"&amp;($P$6&amp;$P38)))&gt;0,"DATA","NULL")</f>
        <v>NULL</v>
      </c>
      <c r="Z38" s="67" t="str" cm="1">
        <f t="array" aca="1" ref="Z38" ca="1">IF((INDIRECT("'"&amp;Z$8&amp;"'!"&amp;($P$6&amp;$P38)))&gt;0,"DATA","NULL")</f>
        <v>DATA</v>
      </c>
      <c r="AA38" s="67" t="str" cm="1">
        <f t="array" aca="1" ref="AA38" ca="1">IF((INDIRECT("'"&amp;AA$8&amp;"'!"&amp;($P$6&amp;$P38)))&gt;0,"DATA","NULL")</f>
        <v>NULL</v>
      </c>
      <c r="AB38" s="67" t="str" cm="1">
        <f t="array" aca="1" ref="AB38" ca="1">IF((INDIRECT("'"&amp;AB$8&amp;"'!"&amp;($P$6&amp;$P38)))&gt;0,"DATA","NULL")</f>
        <v>NULL</v>
      </c>
      <c r="AC38" s="67" t="str" cm="1">
        <f t="array" aca="1" ref="AC38" ca="1">IF((INDIRECT("'"&amp;AC$8&amp;"'!"&amp;($P$6&amp;$P38)))&gt;0,"DATA","NULL")</f>
        <v>NULL</v>
      </c>
      <c r="AD38" s="68" t="str" cm="1">
        <f t="array" aca="1" ref="AD38" ca="1">IF((INDIRECT("'"&amp;AD$8&amp;"'!"&amp;($P$6&amp;$P38)))&gt;0,"DATA","NULL")</f>
        <v>DATA</v>
      </c>
      <c r="AE38" s="31"/>
      <c r="AF38" s="31"/>
      <c r="AG38" s="31"/>
      <c r="AH38" s="31"/>
      <c r="AI38" s="31"/>
      <c r="AK38" t="s">
        <v>384</v>
      </c>
      <c r="AL38" s="1">
        <v>42188</v>
      </c>
      <c r="AM38" s="34" cm="1">
        <f t="array" aca="1" ref="AM38" ca="1">INDIRECT("'"&amp;$B39&amp;"'!"&amp;(D$5&amp;$P$12))</f>
        <v>1844327.1818300001</v>
      </c>
      <c r="AN38" s="34" cm="1">
        <f t="array" aca="1" ref="AN38" ca="1">INDIRECT("'"&amp;$B39&amp;"'!"&amp;(E$5&amp;$P$12))</f>
        <v>5596603.3272745013</v>
      </c>
      <c r="AO38" s="34" cm="1">
        <f t="array" aca="1" ref="AO38" ca="1">INDIRECT("'"&amp;$B39&amp;"'!"&amp;(F$5&amp;$P$12))</f>
        <v>430.49454574999999</v>
      </c>
      <c r="AV38" s="21">
        <v>0</v>
      </c>
      <c r="BK38" s="21" t="s">
        <v>383</v>
      </c>
      <c r="BL38" s="1">
        <v>42277</v>
      </c>
      <c r="BM38" s="34" cm="1">
        <f t="array" aca="1" ref="BM38" ca="1">INDIRECT("'"&amp;$B38&amp;"'!"&amp;(D$5&amp;$P$22))</f>
        <v>1844569.9928300001</v>
      </c>
      <c r="BN38" s="34" cm="1">
        <f t="array" aca="1" ref="BN38" ca="1">INDIRECT("'"&amp;$B38&amp;"'!"&amp;(E$5&amp;$P$22))</f>
        <v>5596019.1472744998</v>
      </c>
      <c r="BO38" s="34" cm="1">
        <f t="array" aca="1" ref="BO38" ca="1">INDIRECT("'"&amp;$B38&amp;"'!"&amp;(F$5&amp;$P$22))</f>
        <v>398.55254575000004</v>
      </c>
      <c r="BP38" s="7">
        <f t="shared" ca="1" si="31"/>
        <v>0.20298768579569493</v>
      </c>
      <c r="BQ38" s="7" cm="1">
        <f t="array" aca="1" ref="BQ38" ca="1">INDIRECT("'"&amp;BK38&amp;"'!"&amp;$H$5&amp;$P$22)+0.01</f>
        <v>1.3000000000000001E-2</v>
      </c>
      <c r="BR38" s="23">
        <f t="shared" ca="1" si="32"/>
        <v>-8.6999999999989086E-2</v>
      </c>
      <c r="BS38" s="7">
        <f t="shared" ca="1" si="33"/>
        <v>0.22084610158363646</v>
      </c>
      <c r="BT38" s="7">
        <f t="shared" ca="1" si="28"/>
        <v>7.6923923023513835E-2</v>
      </c>
      <c r="BU38" s="23">
        <f t="shared" ca="1" si="34"/>
        <v>0.22084610158363646</v>
      </c>
      <c r="BV38" s="23">
        <f t="shared" ca="1" si="35"/>
        <v>-8.6999999999989086E-2</v>
      </c>
    </row>
    <row r="39" spans="2:74" x14ac:dyDescent="0.3">
      <c r="B39" s="45" t="s">
        <v>384</v>
      </c>
      <c r="C39" s="46">
        <v>42188</v>
      </c>
      <c r="D39" s="47" cm="1">
        <f t="array" aca="1" ref="D39" ca="1">INDIRECT("'"&amp;$B39&amp;"'!"&amp;(D$5&amp;$K$5))</f>
        <v>1844327.1818300001</v>
      </c>
      <c r="E39" s="47" cm="1">
        <f t="array" aca="1" ref="E39" ca="1">INDIRECT("'"&amp;$B39&amp;"'!"&amp;(E$5&amp;$K$5))</f>
        <v>5596603.3272745013</v>
      </c>
      <c r="F39" s="47" cm="1">
        <f t="array" aca="1" ref="F39" ca="1">INDIRECT("'"&amp;$B39&amp;"'!"&amp;(F$5&amp;$K$5))</f>
        <v>430.49454574999999</v>
      </c>
      <c r="G39" s="42"/>
      <c r="H39" s="42"/>
      <c r="I39" s="47"/>
      <c r="J39" s="48"/>
      <c r="K39" s="48"/>
      <c r="L39" s="50"/>
      <c r="M39" s="4"/>
      <c r="O39" s="64">
        <f t="shared" ca="1" si="0"/>
        <v>5</v>
      </c>
      <c r="P39" s="65">
        <v>34</v>
      </c>
      <c r="Q39" s="66">
        <v>29</v>
      </c>
      <c r="R39" s="67" t="str" cm="1">
        <f t="array" aca="1" ref="R39" ca="1">IF((INDIRECT("'"&amp;R$8&amp;"'!"&amp;($P$6&amp;$P39)))&gt;0,"DATA","NULL")</f>
        <v>NULL</v>
      </c>
      <c r="S39" s="67" t="str" cm="1">
        <f t="array" aca="1" ref="S39" ca="1">IF((INDIRECT("'"&amp;S$8&amp;"'!"&amp;($P$6&amp;$P39)))&gt;0,"DATA","NULL")</f>
        <v>DATA</v>
      </c>
      <c r="T39" s="67" t="str" cm="1">
        <f t="array" aca="1" ref="T39" ca="1">IF((INDIRECT("'"&amp;T$8&amp;"'!"&amp;($P$6&amp;$P39)))&gt;0,"DATA","NULL")</f>
        <v>DATA</v>
      </c>
      <c r="U39" s="67" t="str" cm="1">
        <f t="array" aca="1" ref="U39" ca="1">IF((INDIRECT("'"&amp;U$8&amp;"'!"&amp;($P$6&amp;$P39)))&gt;0,"DATA","NULL")</f>
        <v>DATA</v>
      </c>
      <c r="V39" s="67" t="str" cm="1">
        <f t="array" aca="1" ref="V39" ca="1">IF((INDIRECT("'"&amp;V$8&amp;"'!"&amp;($P$6&amp;$P39)))&gt;0,"DATA","NULL")</f>
        <v>DATA</v>
      </c>
      <c r="W39" s="67" t="str" cm="1">
        <f t="array" aca="1" ref="W39" ca="1">IF((INDIRECT("'"&amp;W$8&amp;"'!"&amp;($P$6&amp;$P39)))&gt;0,"DATA","NULL")</f>
        <v>DATA</v>
      </c>
      <c r="X39" s="67" t="str" cm="1">
        <f t="array" aca="1" ref="X39" ca="1">IF((INDIRECT("'"&amp;X$8&amp;"'!"&amp;($P$6&amp;$P39)))&gt;0,"DATA","NULL")</f>
        <v>NULL</v>
      </c>
      <c r="Y39" s="67" t="str" cm="1">
        <f t="array" aca="1" ref="Y39" ca="1">IF((INDIRECT("'"&amp;Y$8&amp;"'!"&amp;($P$6&amp;$P39)))&gt;0,"DATA","NULL")</f>
        <v>NULL</v>
      </c>
      <c r="Z39" s="67" t="str" cm="1">
        <f t="array" aca="1" ref="Z39" ca="1">IF((INDIRECT("'"&amp;Z$8&amp;"'!"&amp;($P$6&amp;$P39)))&gt;0,"DATA","NULL")</f>
        <v>NULL</v>
      </c>
      <c r="AA39" s="67" t="str" cm="1">
        <f t="array" aca="1" ref="AA39" ca="1">IF((INDIRECT("'"&amp;AA$8&amp;"'!"&amp;($P$6&amp;$P39)))&gt;0,"DATA","NULL")</f>
        <v>NULL</v>
      </c>
      <c r="AB39" s="67" t="str" cm="1">
        <f t="array" aca="1" ref="AB39" ca="1">IF((INDIRECT("'"&amp;AB$8&amp;"'!"&amp;($P$6&amp;$P39)))&gt;0,"DATA","NULL")</f>
        <v>NULL</v>
      </c>
      <c r="AC39" s="67" t="str" cm="1">
        <f t="array" aca="1" ref="AC39" ca="1">IF((INDIRECT("'"&amp;AC$8&amp;"'!"&amp;($P$6&amp;$P39)))&gt;0,"DATA","NULL")</f>
        <v>NULL</v>
      </c>
      <c r="AD39" s="68" t="str" cm="1">
        <f t="array" aca="1" ref="AD39" ca="1">IF((INDIRECT("'"&amp;AD$8&amp;"'!"&amp;($P$6&amp;$P39)))&gt;0,"DATA","NULL")</f>
        <v>NULL</v>
      </c>
      <c r="AE39" s="31"/>
      <c r="AF39" s="31"/>
      <c r="AG39" s="31"/>
      <c r="AH39" s="31"/>
      <c r="AI39" s="31"/>
      <c r="AL39" s="1"/>
      <c r="BK39" s="21" t="s">
        <v>384</v>
      </c>
      <c r="BL39" s="1">
        <v>42188</v>
      </c>
      <c r="BM39" s="34" cm="1">
        <f t="array" aca="1" ref="BM39" ca="1">INDIRECT("'"&amp;$B39&amp;"'!"&amp;(D$5&amp;$P$22))</f>
        <v>1844570.0128300001</v>
      </c>
      <c r="BN39" s="34" cm="1">
        <f t="array" aca="1" ref="BN39" ca="1">INDIRECT("'"&amp;$B39&amp;"'!"&amp;(E$5&amp;$P$22))</f>
        <v>5596019.3492745012</v>
      </c>
      <c r="BO39" s="34" cm="1">
        <f t="array" aca="1" ref="BO39" ca="1">INDIRECT("'"&amp;$B39&amp;"'!"&amp;(F$5&amp;$P$22))</f>
        <v>398.63954575000002</v>
      </c>
      <c r="BP39" s="7"/>
      <c r="BR39" s="21"/>
      <c r="BS39" s="21"/>
      <c r="BT39" s="21"/>
      <c r="BU39" s="21"/>
      <c r="BV39" s="21">
        <v>0</v>
      </c>
    </row>
    <row r="40" spans="2:74" ht="15" thickBot="1" x14ac:dyDescent="0.35">
      <c r="O40" s="69">
        <f t="shared" ca="1" si="0"/>
        <v>8</v>
      </c>
      <c r="P40" s="70">
        <v>35</v>
      </c>
      <c r="Q40" s="71" t="s">
        <v>26</v>
      </c>
      <c r="R40" s="72" t="str" cm="1">
        <f t="array" aca="1" ref="R40" ca="1">IF((INDIRECT("'"&amp;R$8&amp;"'!"&amp;($P$6&amp;$P40)))&gt;0,"DATA","NULL")</f>
        <v>DATA</v>
      </c>
      <c r="S40" s="72" t="str" cm="1">
        <f t="array" aca="1" ref="S40" ca="1">IF((INDIRECT("'"&amp;S$8&amp;"'!"&amp;($P$6&amp;$P40)))&gt;0,"DATA","NULL")</f>
        <v>DATA</v>
      </c>
      <c r="T40" s="72" t="str" cm="1">
        <f t="array" aca="1" ref="T40" ca="1">IF((INDIRECT("'"&amp;T$8&amp;"'!"&amp;($P$6&amp;$P40)))&gt;0,"DATA","NULL")</f>
        <v>DATA</v>
      </c>
      <c r="U40" s="72" t="str" cm="1">
        <f t="array" aca="1" ref="U40" ca="1">IF((INDIRECT("'"&amp;U$8&amp;"'!"&amp;($P$6&amp;$P40)))&gt;0,"DATA","NULL")</f>
        <v>NULL</v>
      </c>
      <c r="V40" s="72" t="str" cm="1">
        <f t="array" aca="1" ref="V40" ca="1">IF((INDIRECT("'"&amp;V$8&amp;"'!"&amp;($P$6&amp;$P40)))&gt;0,"DATA","NULL")</f>
        <v>NULL</v>
      </c>
      <c r="W40" s="72" t="str" cm="1">
        <f t="array" aca="1" ref="W40" ca="1">IF((INDIRECT("'"&amp;W$8&amp;"'!"&amp;($P$6&amp;$P40)))&gt;0,"DATA","NULL")</f>
        <v>DATA</v>
      </c>
      <c r="X40" s="72" t="str" cm="1">
        <f t="array" aca="1" ref="X40" ca="1">IF((INDIRECT("'"&amp;X$8&amp;"'!"&amp;($P$6&amp;$P40)))&gt;0,"DATA","NULL")</f>
        <v>DATA</v>
      </c>
      <c r="Y40" s="72" t="str" cm="1">
        <f t="array" aca="1" ref="Y40" ca="1">IF((INDIRECT("'"&amp;Y$8&amp;"'!"&amp;($P$6&amp;$P40)))&gt;0,"DATA","NULL")</f>
        <v>NULL</v>
      </c>
      <c r="Z40" s="72" t="str" cm="1">
        <f t="array" aca="1" ref="Z40" ca="1">IF((INDIRECT("'"&amp;Z$8&amp;"'!"&amp;($P$6&amp;$P40)))&gt;0,"DATA","NULL")</f>
        <v>DATA</v>
      </c>
      <c r="AA40" s="72" t="str" cm="1">
        <f t="array" aca="1" ref="AA40" ca="1">IF((INDIRECT("'"&amp;AA$8&amp;"'!"&amp;($P$6&amp;$P40)))&gt;0,"DATA","NULL")</f>
        <v>NULL</v>
      </c>
      <c r="AB40" s="72" t="str" cm="1">
        <f t="array" aca="1" ref="AB40" ca="1">IF((INDIRECT("'"&amp;AB$8&amp;"'!"&amp;($P$6&amp;$P40)))&gt;0,"DATA","NULL")</f>
        <v>DATA</v>
      </c>
      <c r="AC40" s="72" t="str" cm="1">
        <f t="array" aca="1" ref="AC40" ca="1">IF((INDIRECT("'"&amp;AC$8&amp;"'!"&amp;($P$6&amp;$P40)))&gt;0,"DATA","NULL")</f>
        <v>NULL</v>
      </c>
      <c r="AD40" s="73" t="str" cm="1">
        <f t="array" aca="1" ref="AD40" ca="1">IF((INDIRECT("'"&amp;AD$8&amp;"'!"&amp;($P$6&amp;$P40)))&gt;0,"DATA","NULL")</f>
        <v>DATA</v>
      </c>
      <c r="AE40" s="31"/>
      <c r="AF40" s="31"/>
      <c r="AG40" s="31"/>
      <c r="AH40" s="31"/>
      <c r="AI40" s="31"/>
      <c r="AL40" s="1"/>
      <c r="BP40" s="7"/>
    </row>
    <row r="41" spans="2:74" x14ac:dyDescent="0.3">
      <c r="AL41" s="1"/>
      <c r="BP41" s="7"/>
    </row>
    <row r="42" spans="2:74" x14ac:dyDescent="0.3">
      <c r="AK42" s="31" t="s">
        <v>567</v>
      </c>
      <c r="AL42" s="1"/>
      <c r="BP42" s="7"/>
    </row>
    <row r="43" spans="2:74" x14ac:dyDescent="0.3">
      <c r="AL43" s="1"/>
      <c r="AM43" t="s">
        <v>541</v>
      </c>
      <c r="AN43" t="s">
        <v>542</v>
      </c>
      <c r="AO43" t="s">
        <v>543</v>
      </c>
      <c r="AP43" t="s">
        <v>427</v>
      </c>
      <c r="AQ43" t="s">
        <v>525</v>
      </c>
      <c r="AR43" t="s">
        <v>428</v>
      </c>
      <c r="AS43" t="s">
        <v>429</v>
      </c>
      <c r="AT43" t="s">
        <v>438</v>
      </c>
      <c r="AU43" t="s">
        <v>430</v>
      </c>
      <c r="AV43" s="33" t="s">
        <v>582</v>
      </c>
      <c r="BK43" s="21" t="s">
        <v>586</v>
      </c>
      <c r="BL43" s="1"/>
      <c r="BM43" s="21" t="s">
        <v>541</v>
      </c>
      <c r="BN43" s="21" t="s">
        <v>542</v>
      </c>
      <c r="BO43" s="21" t="s">
        <v>543</v>
      </c>
      <c r="BP43" s="7" t="s">
        <v>427</v>
      </c>
      <c r="BQ43" s="7" t="s">
        <v>525</v>
      </c>
      <c r="BR43" s="21" t="s">
        <v>428</v>
      </c>
      <c r="BS43" s="21" t="s">
        <v>429</v>
      </c>
      <c r="BT43" s="21" t="s">
        <v>606</v>
      </c>
      <c r="BU43" s="21" t="s">
        <v>430</v>
      </c>
      <c r="BV43" s="33" t="s">
        <v>582</v>
      </c>
    </row>
    <row r="44" spans="2:74" x14ac:dyDescent="0.3">
      <c r="AK44" t="s">
        <v>526</v>
      </c>
      <c r="AL44" s="1">
        <v>43817</v>
      </c>
      <c r="AM44" s="34" cm="1">
        <f t="array" aca="1" ref="AM44" ca="1">INDIRECT("'"&amp;$B27&amp;"'!"&amp;(D$5&amp;$P$13))</f>
        <v>1844275.7236540001</v>
      </c>
      <c r="AN44" s="34" cm="1">
        <f t="array" aca="1" ref="AN44" ca="1">INDIRECT("'"&amp;$B27&amp;"'!"&amp;(E$5&amp;$P$13))</f>
        <v>5596482.7774860002</v>
      </c>
      <c r="AO44" s="34" cm="1">
        <f t="array" aca="1" ref="AO44" ca="1">INDIRECT("'"&amp;$B27&amp;"'!"&amp;(F$5&amp;$P$13))</f>
        <v>434.64107899999999</v>
      </c>
      <c r="AP44" s="21">
        <f ca="1">SQRT(((AM44-AM45)^2)+((AN44-AN45)^2))</f>
        <v>4.1665993086451435E-2</v>
      </c>
      <c r="AQ44" s="21" cm="1">
        <f t="array" aca="1" ref="AQ44" ca="1">INDIRECT("'"&amp;AK44&amp;"'!"&amp;$H$5&amp;$P$13)+0.01</f>
        <v>2.5562000000000001E-2</v>
      </c>
      <c r="AR44" s="23">
        <f ca="1">AO44-AO45</f>
        <v>3.8639999999645624E-3</v>
      </c>
      <c r="AS44" s="7">
        <f ca="1">SQRT((AP44^2)+(AR44^2))</f>
        <v>4.1844778358595056E-2</v>
      </c>
      <c r="AT44" s="7">
        <f ca="1">(AS44/(AL44-AL45))*365</f>
        <v>3.5111135864108495E-2</v>
      </c>
      <c r="AU44" s="23">
        <f ca="1">AU45+AS44</f>
        <v>0.60935168976721699</v>
      </c>
      <c r="AV44" s="23">
        <f ca="1">AV45+AR44</f>
        <v>-5.4466750000017328E-2</v>
      </c>
      <c r="BK44" s="21" t="s">
        <v>526</v>
      </c>
      <c r="BL44" s="1">
        <v>43817</v>
      </c>
      <c r="BM44" s="34" cm="1">
        <f t="array" aca="1" ref="BM44" ca="1">INDIRECT("'"&amp;$B27&amp;"'!"&amp;(D$5&amp;$P$23))</f>
        <v>1844675.810509</v>
      </c>
      <c r="BN44" s="34" cm="1">
        <f t="array" aca="1" ref="BN44" ca="1">INDIRECT("'"&amp;$B27&amp;"'!"&amp;(E$5&amp;$P$23))</f>
        <v>5595951.6662210003</v>
      </c>
      <c r="BO44" s="34" cm="1">
        <f t="array" aca="1" ref="BO44" ca="1">INDIRECT("'"&amp;$B27&amp;"'!"&amp;(F$5&amp;$P$23))</f>
        <v>392.02419200000003</v>
      </c>
      <c r="BP44" s="7">
        <f ca="1">SQRT(((BM44-BM45)^2)+((BN44-BN45)^2))</f>
        <v>0.63302932320697025</v>
      </c>
      <c r="BQ44" s="7" cm="1">
        <f t="array" aca="1" ref="BQ44" ca="1">INDIRECT("'"&amp;BK44&amp;"'!"&amp;$H$5&amp;$P$23)+0.01</f>
        <v>2.7511000000000001E-2</v>
      </c>
      <c r="BR44" s="23">
        <f ca="1">BO44-BO45</f>
        <v>-0.10538399999995818</v>
      </c>
      <c r="BS44" s="7">
        <f ca="1">SQRT((BP44^2)+(BR44^2))</f>
        <v>0.64174131197536755</v>
      </c>
      <c r="BT44" s="7">
        <f t="shared" ref="BT44:BT55" ca="1" si="43">(BS44/(BL44-BL45))*31</f>
        <v>4.5733288899394008E-2</v>
      </c>
      <c r="BU44" s="23">
        <f ca="1">BU45+BS44</f>
        <v>2.6074783706815556</v>
      </c>
      <c r="BV44" s="23">
        <f ca="1">BV45+BR44</f>
        <v>-0.30535374999999476</v>
      </c>
    </row>
    <row r="45" spans="2:74" x14ac:dyDescent="0.3">
      <c r="AK45" t="s">
        <v>373</v>
      </c>
      <c r="AL45" s="1">
        <v>43382</v>
      </c>
      <c r="AM45" s="34" cm="1">
        <f t="array" aca="1" ref="AM45" ca="1">INDIRECT("'"&amp;$B28&amp;"'!"&amp;(D$5&amp;$P$13))</f>
        <v>1844275.7125929999</v>
      </c>
      <c r="AN45" s="34" cm="1">
        <f t="array" aca="1" ref="AN45" ca="1">INDIRECT("'"&amp;$B28&amp;"'!"&amp;(E$5&amp;$P$13))</f>
        <v>5596482.8176570004</v>
      </c>
      <c r="AO45" s="34" cm="1">
        <f t="array" aca="1" ref="AO45" ca="1">INDIRECT("'"&amp;$B28&amp;"'!"&amp;(F$5&amp;$P$13))</f>
        <v>434.63721500000003</v>
      </c>
      <c r="AP45" s="21">
        <f ca="1">SQRT(((AM45-AM47)^2)+((AN45-AN47)^2))</f>
        <v>0.10095446743983998</v>
      </c>
      <c r="AQ45" s="21" cm="1">
        <f t="array" aca="1" ref="AQ45" ca="1">INDIRECT("'"&amp;AK45&amp;"'!"&amp;$H$5&amp;$P$13)+0.01</f>
        <v>2.5889000000000002E-2</v>
      </c>
      <c r="AR45" s="23">
        <f ca="1">AO45-AO47</f>
        <v>-3.6689999999964584E-2</v>
      </c>
      <c r="AS45" s="7">
        <f ca="1">SQRT((AP45^2)+(AR45^2))</f>
        <v>0.10741489932062084</v>
      </c>
      <c r="AT45" s="7">
        <f ca="1">(AS45/(AL45-AL47))*365</f>
        <v>0.10800671694773169</v>
      </c>
      <c r="AU45" s="23">
        <f ca="1">AU47+AS45</f>
        <v>0.56750691140862197</v>
      </c>
      <c r="AV45" s="23">
        <f ca="1">AV47+AR45</f>
        <v>-5.833074999998189E-2</v>
      </c>
      <c r="BK45" s="21" t="s">
        <v>373</v>
      </c>
      <c r="BL45" s="1">
        <v>43382</v>
      </c>
      <c r="BM45" s="34" cm="1">
        <f t="array" aca="1" ref="BM45" ca="1">INDIRECT("'"&amp;$B28&amp;"'!"&amp;(D$5&amp;$P$23))</f>
        <v>1844675.8920859999</v>
      </c>
      <c r="BN45" s="34" cm="1">
        <f t="array" aca="1" ref="BN45" ca="1">INDIRECT("'"&amp;$B28&amp;"'!"&amp;(E$5&amp;$P$23))</f>
        <v>5595952.2939719995</v>
      </c>
      <c r="BO45" s="34" cm="1">
        <f t="array" aca="1" ref="BO45" ca="1">INDIRECT("'"&amp;$B28&amp;"'!"&amp;(F$5&amp;$P$23))</f>
        <v>392.12957599999999</v>
      </c>
      <c r="BP45" s="7">
        <f t="shared" ref="BP45:BP55" ca="1" si="44">SQRT(((BM45-BM46)^2)+((BN45-BN46)^2))</f>
        <v>0.41010648439213149</v>
      </c>
      <c r="BQ45" s="7" cm="1">
        <f t="array" aca="1" ref="BQ45" ca="1">INDIRECT("'"&amp;BK45&amp;"'!"&amp;$H$5&amp;$P$23)+0.01</f>
        <v>3.0723E-2</v>
      </c>
      <c r="BR45" s="23">
        <f t="shared" ref="BR45:BR55" ca="1" si="45">BO45-BO46</f>
        <v>-3.4835000000043692E-2</v>
      </c>
      <c r="BS45" s="7">
        <f t="shared" ref="BS45:BS55" ca="1" si="46">SQRT((BP45^2)+(BR45^2))</f>
        <v>0.4115832914070694</v>
      </c>
      <c r="BT45" s="7">
        <f t="shared" ca="1" si="43"/>
        <v>6.5097357314383431E-2</v>
      </c>
      <c r="BU45" s="23">
        <f t="shared" ref="BU45:BU55" ca="1" si="47">BU46+BS45</f>
        <v>1.9657370587061882</v>
      </c>
      <c r="BV45" s="23">
        <f t="shared" ref="BV45:BV55" ca="1" si="48">BV46+BR45</f>
        <v>-0.19996975000003658</v>
      </c>
    </row>
    <row r="46" spans="2:74" x14ac:dyDescent="0.3">
      <c r="AK46" s="21"/>
      <c r="AL46" s="1"/>
      <c r="AM46" s="58"/>
      <c r="AN46" s="58"/>
      <c r="AO46" s="58"/>
      <c r="AP46" s="58"/>
      <c r="AQ46" s="58"/>
      <c r="AR46" s="58"/>
      <c r="AS46" s="58"/>
      <c r="AT46" s="58"/>
      <c r="AU46" s="58"/>
      <c r="AV46" s="58"/>
      <c r="AW46" s="21"/>
      <c r="AX46" s="21"/>
      <c r="AY46" s="21"/>
      <c r="AZ46" s="21"/>
      <c r="BA46" s="21"/>
      <c r="BK46" s="21" t="s">
        <v>375</v>
      </c>
      <c r="BL46" s="1">
        <v>43186</v>
      </c>
      <c r="BM46" s="34" cm="1">
        <f t="array" aca="1" ref="BM46" ca="1">INDIRECT("'"&amp;$B29&amp;"'!"&amp;(D$5&amp;$P$23))</f>
        <v>1844675.942233</v>
      </c>
      <c r="BN46" s="34" cm="1">
        <f t="array" aca="1" ref="BN46" ca="1">INDIRECT("'"&amp;$B29&amp;"'!"&amp;(E$5&amp;$P$23))</f>
        <v>5595952.7010009997</v>
      </c>
      <c r="BO46" s="34" cm="1">
        <f t="array" aca="1" ref="BO46" ca="1">INDIRECT("'"&amp;$B29&amp;"'!"&amp;(F$5&amp;$P$23))</f>
        <v>392.16441100000003</v>
      </c>
      <c r="BP46" s="7">
        <f t="shared" ca="1" si="44"/>
        <v>0.25117986973327056</v>
      </c>
      <c r="BQ46" s="7" cm="1">
        <f t="array" aca="1" ref="BQ46" ca="1">INDIRECT("'"&amp;BK46&amp;"'!"&amp;$H$5&amp;$P$23)+0.01</f>
        <v>2.9777999999999999E-2</v>
      </c>
      <c r="BR46" s="23">
        <f t="shared" ca="1" si="45"/>
        <v>-4.8970999999994547E-2</v>
      </c>
      <c r="BS46" s="7">
        <f t="shared" ca="1" si="46"/>
        <v>0.25590913582797747</v>
      </c>
      <c r="BT46" s="7">
        <f t="shared" ca="1" si="43"/>
        <v>4.750409108184013E-2</v>
      </c>
      <c r="BU46" s="23">
        <f t="shared" ca="1" si="47"/>
        <v>1.5541537672991188</v>
      </c>
      <c r="BV46" s="23">
        <f t="shared" ca="1" si="48"/>
        <v>-0.16513474999999289</v>
      </c>
    </row>
    <row r="47" spans="2:74" x14ac:dyDescent="0.3">
      <c r="AK47" t="s">
        <v>374</v>
      </c>
      <c r="AL47" s="1">
        <v>43019</v>
      </c>
      <c r="AM47" s="34" cm="1">
        <f t="array" aca="1" ref="AM47" ca="1">INDIRECT("'"&amp;$B30&amp;"'!"&amp;(D$5&amp;$P$13))</f>
        <v>1844275.7630149999</v>
      </c>
      <c r="AN47" s="34" cm="1">
        <f t="array" aca="1" ref="AN47" ca="1">INDIRECT("'"&amp;$B30&amp;"'!"&amp;(E$5&amp;$P$13))</f>
        <v>5596482.9051179998</v>
      </c>
      <c r="AO47" s="34" cm="1">
        <f t="array" aca="1" ref="AO47" ca="1">INDIRECT("'"&amp;$B30&amp;"'!"&amp;(F$5&amp;$P$13))</f>
        <v>434.67390499999999</v>
      </c>
      <c r="AP47" s="21">
        <f t="shared" ref="AP47:AP54" ca="1" si="49">SQRT(((AM47-AM48)^2)+((AN47-AN48)^2))</f>
        <v>5.524806253497775E-2</v>
      </c>
      <c r="AQ47" s="21" cm="1">
        <f t="array" aca="1" ref="AQ47" ca="1">INDIRECT("'"&amp;AK47&amp;"'!"&amp;$H$5&amp;$P$13)+0.01</f>
        <v>2.4272999999999999E-2</v>
      </c>
      <c r="AR47" s="23">
        <f t="shared" ref="AR47:AR54" ca="1" si="50">AO47-AO48</f>
        <v>-6.8612000000030093E-2</v>
      </c>
      <c r="AS47" s="7">
        <f t="shared" ref="AS47:AS54" ca="1" si="51">SQRT((AP47^2)+(AR47^2))</f>
        <v>8.8090606524605916E-2</v>
      </c>
      <c r="AT47" s="7">
        <f t="shared" ref="AT47:AT54" ca="1" si="52">(AS47/(AL47-AL48))*365</f>
        <v>0.30916414789885732</v>
      </c>
      <c r="AU47" s="23">
        <f t="shared" ref="AU47:AU54" ca="1" si="53">AU48+AS47</f>
        <v>0.4600920120880011</v>
      </c>
      <c r="AV47" s="23">
        <f t="shared" ref="AV47:AV54" ca="1" si="54">AV48+AR47</f>
        <v>-2.1640750000017306E-2</v>
      </c>
      <c r="BK47" s="21" t="s">
        <v>374</v>
      </c>
      <c r="BL47" s="1">
        <v>43019</v>
      </c>
      <c r="BM47" s="34" cm="1">
        <f t="array" aca="1" ref="BM47" ca="1">INDIRECT("'"&amp;$B30&amp;"'!"&amp;(D$5&amp;$P$23))</f>
        <v>1844676.006764</v>
      </c>
      <c r="BN47" s="34" cm="1">
        <f t="array" aca="1" ref="BN47" ca="1">INDIRECT("'"&amp;$B30&amp;"'!"&amp;(E$5&amp;$P$23))</f>
        <v>5595952.9437499996</v>
      </c>
      <c r="BO47" s="34" cm="1">
        <f t="array" aca="1" ref="BO47" ca="1">INDIRECT("'"&amp;$B30&amp;"'!"&amp;(F$5&amp;$P$23))</f>
        <v>392.21338200000002</v>
      </c>
      <c r="BP47" s="7">
        <f t="shared" ca="1" si="44"/>
        <v>0.22188023590860784</v>
      </c>
      <c r="BQ47" s="7" cm="1">
        <f t="array" aca="1" ref="BQ47" ca="1">INDIRECT("'"&amp;BK47&amp;"'!"&amp;$H$5&amp;$P$23)+0.01</f>
        <v>3.5833999999999998E-2</v>
      </c>
      <c r="BR47" s="23">
        <f t="shared" ca="1" si="45"/>
        <v>-7.6179999999965275E-2</v>
      </c>
      <c r="BS47" s="7">
        <f t="shared" ca="1" si="46"/>
        <v>0.23459375841410227</v>
      </c>
      <c r="BT47" s="7">
        <f t="shared" ca="1" si="43"/>
        <v>6.9926985681126638E-2</v>
      </c>
      <c r="BU47" s="23">
        <f t="shared" ca="1" si="47"/>
        <v>1.2982446314711413</v>
      </c>
      <c r="BV47" s="23">
        <f t="shared" ca="1" si="48"/>
        <v>-0.11616374999999834</v>
      </c>
    </row>
    <row r="48" spans="2:74" x14ac:dyDescent="0.3">
      <c r="AK48" t="s">
        <v>376</v>
      </c>
      <c r="AL48" s="1">
        <v>42915</v>
      </c>
      <c r="AM48" s="34" cm="1">
        <f t="array" aca="1" ref="AM48" ca="1">INDIRECT("'"&amp;$B31&amp;"'!"&amp;(D$5&amp;$P$13))</f>
        <v>1844275.775465</v>
      </c>
      <c r="AN48" s="34" cm="1">
        <f t="array" aca="1" ref="AN48" ca="1">INDIRECT("'"&amp;$B31&amp;"'!"&amp;(E$5&amp;$P$13))</f>
        <v>5596482.9589449996</v>
      </c>
      <c r="AO48" s="34" cm="1">
        <f t="array" aca="1" ref="AO48" ca="1">INDIRECT("'"&amp;$B31&amp;"'!"&amp;(F$5&amp;$P$13))</f>
        <v>434.74251700000002</v>
      </c>
      <c r="AP48" s="21">
        <f t="shared" ca="1" si="49"/>
        <v>3.3025691831951982E-2</v>
      </c>
      <c r="AQ48" s="21" cm="1">
        <f t="array" aca="1" ref="AQ48" ca="1">INDIRECT("'"&amp;AK48&amp;"'!"&amp;$H$5&amp;$P$13)+0.01</f>
        <v>2.8097999999999998E-2</v>
      </c>
      <c r="AR48" s="23">
        <f t="shared" ca="1" si="50"/>
        <v>8.2412000000033458E-2</v>
      </c>
      <c r="AS48" s="7">
        <f t="shared" ca="1" si="51"/>
        <v>8.87830730769361E-2</v>
      </c>
      <c r="AT48" s="7">
        <f t="shared" ca="1" si="52"/>
        <v>0.32084971953546215</v>
      </c>
      <c r="AU48" s="23">
        <f t="shared" ca="1" si="53"/>
        <v>0.37200140556339517</v>
      </c>
      <c r="AV48" s="23">
        <f t="shared" ca="1" si="54"/>
        <v>4.6971250000012787E-2</v>
      </c>
      <c r="BK48" s="21" t="s">
        <v>376</v>
      </c>
      <c r="BL48" s="1">
        <v>42915</v>
      </c>
      <c r="BM48" s="34" cm="1">
        <f t="array" aca="1" ref="BM48" ca="1">INDIRECT("'"&amp;$B31&amp;"'!"&amp;(D$5&amp;$P$23))</f>
        <v>1844676.032837</v>
      </c>
      <c r="BN48" s="34" cm="1">
        <f t="array" aca="1" ref="BN48" ca="1">INDIRECT("'"&amp;$B31&amp;"'!"&amp;(E$5&amp;$P$23))</f>
        <v>5595953.1640929999</v>
      </c>
      <c r="BO48" s="34" cm="1">
        <f t="array" aca="1" ref="BO48" ca="1">INDIRECT("'"&amp;$B31&amp;"'!"&amp;(F$5&amp;$P$23))</f>
        <v>392.28956199999999</v>
      </c>
      <c r="BP48" s="7">
        <f t="shared" ca="1" si="44"/>
        <v>0.14531979787012822</v>
      </c>
      <c r="BQ48" s="7" cm="1">
        <f t="array" aca="1" ref="BQ48" ca="1">INDIRECT("'"&amp;BK48&amp;"'!"&amp;$H$5&amp;$P$23)+0.01</f>
        <v>3.6048000000000004E-2</v>
      </c>
      <c r="BR48" s="23">
        <f t="shared" ca="1" si="45"/>
        <v>5.2889999999990778E-2</v>
      </c>
      <c r="BS48" s="7">
        <f t="shared" ca="1" si="46"/>
        <v>0.15464538710551293</v>
      </c>
      <c r="BT48" s="7">
        <f t="shared" ca="1" si="43"/>
        <v>4.7465415844266341E-2</v>
      </c>
      <c r="BU48" s="23">
        <f t="shared" ca="1" si="47"/>
        <v>1.0636508730570391</v>
      </c>
      <c r="BV48" s="23">
        <f t="shared" ca="1" si="48"/>
        <v>-3.9983750000033069E-2</v>
      </c>
    </row>
    <row r="49" spans="3:74" x14ac:dyDescent="0.3">
      <c r="AK49" t="s">
        <v>377</v>
      </c>
      <c r="AL49" s="1">
        <v>42814</v>
      </c>
      <c r="AM49" s="34" cm="1">
        <f t="array" aca="1" ref="AM49" ca="1">INDIRECT("'"&amp;$B32&amp;"'!"&amp;(D$5&amp;$P$13))</f>
        <v>1844275.8084249999</v>
      </c>
      <c r="AN49" s="34" cm="1">
        <f t="array" aca="1" ref="AN49" ca="1">INDIRECT("'"&amp;$B32&amp;"'!"&amp;(E$5&amp;$P$13))</f>
        <v>5596482.9568630001</v>
      </c>
      <c r="AO49" s="34" cm="1">
        <f t="array" aca="1" ref="AO49" ca="1">INDIRECT("'"&amp;$B32&amp;"'!"&amp;(F$5&amp;$P$13))</f>
        <v>434.66010499999999</v>
      </c>
      <c r="AP49" s="21">
        <f t="shared" ca="1" si="49"/>
        <v>1.5392565427688418E-2</v>
      </c>
      <c r="AQ49" s="21" cm="1">
        <f t="array" aca="1" ref="AQ49" ca="1">INDIRECT("'"&amp;AK49&amp;"'!"&amp;$H$5&amp;$P$13)+0.01</f>
        <v>3.1077E-2</v>
      </c>
      <c r="AR49" s="23">
        <f t="shared" ca="1" si="50"/>
        <v>-3.1705999999985579E-2</v>
      </c>
      <c r="AS49" s="7">
        <f t="shared" ca="1" si="51"/>
        <v>3.5244879152080438E-2</v>
      </c>
      <c r="AT49" s="7">
        <f t="shared" ca="1" si="52"/>
        <v>0.1340039676094725</v>
      </c>
      <c r="AU49" s="23">
        <f t="shared" ca="1" si="53"/>
        <v>0.28321833248645906</v>
      </c>
      <c r="AV49" s="23">
        <f t="shared" ca="1" si="54"/>
        <v>-3.5440750000020671E-2</v>
      </c>
      <c r="BK49" s="21" t="s">
        <v>377</v>
      </c>
      <c r="BL49" s="1">
        <v>42814</v>
      </c>
      <c r="BM49" s="34" cm="1">
        <f t="array" aca="1" ref="BM49" ca="1">INDIRECT("'"&amp;$B32&amp;"'!"&amp;(D$5&amp;$P$23))</f>
        <v>1844676.0501399999</v>
      </c>
      <c r="BN49" s="34" cm="1">
        <f t="array" aca="1" ref="BN49" ca="1">INDIRECT("'"&amp;$B32&amp;"'!"&amp;(E$5&amp;$P$23))</f>
        <v>5595953.3083790001</v>
      </c>
      <c r="BO49" s="34" cm="1">
        <f t="array" aca="1" ref="BO49" ca="1">INDIRECT("'"&amp;$B32&amp;"'!"&amp;(F$5&amp;$P$23))</f>
        <v>392.236672</v>
      </c>
      <c r="BP49" s="7">
        <f t="shared" ca="1" si="44"/>
        <v>6.950597265661522E-2</v>
      </c>
      <c r="BQ49" s="7" cm="1">
        <f t="array" aca="1" ref="BQ49" ca="1">INDIRECT("'"&amp;BK49&amp;"'!"&amp;$H$5&amp;$P$23)+0.01</f>
        <v>3.7173999999999999E-2</v>
      </c>
      <c r="BR49" s="23">
        <f t="shared" ca="1" si="45"/>
        <v>-3.2349000000010619E-2</v>
      </c>
      <c r="BS49" s="7">
        <f t="shared" ca="1" si="46"/>
        <v>7.6665103117016867E-2</v>
      </c>
      <c r="BT49" s="7">
        <f t="shared" ca="1" si="43"/>
        <v>2.4756439548203363E-2</v>
      </c>
      <c r="BU49" s="23">
        <f t="shared" ca="1" si="47"/>
        <v>0.90900548595152619</v>
      </c>
      <c r="BV49" s="23">
        <f t="shared" ca="1" si="48"/>
        <v>-9.2873750000023847E-2</v>
      </c>
    </row>
    <row r="50" spans="3:74" x14ac:dyDescent="0.3">
      <c r="AK50" t="s">
        <v>378</v>
      </c>
      <c r="AL50" s="1">
        <v>42718</v>
      </c>
      <c r="AM50" s="34" cm="1">
        <f t="array" aca="1" ref="AM50" ca="1">INDIRECT("'"&amp;$B33&amp;"'!"&amp;(D$5&amp;$P$13))</f>
        <v>1844275.8081439999</v>
      </c>
      <c r="AN50" s="34" cm="1">
        <f t="array" aca="1" ref="AN50" ca="1">INDIRECT("'"&amp;$B33&amp;"'!"&amp;(E$5&amp;$P$13))</f>
        <v>5596482.9722530004</v>
      </c>
      <c r="AO50" s="34" cm="1">
        <f t="array" aca="1" ref="AO50" ca="1">INDIRECT("'"&amp;$B33&amp;"'!"&amp;(F$5&amp;$P$13))</f>
        <v>434.69181099999997</v>
      </c>
      <c r="AP50" s="21">
        <f t="shared" ca="1" si="49"/>
        <v>4.0758994852700216E-2</v>
      </c>
      <c r="AQ50" s="21" cm="1">
        <f t="array" aca="1" ref="AQ50" ca="1">INDIRECT("'"&amp;AK50&amp;"'!"&amp;$H$5&amp;$P$13)+0.01</f>
        <v>2.4565E-2</v>
      </c>
      <c r="AR50" s="23">
        <f t="shared" ca="1" si="50"/>
        <v>1.0354999999947267E-2</v>
      </c>
      <c r="AS50" s="7">
        <f t="shared" ca="1" si="51"/>
        <v>4.2053795148611149E-2</v>
      </c>
      <c r="AT50" s="7">
        <f t="shared" ca="1" si="52"/>
        <v>0.29518529287005907</v>
      </c>
      <c r="AU50" s="23">
        <f t="shared" ca="1" si="53"/>
        <v>0.24797345333437862</v>
      </c>
      <c r="AV50" s="23">
        <f t="shared" ca="1" si="54"/>
        <v>-3.7347500000350919E-3</v>
      </c>
      <c r="BK50" s="21" t="s">
        <v>378</v>
      </c>
      <c r="BL50" s="1">
        <v>42718</v>
      </c>
      <c r="BM50" s="34" cm="1">
        <f t="array" aca="1" ref="BM50" ca="1">INDIRECT("'"&amp;$B33&amp;"'!"&amp;(D$5&amp;$P$23))</f>
        <v>1844676.0635249999</v>
      </c>
      <c r="BN50" s="34" cm="1">
        <f t="array" aca="1" ref="BN50" ca="1">INDIRECT("'"&amp;$B33&amp;"'!"&amp;(E$5&amp;$P$23))</f>
        <v>5595953.376584</v>
      </c>
      <c r="BO50" s="34" cm="1">
        <f t="array" aca="1" ref="BO50" ca="1">INDIRECT("'"&amp;$B33&amp;"'!"&amp;(F$5&amp;$P$23))</f>
        <v>392.26902100000001</v>
      </c>
      <c r="BP50" s="7">
        <f t="shared" ca="1" si="44"/>
        <v>8.4913721606338963E-2</v>
      </c>
      <c r="BQ50" s="7" cm="1">
        <f t="array" aca="1" ref="BQ50" ca="1">INDIRECT("'"&amp;BK50&amp;"'!"&amp;$H$5&amp;$P$23)+0.01</f>
        <v>3.007E-2</v>
      </c>
      <c r="BR50" s="23">
        <f t="shared" ca="1" si="45"/>
        <v>6.7199999999729698E-3</v>
      </c>
      <c r="BS50" s="7">
        <f t="shared" ca="1" si="46"/>
        <v>8.5179214113764126E-2</v>
      </c>
      <c r="BT50" s="7">
        <f t="shared" ca="1" si="43"/>
        <v>5.0779916106282463E-2</v>
      </c>
      <c r="BU50" s="23">
        <f t="shared" ca="1" si="47"/>
        <v>0.83234038283450928</v>
      </c>
      <c r="BV50" s="23">
        <f t="shared" ca="1" si="48"/>
        <v>-6.0524750000013228E-2</v>
      </c>
    </row>
    <row r="51" spans="3:74" x14ac:dyDescent="0.3">
      <c r="AK51" t="s">
        <v>379</v>
      </c>
      <c r="AL51" s="1">
        <v>42666</v>
      </c>
      <c r="AM51" s="34" cm="1">
        <f t="array" aca="1" ref="AM51" ca="1">INDIRECT("'"&amp;$B34&amp;"'!"&amp;(D$5&amp;$P$13))</f>
        <v>1844275.7880859999</v>
      </c>
      <c r="AN51" s="34" cm="1">
        <f t="array" aca="1" ref="AN51" ca="1">INDIRECT("'"&amp;$B34&amp;"'!"&amp;(E$5&amp;$P$13))</f>
        <v>5596483.007735</v>
      </c>
      <c r="AO51" s="34" cm="1">
        <f t="array" aca="1" ref="AO51" ca="1">INDIRECT("'"&amp;$B34&amp;"'!"&amp;(F$5&amp;$P$13))</f>
        <v>434.68145600000003</v>
      </c>
      <c r="AP51" s="21">
        <f t="shared" ca="1" si="49"/>
        <v>5.3963358113839059E-2</v>
      </c>
      <c r="AQ51" s="21" cm="1">
        <f t="array" aca="1" ref="AQ51" ca="1">INDIRECT("'"&amp;AK51&amp;"'!"&amp;$H$5&amp;$P$13)+0.01</f>
        <v>3.1420999999999998E-2</v>
      </c>
      <c r="AR51" s="23">
        <f t="shared" ca="1" si="50"/>
        <v>-7.7029999999922438E-3</v>
      </c>
      <c r="AS51" s="7">
        <f t="shared" ca="1" si="51"/>
        <v>5.451036807729627E-2</v>
      </c>
      <c r="AT51" s="7">
        <f t="shared" ca="1" si="52"/>
        <v>0.19131042642512636</v>
      </c>
      <c r="AU51" s="23">
        <f t="shared" ca="1" si="53"/>
        <v>0.20591965818576746</v>
      </c>
      <c r="AV51" s="23">
        <f t="shared" ca="1" si="54"/>
        <v>-1.4089749999982359E-2</v>
      </c>
      <c r="BK51" s="21" t="s">
        <v>379</v>
      </c>
      <c r="BL51" s="1">
        <v>42666</v>
      </c>
      <c r="BM51" s="34" cm="1">
        <f t="array" aca="1" ref="BM51" ca="1">INDIRECT("'"&amp;$B34&amp;"'!"&amp;(D$5&amp;$P$23))</f>
        <v>1844676.0871880001</v>
      </c>
      <c r="BN51" s="34" cm="1">
        <f t="array" aca="1" ref="BN51" ca="1">INDIRECT("'"&amp;$B34&amp;"'!"&amp;(E$5&amp;$P$23))</f>
        <v>5595953.4581340002</v>
      </c>
      <c r="BO51" s="34" cm="1">
        <f t="array" aca="1" ref="BO51" ca="1">INDIRECT("'"&amp;$B34&amp;"'!"&amp;(F$5&amp;$P$23))</f>
        <v>392.26230100000004</v>
      </c>
      <c r="BP51" s="7">
        <f t="shared" ca="1" si="44"/>
        <v>0.22734099344550479</v>
      </c>
      <c r="BQ51" s="7" cm="1">
        <f t="array" aca="1" ref="BQ51" ca="1">INDIRECT("'"&amp;BK51&amp;"'!"&amp;$H$5&amp;$P$23)+0.01</f>
        <v>3.2440000000000004E-2</v>
      </c>
      <c r="BR51" s="23">
        <f t="shared" ca="1" si="45"/>
        <v>-3.112799999996696E-2</v>
      </c>
      <c r="BS51" s="7">
        <f t="shared" ca="1" si="46"/>
        <v>0.22946215305532847</v>
      </c>
      <c r="BT51" s="7">
        <f t="shared" ca="1" si="43"/>
        <v>6.8397372545338286E-2</v>
      </c>
      <c r="BU51" s="23">
        <f t="shared" ca="1" si="47"/>
        <v>0.74716116872074512</v>
      </c>
      <c r="BV51" s="23">
        <f t="shared" ca="1" si="48"/>
        <v>-6.7244749999986198E-2</v>
      </c>
    </row>
    <row r="52" spans="3:74" x14ac:dyDescent="0.3">
      <c r="AK52" t="s">
        <v>380</v>
      </c>
      <c r="AL52" s="1">
        <v>42562</v>
      </c>
      <c r="AM52" s="34" cm="1">
        <f t="array" aca="1" ref="AM52" ca="1">INDIRECT("'"&amp;$B35&amp;"'!"&amp;(D$5&amp;$P$13))</f>
        <v>1844275.8293679999</v>
      </c>
      <c r="AN52" s="34" cm="1">
        <f t="array" aca="1" ref="AN52" ca="1">INDIRECT("'"&amp;$B35&amp;"'!"&amp;(E$5&amp;$P$13))</f>
        <v>5596483.0424889997</v>
      </c>
      <c r="AO52" s="34" cm="1">
        <f t="array" aca="1" ref="AO52" ca="1">INDIRECT("'"&amp;$B35&amp;"'!"&amp;(F$5&amp;$P$13))</f>
        <v>434.68915900000002</v>
      </c>
      <c r="AP52" s="21">
        <f t="shared" ca="1" si="49"/>
        <v>4.6534642137052384E-2</v>
      </c>
      <c r="AQ52" s="21" cm="1">
        <f t="array" aca="1" ref="AQ52" ca="1">INDIRECT("'"&amp;AK52&amp;"'!"&amp;$H$5&amp;$P$13)+0.01</f>
        <v>3.4245999999999999E-2</v>
      </c>
      <c r="AR52" s="23">
        <f t="shared" ca="1" si="50"/>
        <v>9.803250000004482E-3</v>
      </c>
      <c r="AS52" s="7">
        <f t="shared" ca="1" si="51"/>
        <v>4.7556036729169505E-2</v>
      </c>
      <c r="AT52" s="7">
        <f t="shared" ca="1" si="52"/>
        <v>0.14963752936333508</v>
      </c>
      <c r="AU52" s="23">
        <f t="shared" ca="1" si="53"/>
        <v>0.15140929010847118</v>
      </c>
      <c r="AV52" s="23">
        <f t="shared" ca="1" si="54"/>
        <v>-6.3867499999901156E-3</v>
      </c>
      <c r="BK52" s="21" t="s">
        <v>380</v>
      </c>
      <c r="BL52" s="1">
        <v>42562</v>
      </c>
      <c r="BM52" s="34" cm="1">
        <f t="array" aca="1" ref="BM52" ca="1">INDIRECT("'"&amp;$B35&amp;"'!"&amp;(D$5&amp;$P$23))</f>
        <v>1844676.1127530001</v>
      </c>
      <c r="BN52" s="34" cm="1">
        <f t="array" aca="1" ref="BN52" ca="1">INDIRECT("'"&amp;$B35&amp;"'!"&amp;(E$5&amp;$P$23))</f>
        <v>5595953.6840329999</v>
      </c>
      <c r="BO52" s="34" cm="1">
        <f t="array" aca="1" ref="BO52" ca="1">INDIRECT("'"&amp;$B35&amp;"'!"&amp;(F$5&amp;$P$23))</f>
        <v>392.293429</v>
      </c>
      <c r="BP52" s="7">
        <f t="shared" ca="1" si="44"/>
        <v>0.12429415714182922</v>
      </c>
      <c r="BQ52" s="7" cm="1">
        <f t="array" aca="1" ref="BQ52" ca="1">INDIRECT("'"&amp;BK52&amp;"'!"&amp;$H$5&amp;$P$23)+0.01</f>
        <v>2.5585999999999998E-2</v>
      </c>
      <c r="BR52" s="23">
        <f t="shared" ca="1" si="45"/>
        <v>-1.4978750000011587E-2</v>
      </c>
      <c r="BS52" s="7">
        <f t="shared" ca="1" si="46"/>
        <v>0.12519345210976723</v>
      </c>
      <c r="BT52" s="7">
        <f t="shared" ca="1" si="43"/>
        <v>3.3456870822437791E-2</v>
      </c>
      <c r="BU52" s="23">
        <f t="shared" ca="1" si="47"/>
        <v>0.51769901566541665</v>
      </c>
      <c r="BV52" s="23">
        <f t="shared" ca="1" si="48"/>
        <v>-3.6116750000019238E-2</v>
      </c>
    </row>
    <row r="53" spans="3:74" x14ac:dyDescent="0.3">
      <c r="AK53" t="s">
        <v>381</v>
      </c>
      <c r="AL53" s="1">
        <v>42446</v>
      </c>
      <c r="AM53" s="34" cm="1">
        <f t="array" aca="1" ref="AM53" ca="1">INDIRECT("'"&amp;$B36&amp;"'!"&amp;(D$5&amp;$P$13))</f>
        <v>1844275.8636070001</v>
      </c>
      <c r="AN53" s="34" cm="1">
        <f t="array" aca="1" ref="AN53" ca="1">INDIRECT("'"&amp;$B36&amp;"'!"&amp;(E$5&amp;$P$13))</f>
        <v>5596483.0740035009</v>
      </c>
      <c r="AO53" s="34" cm="1">
        <f t="array" aca="1" ref="AO53" ca="1">INDIRECT("'"&amp;$B36&amp;"'!"&amp;(F$5&amp;$P$13))</f>
        <v>434.67935575000001</v>
      </c>
      <c r="AP53" s="21">
        <f t="shared" ca="1" si="49"/>
        <v>3.5810152027272724E-2</v>
      </c>
      <c r="AQ53" s="21" cm="1">
        <f t="array" aca="1" ref="AQ53" ca="1">INDIRECT("'"&amp;AK53&amp;"'!"&amp;$H$5&amp;$P$13)+0.01</f>
        <v>2.5852E-2</v>
      </c>
      <c r="AR53" s="23">
        <f t="shared" ca="1" si="50"/>
        <v>-5.2216500000042743E-2</v>
      </c>
      <c r="AS53" s="7">
        <f t="shared" ca="1" si="51"/>
        <v>6.3316110591782632E-2</v>
      </c>
      <c r="AT53" s="7">
        <f t="shared" ca="1" si="52"/>
        <v>0.22881564718812536</v>
      </c>
      <c r="AU53" s="23">
        <f t="shared" ca="1" si="53"/>
        <v>0.10385325337930167</v>
      </c>
      <c r="AV53" s="23">
        <f t="shared" ca="1" si="54"/>
        <v>-1.6189999999994598E-2</v>
      </c>
      <c r="BK53" s="21" t="s">
        <v>381</v>
      </c>
      <c r="BL53" s="1">
        <v>42446</v>
      </c>
      <c r="BM53" s="34" cm="1">
        <f t="array" aca="1" ref="BM53" ca="1">INDIRECT("'"&amp;$B36&amp;"'!"&amp;(D$5&amp;$P$23))</f>
        <v>1844676.1467600001</v>
      </c>
      <c r="BN53" s="34" cm="1">
        <f t="array" aca="1" ref="BN53" ca="1">INDIRECT("'"&amp;$B36&amp;"'!"&amp;(E$5&amp;$P$23))</f>
        <v>5595953.8035845011</v>
      </c>
      <c r="BO53" s="34" cm="1">
        <f t="array" aca="1" ref="BO53" ca="1">INDIRECT("'"&amp;$B36&amp;"'!"&amp;(F$5&amp;$P$23))</f>
        <v>392.30840775000001</v>
      </c>
      <c r="BP53" s="7">
        <f t="shared" ca="1" si="44"/>
        <v>5.9605198559060019E-2</v>
      </c>
      <c r="BQ53" s="7" cm="1">
        <f t="array" aca="1" ref="BQ53" ca="1">INDIRECT("'"&amp;BK53&amp;"'!"&amp;$H$5&amp;$P$23)+0.01</f>
        <v>2.9602999999999997E-2</v>
      </c>
      <c r="BR53" s="23">
        <f t="shared" ca="1" si="45"/>
        <v>-3.3164499999998043E-2</v>
      </c>
      <c r="BS53" s="7">
        <f t="shared" ca="1" si="46"/>
        <v>6.8210437291625986E-2</v>
      </c>
      <c r="BT53" s="7">
        <f t="shared" ca="1" si="43"/>
        <v>2.0935876792479262E-2</v>
      </c>
      <c r="BU53" s="23">
        <f t="shared" ca="1" si="47"/>
        <v>0.39250556355564936</v>
      </c>
      <c r="BV53" s="23">
        <f t="shared" ca="1" si="48"/>
        <v>-2.1138000000007651E-2</v>
      </c>
    </row>
    <row r="54" spans="3:74" x14ac:dyDescent="0.3">
      <c r="AK54" t="s">
        <v>382</v>
      </c>
      <c r="AL54" s="1">
        <v>42345</v>
      </c>
      <c r="AM54" s="34" cm="1">
        <f t="array" aca="1" ref="AM54" ca="1">INDIRECT("'"&amp;$B37&amp;"'!"&amp;(D$5&amp;$P$13))</f>
        <v>1844275.8296960001</v>
      </c>
      <c r="AN54" s="34" cm="1">
        <f t="array" aca="1" ref="AN54" ca="1">INDIRECT("'"&amp;$B37&amp;"'!"&amp;(E$5&amp;$P$13))</f>
        <v>5596483.0624965001</v>
      </c>
      <c r="AO54" s="34" cm="1">
        <f t="array" aca="1" ref="AO54" ca="1">INDIRECT("'"&amp;$B37&amp;"'!"&amp;(F$5&amp;$P$13))</f>
        <v>434.73157225000006</v>
      </c>
      <c r="AP54" s="21">
        <f t="shared" ca="1" si="49"/>
        <v>1.8583628362680876E-2</v>
      </c>
      <c r="AQ54" s="21" cm="1">
        <f t="array" aca="1" ref="AQ54" ca="1">INDIRECT("'"&amp;AK54&amp;"'!"&amp;$H$5&amp;$P$13)+0.01</f>
        <v>1.4999999999999999E-2</v>
      </c>
      <c r="AR54" s="23">
        <f t="shared" ca="1" si="50"/>
        <v>3.6026500000048145E-2</v>
      </c>
      <c r="AS54" s="7">
        <f t="shared" ca="1" si="51"/>
        <v>4.0537142787519034E-2</v>
      </c>
      <c r="AT54" s="7">
        <f t="shared" ca="1" si="52"/>
        <v>0.21758907525653598</v>
      </c>
      <c r="AU54" s="23">
        <f t="shared" ca="1" si="53"/>
        <v>4.0537142787519034E-2</v>
      </c>
      <c r="AV54" s="23">
        <f t="shared" ca="1" si="54"/>
        <v>3.6026500000048145E-2</v>
      </c>
      <c r="BK54" s="21" t="s">
        <v>382</v>
      </c>
      <c r="BL54" s="1">
        <v>42345</v>
      </c>
      <c r="BM54" s="34" cm="1">
        <f t="array" aca="1" ref="BM54" ca="1">INDIRECT("'"&amp;$B37&amp;"'!"&amp;(D$5&amp;$P$23))</f>
        <v>1844676.137696</v>
      </c>
      <c r="BN54" s="34" cm="1">
        <f t="array" aca="1" ref="BN54" ca="1">INDIRECT("'"&amp;$B37&amp;"'!"&amp;(E$5&amp;$P$23))</f>
        <v>5595953.8624964999</v>
      </c>
      <c r="BO54" s="34" cm="1">
        <f t="array" aca="1" ref="BO54" ca="1">INDIRECT("'"&amp;$B37&amp;"'!"&amp;(F$5&amp;$P$23))</f>
        <v>392.34157225000001</v>
      </c>
      <c r="BP54" s="7">
        <f t="shared" ca="1" si="44"/>
        <v>4.7901599597217882E-2</v>
      </c>
      <c r="BQ54" s="7" cm="1">
        <f t="array" aca="1" ref="BQ54" ca="1">INDIRECT("'"&amp;BK54&amp;"'!"&amp;$H$5&amp;$P$23)+0.01</f>
        <v>1.6E-2</v>
      </c>
      <c r="BR54" s="23">
        <f t="shared" ca="1" si="45"/>
        <v>1.7026499999985845E-2</v>
      </c>
      <c r="BS54" s="7">
        <f t="shared" ca="1" si="46"/>
        <v>5.083763316895961E-2</v>
      </c>
      <c r="BT54" s="7">
        <f t="shared" ca="1" si="43"/>
        <v>2.3175979827025704E-2</v>
      </c>
      <c r="BU54" s="23">
        <f t="shared" ca="1" si="47"/>
        <v>0.32429512626402335</v>
      </c>
      <c r="BV54" s="23">
        <f t="shared" ca="1" si="48"/>
        <v>1.2026499999990392E-2</v>
      </c>
    </row>
    <row r="55" spans="3:74" x14ac:dyDescent="0.3">
      <c r="AK55" t="s">
        <v>383</v>
      </c>
      <c r="AL55" s="1">
        <v>42277</v>
      </c>
      <c r="AM55" s="34" cm="1">
        <f t="array" aca="1" ref="AM55" ca="1">INDIRECT("'"&amp;$B38&amp;"'!"&amp;(D$5&amp;$P$13))</f>
        <v>1844275.8458300002</v>
      </c>
      <c r="AN55" s="34" cm="1">
        <f t="array" aca="1" ref="AN55" ca="1">INDIRECT("'"&amp;$B38&amp;"'!"&amp;(E$5&amp;$P$13))</f>
        <v>5596483.0532745002</v>
      </c>
      <c r="AO55" s="34" cm="1">
        <f t="array" aca="1" ref="AO55" ca="1">INDIRECT("'"&amp;$B38&amp;"'!"&amp;(F$5&amp;$P$13))</f>
        <v>434.69554575000001</v>
      </c>
      <c r="AP55" s="58"/>
      <c r="AQ55" s="58"/>
      <c r="AR55" s="58"/>
      <c r="AS55" s="58"/>
      <c r="AT55" s="58"/>
      <c r="AU55" s="58"/>
      <c r="AV55" s="23">
        <f>AV56+AR55</f>
        <v>0</v>
      </c>
      <c r="BK55" s="21" t="s">
        <v>383</v>
      </c>
      <c r="BL55" s="1">
        <v>42277</v>
      </c>
      <c r="BM55" s="34" cm="1">
        <f t="array" aca="1" ref="BM55" ca="1">INDIRECT("'"&amp;$B38&amp;"'!"&amp;(D$5&amp;$P$23))</f>
        <v>1844676.1628300003</v>
      </c>
      <c r="BN55" s="34" cm="1">
        <f t="array" aca="1" ref="BN55" ca="1">INDIRECT("'"&amp;$B38&amp;"'!"&amp;(E$5&amp;$P$23))</f>
        <v>5595953.9032744998</v>
      </c>
      <c r="BO55" s="34" cm="1">
        <f t="array" aca="1" ref="BO55" ca="1">INDIRECT("'"&amp;$B38&amp;"'!"&amp;(F$5&amp;$P$23))</f>
        <v>392.32454575000003</v>
      </c>
      <c r="BP55" s="7">
        <f t="shared" ca="1" si="44"/>
        <v>0.27341177833048247</v>
      </c>
      <c r="BQ55" s="7" cm="1">
        <f t="array" aca="1" ref="BQ55" ca="1">INDIRECT("'"&amp;BK55&amp;"'!"&amp;$H$5&amp;$P$23)+0.01</f>
        <v>1.6E-2</v>
      </c>
      <c r="BR55" s="23">
        <f t="shared" ca="1" si="45"/>
        <v>-4.9999999999954525E-3</v>
      </c>
      <c r="BS55" s="7">
        <f t="shared" ca="1" si="46"/>
        <v>0.27345749309506373</v>
      </c>
      <c r="BT55" s="7">
        <f t="shared" ca="1" si="43"/>
        <v>9.5249239167943547E-2</v>
      </c>
      <c r="BU55" s="23">
        <f t="shared" ca="1" si="47"/>
        <v>0.27345749309506373</v>
      </c>
      <c r="BV55" s="23">
        <f t="shared" ca="1" si="48"/>
        <v>-4.9999999999954525E-3</v>
      </c>
    </row>
    <row r="56" spans="3:74" x14ac:dyDescent="0.3">
      <c r="D56">
        <v>1</v>
      </c>
      <c r="E56">
        <v>2</v>
      </c>
      <c r="F56">
        <v>3</v>
      </c>
      <c r="G56">
        <v>4</v>
      </c>
      <c r="H56">
        <v>5</v>
      </c>
      <c r="I56">
        <v>6</v>
      </c>
      <c r="J56">
        <v>7</v>
      </c>
      <c r="K56">
        <v>15</v>
      </c>
      <c r="L56" t="s">
        <v>604</v>
      </c>
      <c r="N56" s="21"/>
      <c r="O56" s="21">
        <v>1</v>
      </c>
      <c r="P56" s="21">
        <v>2</v>
      </c>
      <c r="Q56" s="21">
        <v>3</v>
      </c>
      <c r="R56" s="21">
        <v>4</v>
      </c>
      <c r="S56" s="21">
        <v>5</v>
      </c>
      <c r="T56" s="21">
        <v>6</v>
      </c>
      <c r="U56" s="21">
        <v>7</v>
      </c>
      <c r="V56" s="21">
        <v>15</v>
      </c>
      <c r="W56" s="21" t="s">
        <v>604</v>
      </c>
      <c r="AK56" t="s">
        <v>384</v>
      </c>
      <c r="AL56" s="1">
        <v>42188</v>
      </c>
      <c r="AM56">
        <v>0</v>
      </c>
      <c r="AN56">
        <v>0</v>
      </c>
      <c r="AO56">
        <v>0</v>
      </c>
      <c r="AV56" s="21">
        <v>0</v>
      </c>
      <c r="BK56" s="21" t="s">
        <v>384</v>
      </c>
      <c r="BL56" s="1">
        <v>42188</v>
      </c>
      <c r="BM56" s="34" cm="1">
        <f t="array" aca="1" ref="BM56" ca="1">INDIRECT("'"&amp;$B39&amp;"'!"&amp;(D$5&amp;$P$23))</f>
        <v>1844676.1778300002</v>
      </c>
      <c r="BN56" s="34" cm="1">
        <f t="array" aca="1" ref="BN56" ca="1">INDIRECT("'"&amp;$B39&amp;"'!"&amp;(E$5&amp;$P$23))</f>
        <v>5595954.1762745008</v>
      </c>
      <c r="BO56" s="34" cm="1">
        <f t="array" aca="1" ref="BO56" ca="1">INDIRECT("'"&amp;$B39&amp;"'!"&amp;(F$5&amp;$P$23))</f>
        <v>392.32954575000002</v>
      </c>
      <c r="BP56" s="7"/>
      <c r="BR56" s="21"/>
      <c r="BS56" s="21"/>
      <c r="BT56" s="21"/>
      <c r="BU56" s="21"/>
      <c r="BV56" s="21">
        <v>0</v>
      </c>
    </row>
    <row r="57" spans="3:74" x14ac:dyDescent="0.3">
      <c r="C57" s="46">
        <v>43817</v>
      </c>
      <c r="D57" s="23">
        <f t="shared" ref="D57:D67" ca="1" si="55">AU10</f>
        <v>0.57085873811996413</v>
      </c>
      <c r="E57" s="23">
        <f t="shared" ref="E57:E68" ca="1" si="56">AU26</f>
        <v>0.57216844828629732</v>
      </c>
      <c r="F57" s="23">
        <f ca="1">AU44</f>
        <v>0.60935168976721699</v>
      </c>
      <c r="G57" s="23">
        <f t="shared" ref="G57:G68" ca="1" si="57">AU60</f>
        <v>0.68304340866519841</v>
      </c>
      <c r="H57" s="23">
        <f t="shared" ref="H57:H68" ca="1" si="58">AU77</f>
        <v>1.0270646430481531</v>
      </c>
      <c r="I57" s="23">
        <f t="shared" ref="I57:I68" ca="1" si="59">AU93</f>
        <v>0.86486940587848415</v>
      </c>
      <c r="J57" s="23">
        <f t="shared" ref="J57:J66" ca="1" si="60">AU109</f>
        <v>0.51961711958323553</v>
      </c>
      <c r="K57" s="23">
        <f t="shared" ref="K57:K66" ca="1" si="61">AU189</f>
        <v>0.88297562533177232</v>
      </c>
      <c r="L57" s="23">
        <f ca="1">AU173</f>
        <v>0.41716100369354592</v>
      </c>
      <c r="N57" s="46">
        <v>43817</v>
      </c>
      <c r="O57" s="23">
        <f t="shared" ref="O57:O67" ca="1" si="62">AT10</f>
        <v>4.7971532445808741E-2</v>
      </c>
      <c r="P57" s="23">
        <f t="shared" ref="P57:P68" ca="1" si="63">AT26</f>
        <v>2.6227185918849403E-2</v>
      </c>
      <c r="Q57" s="23">
        <f ca="1">AT44</f>
        <v>3.5111135864108495E-2</v>
      </c>
      <c r="R57" s="23">
        <f t="shared" ref="R57:R68" ca="1" si="64">AT60</f>
        <v>6.0621480901535893E-2</v>
      </c>
      <c r="S57" s="23">
        <f t="shared" ref="S57:S68" ca="1" si="65">AT77</f>
        <v>0.15485288328977007</v>
      </c>
      <c r="T57" s="23">
        <f t="shared" ref="T57:T68" ca="1" si="66">AT93</f>
        <v>8.084367917565588E-2</v>
      </c>
      <c r="U57" s="23">
        <f t="shared" ref="U57:U66" ca="1" si="67">AT109</f>
        <v>4.4027213655820248E-2</v>
      </c>
      <c r="V57" s="23">
        <f t="shared" ref="V57:V66" ca="1" si="68">AT189</f>
        <v>0.12628966090266447</v>
      </c>
      <c r="W57" s="23">
        <f ca="1">AT173</f>
        <v>2.4794039947999478E-2</v>
      </c>
      <c r="AL57" s="1"/>
      <c r="AV57" s="21"/>
      <c r="BP57" s="7"/>
    </row>
    <row r="58" spans="3:74" x14ac:dyDescent="0.3">
      <c r="C58" s="46">
        <v>43382</v>
      </c>
      <c r="D58" s="23">
        <f t="shared" ca="1" si="55"/>
        <v>0.5136871857530414</v>
      </c>
      <c r="E58" s="23">
        <f t="shared" ca="1" si="56"/>
        <v>0.54091139109533981</v>
      </c>
      <c r="F58" s="23">
        <f ca="1">AU45</f>
        <v>0.56750691140862197</v>
      </c>
      <c r="G58" s="23">
        <f t="shared" ca="1" si="57"/>
        <v>0.6107958903304912</v>
      </c>
      <c r="H58" s="23">
        <f t="shared" ca="1" si="58"/>
        <v>0.84251394652472844</v>
      </c>
      <c r="I58" s="23">
        <f t="shared" ca="1" si="59"/>
        <v>0.76852145946366135</v>
      </c>
      <c r="J58" s="23">
        <f t="shared" ca="1" si="60"/>
        <v>0.46714633070575107</v>
      </c>
      <c r="K58" s="23">
        <f t="shared" ca="1" si="61"/>
        <v>0.73246602946147354</v>
      </c>
      <c r="L58" s="23">
        <f ca="1">AU174</f>
        <v>0.38761194238565611</v>
      </c>
      <c r="N58" s="46">
        <v>43382</v>
      </c>
      <c r="O58" s="23">
        <f t="shared" ca="1" si="62"/>
        <v>0.14130681751307578</v>
      </c>
      <c r="P58" s="23">
        <f t="shared" ca="1" si="63"/>
        <v>0.17804070682020628</v>
      </c>
      <c r="Q58" s="23">
        <f ca="1">AT45</f>
        <v>0.10800671694773169</v>
      </c>
      <c r="R58" s="23">
        <f t="shared" ca="1" si="64"/>
        <v>0.19507807576140049</v>
      </c>
      <c r="S58" s="23">
        <f t="shared" ca="1" si="65"/>
        <v>0.30994469042148975</v>
      </c>
      <c r="T58" s="23">
        <f t="shared" ca="1" si="66"/>
        <v>0.25399838910459871</v>
      </c>
      <c r="U58" s="23">
        <f t="shared" ca="1" si="67"/>
        <v>0.17479218276955724</v>
      </c>
      <c r="V58" s="23">
        <f t="shared" ca="1" si="68"/>
        <v>0.33746158403500459</v>
      </c>
      <c r="W58" s="23">
        <f ca="1">AT174</f>
        <v>0.1027017649810148</v>
      </c>
      <c r="AL58" s="1"/>
      <c r="BP58" s="7"/>
    </row>
    <row r="59" spans="3:74" x14ac:dyDescent="0.3">
      <c r="C59" s="46">
        <v>43186</v>
      </c>
      <c r="D59" s="23">
        <f t="shared" ca="1" si="55"/>
        <v>0.43780736045834862</v>
      </c>
      <c r="E59" s="23">
        <f t="shared" ca="1" si="56"/>
        <v>0.44530597044668113</v>
      </c>
      <c r="F59" s="23"/>
      <c r="G59" s="23">
        <f t="shared" ca="1" si="57"/>
        <v>0.50604163594902685</v>
      </c>
      <c r="H59" s="23">
        <f t="shared" ca="1" si="58"/>
        <v>0.6760778935860654</v>
      </c>
      <c r="I59" s="23">
        <f t="shared" ca="1" si="59"/>
        <v>0.63212780394447965</v>
      </c>
      <c r="J59" s="23">
        <f t="shared" ca="1" si="60"/>
        <v>0.37328532297196143</v>
      </c>
      <c r="K59" s="23">
        <f t="shared" ca="1" si="61"/>
        <v>0.55125378159610117</v>
      </c>
      <c r="L59" s="23">
        <f ca="1">AU175</f>
        <v>0.33246250146434403</v>
      </c>
      <c r="N59" s="46">
        <v>43186</v>
      </c>
      <c r="O59" s="23">
        <f t="shared" ca="1" si="62"/>
        <v>0.15087982859460214</v>
      </c>
      <c r="P59" s="23">
        <f t="shared" ca="1" si="63"/>
        <v>8.99481020500177E-2</v>
      </c>
      <c r="Q59" s="23"/>
      <c r="R59" s="23">
        <f t="shared" ca="1" si="64"/>
        <v>0.11587651518205369</v>
      </c>
      <c r="S59" s="23">
        <f t="shared" ca="1" si="65"/>
        <v>0.17905539219308692</v>
      </c>
      <c r="T59" s="23">
        <f t="shared" ca="1" si="66"/>
        <v>0.26539350700124081</v>
      </c>
      <c r="U59" s="23">
        <f t="shared" ca="1" si="67"/>
        <v>0.10224825877949256</v>
      </c>
      <c r="V59" s="23">
        <f t="shared" ca="1" si="68"/>
        <v>0.17192877031043621</v>
      </c>
      <c r="W59" s="23">
        <f ca="1">AT175</f>
        <v>0.1000379335174558</v>
      </c>
      <c r="AK59" s="31" t="s">
        <v>569</v>
      </c>
      <c r="AL59" s="1"/>
      <c r="AM59" t="s">
        <v>541</v>
      </c>
      <c r="AN59" t="s">
        <v>542</v>
      </c>
      <c r="AO59" t="s">
        <v>543</v>
      </c>
      <c r="AP59" t="s">
        <v>427</v>
      </c>
      <c r="AQ59" t="s">
        <v>525</v>
      </c>
      <c r="AR59" t="s">
        <v>428</v>
      </c>
      <c r="AS59" t="s">
        <v>429</v>
      </c>
      <c r="AT59" t="s">
        <v>438</v>
      </c>
      <c r="AU59" t="s">
        <v>430</v>
      </c>
      <c r="AV59" s="33" t="s">
        <v>582</v>
      </c>
      <c r="BK59" s="21" t="s">
        <v>587</v>
      </c>
      <c r="BL59" s="1"/>
      <c r="BM59" s="21" t="s">
        <v>541</v>
      </c>
      <c r="BN59" s="21" t="s">
        <v>542</v>
      </c>
      <c r="BO59" s="21" t="s">
        <v>543</v>
      </c>
      <c r="BP59" s="7" t="s">
        <v>427</v>
      </c>
      <c r="BQ59" s="7" t="s">
        <v>525</v>
      </c>
      <c r="BR59" s="21" t="s">
        <v>428</v>
      </c>
      <c r="BS59" s="21" t="s">
        <v>429</v>
      </c>
      <c r="BT59" s="21" t="s">
        <v>606</v>
      </c>
      <c r="BU59" s="21" t="s">
        <v>430</v>
      </c>
      <c r="BV59" s="33" t="s">
        <v>582</v>
      </c>
    </row>
    <row r="60" spans="3:74" x14ac:dyDescent="0.3">
      <c r="C60" s="46">
        <v>43019</v>
      </c>
      <c r="D60" s="23">
        <f t="shared" ca="1" si="55"/>
        <v>0.3687746717589005</v>
      </c>
      <c r="E60" s="23">
        <f t="shared" ca="1" si="56"/>
        <v>0.40415163334434429</v>
      </c>
      <c r="F60" s="23">
        <f t="shared" ref="F60:F67" ca="1" si="69">AU47</f>
        <v>0.4600920120880011</v>
      </c>
      <c r="G60" s="23">
        <f t="shared" ca="1" si="57"/>
        <v>0.45302416187942968</v>
      </c>
      <c r="H60" s="23">
        <f t="shared" ca="1" si="58"/>
        <v>0.59415391962374897</v>
      </c>
      <c r="I60" s="23">
        <f t="shared" ca="1" si="59"/>
        <v>0.51070118567267908</v>
      </c>
      <c r="J60" s="23">
        <f t="shared" ca="1" si="60"/>
        <v>0.32650324292764565</v>
      </c>
      <c r="K60" s="23">
        <f t="shared" ca="1" si="61"/>
        <v>0.47259048120749064</v>
      </c>
      <c r="L60" s="23"/>
      <c r="N60" s="46">
        <v>43019</v>
      </c>
      <c r="O60" s="23">
        <f t="shared" ca="1" si="62"/>
        <v>0.25453510821170727</v>
      </c>
      <c r="P60" s="23">
        <f t="shared" ca="1" si="63"/>
        <v>0.20955194710100977</v>
      </c>
      <c r="Q60" s="23">
        <f t="shared" ref="Q60:Q67" ca="1" si="70">AT47</f>
        <v>0.30916414789885732</v>
      </c>
      <c r="R60" s="23">
        <f t="shared" ca="1" si="64"/>
        <v>0.34115099196659354</v>
      </c>
      <c r="S60" s="23">
        <f t="shared" ca="1" si="65"/>
        <v>0.36579873865845414</v>
      </c>
      <c r="T60" s="23">
        <f t="shared" ca="1" si="66"/>
        <v>0.21285334696944799</v>
      </c>
      <c r="U60" s="23">
        <f t="shared" ca="1" si="67"/>
        <v>0.20306581829396428</v>
      </c>
      <c r="V60" s="23">
        <f t="shared" ca="1" si="68"/>
        <v>0.44456583578301984</v>
      </c>
      <c r="W60" s="23"/>
      <c r="AJ60" s="34" t="s">
        <v>526</v>
      </c>
      <c r="AK60" t="s">
        <v>526</v>
      </c>
      <c r="AL60" s="1">
        <v>43817</v>
      </c>
      <c r="AM60" s="34" cm="1">
        <f t="array" aca="1" ref="AM60" ca="1">INDIRECT("'"&amp;$B27&amp;"'!"&amp;(D$5&amp;$P$14))</f>
        <v>1844444.35604</v>
      </c>
      <c r="AN60" s="34" cm="1">
        <f t="array" aca="1" ref="AN60" ca="1">INDIRECT("'"&amp;$B27&amp;"'!"&amp;(E$5&amp;$P$14))</f>
        <v>5596428.7459509997</v>
      </c>
      <c r="AO60" s="34" cm="1">
        <f t="array" aca="1" ref="AO60" ca="1">INDIRECT("'"&amp;$B27&amp;"'!"&amp;(F$5&amp;$P$14))</f>
        <v>421.83188999999999</v>
      </c>
      <c r="AP60" s="21">
        <f ca="1">SQRT(((AM60-AM61)^2)+((AN60-AN61)^2))</f>
        <v>7.2187918307179022E-2</v>
      </c>
      <c r="AQ60" s="21" cm="1">
        <f t="array" aca="1" ref="AQ60" ca="1">INDIRECT("'"&amp;AK60&amp;"'!"&amp;$H$5&amp;$P$14)+0.01</f>
        <v>1.9675999999999999E-2</v>
      </c>
      <c r="AR60" s="23">
        <f ca="1">AO60-AO61</f>
        <v>2.9339999999820066E-3</v>
      </c>
      <c r="AS60" s="7">
        <f ca="1">SQRT((AP60^2)+(AR60^2))</f>
        <v>7.2247518334707161E-2</v>
      </c>
      <c r="AT60" s="7">
        <f t="shared" ref="AT60:AT71" ca="1" si="71">(AS60/(AL60-AL61))*365</f>
        <v>6.0621480901535893E-2</v>
      </c>
      <c r="AU60" s="23">
        <f ca="1">AU61+AS60</f>
        <v>0.68304340866519841</v>
      </c>
      <c r="AV60" s="23">
        <f ca="1">AV61+AR60</f>
        <v>-7.065575000001445E-2</v>
      </c>
      <c r="BK60" s="21" t="s">
        <v>526</v>
      </c>
      <c r="BL60" s="1">
        <v>43817</v>
      </c>
      <c r="BM60" s="34" cm="1">
        <f t="array" aca="1" ref="BM60" ca="1">INDIRECT("'"&amp;$B27&amp;"'!"&amp;(D$5&amp;$P$24))</f>
        <v>1844387.379923</v>
      </c>
      <c r="BN60" s="34" cm="1">
        <f t="array" aca="1" ref="BN60" ca="1">INDIRECT("'"&amp;$B27&amp;"'!"&amp;(E$5&amp;$P$24))</f>
        <v>5595873.4393229997</v>
      </c>
      <c r="BO60" s="34" cm="1">
        <f t="array" aca="1" ref="BO60" ca="1">INDIRECT("'"&amp;$B27&amp;"'!"&amp;(F$5&amp;$P$24))</f>
        <v>381.389906</v>
      </c>
      <c r="BP60" s="7">
        <f ca="1">SQRT(((BM60-BM61)^2)+((BN60-BN61)^2))</f>
        <v>2.4529431954693592</v>
      </c>
      <c r="BQ60" s="7" cm="1">
        <f t="array" aca="1" ref="BQ60" ca="1">INDIRECT("'"&amp;BK60&amp;"'!"&amp;$H$5&amp;$P$24)+0.01</f>
        <v>2.6578999999999998E-2</v>
      </c>
      <c r="BR60" s="23">
        <f ca="1">BO60-BO61</f>
        <v>-0.21209800000002588</v>
      </c>
      <c r="BS60" s="7">
        <f ca="1">SQRT((BP60^2)+(BR60^2))</f>
        <v>2.4620958311575611</v>
      </c>
      <c r="BT60" s="7">
        <f t="shared" ref="BT60:BT71" ca="1" si="72">(BS60/(BL60-BL61))*31</f>
        <v>0.17545970291007909</v>
      </c>
      <c r="BU60" s="23">
        <f ca="1">BU61+BS60</f>
        <v>11.301810814016338</v>
      </c>
      <c r="BV60" s="23">
        <f ca="1">BV61+BR60</f>
        <v>-2.3946397500000103</v>
      </c>
    </row>
    <row r="61" spans="3:74" x14ac:dyDescent="0.3">
      <c r="C61" s="46">
        <v>42915</v>
      </c>
      <c r="D61" s="23">
        <f t="shared" ca="1" si="55"/>
        <v>0.29624959983008525</v>
      </c>
      <c r="E61" s="23">
        <f t="shared" ca="1" si="56"/>
        <v>0.34444368129364561</v>
      </c>
      <c r="F61" s="23">
        <f t="shared" ca="1" si="69"/>
        <v>0.37200140556339517</v>
      </c>
      <c r="G61" s="23">
        <f t="shared" ca="1" si="57"/>
        <v>0.35581949567524962</v>
      </c>
      <c r="H61" s="23">
        <f t="shared" ca="1" si="58"/>
        <v>0.4899263338142168</v>
      </c>
      <c r="I61" s="23">
        <f t="shared" ca="1" si="59"/>
        <v>0.45005256078275419</v>
      </c>
      <c r="J61" s="23">
        <f t="shared" ca="1" si="60"/>
        <v>0.26864339333155723</v>
      </c>
      <c r="K61" s="23">
        <f t="shared" ca="1" si="61"/>
        <v>0.34591966772410965</v>
      </c>
      <c r="L61" s="23"/>
      <c r="N61" s="46">
        <v>42915</v>
      </c>
      <c r="O61" s="23">
        <f t="shared" ca="1" si="62"/>
        <v>0.17515760316331266</v>
      </c>
      <c r="P61" s="23">
        <f t="shared" ca="1" si="63"/>
        <v>0.22075148380178047</v>
      </c>
      <c r="Q61" s="23">
        <f t="shared" ca="1" si="70"/>
        <v>0.32084971953546215</v>
      </c>
      <c r="R61" s="23">
        <f t="shared" ca="1" si="64"/>
        <v>0.27254952423451712</v>
      </c>
      <c r="S61" s="23">
        <f t="shared" ca="1" si="65"/>
        <v>0.29291563930637743</v>
      </c>
      <c r="T61" s="23">
        <f t="shared" ca="1" si="66"/>
        <v>0.23899926502850313</v>
      </c>
      <c r="U61" s="23">
        <f t="shared" ca="1" si="67"/>
        <v>0.25198731665054053</v>
      </c>
      <c r="V61" s="23">
        <f t="shared" ca="1" si="68"/>
        <v>0.28776307599558348</v>
      </c>
      <c r="W61" s="23"/>
      <c r="AJ61" s="34" t="s">
        <v>373</v>
      </c>
      <c r="AK61" t="s">
        <v>373</v>
      </c>
      <c r="AL61" s="1">
        <v>43382</v>
      </c>
      <c r="AM61" s="34" cm="1">
        <f t="array" aca="1" ref="AM61" ca="1">INDIRECT("'"&amp;$B28&amp;"'!"&amp;(D$5&amp;$P$14))</f>
        <v>1844444.3660180001</v>
      </c>
      <c r="AN61" s="34" cm="1">
        <f t="array" aca="1" ref="AN61" ca="1">INDIRECT("'"&amp;$B28&amp;"'!"&amp;(E$5&amp;$P$14))</f>
        <v>5596428.8174459999</v>
      </c>
      <c r="AO61" s="34" cm="1">
        <f t="array" aca="1" ref="AO61" ca="1">INDIRECT("'"&amp;$B28&amp;"'!"&amp;(F$5&amp;$P$14))</f>
        <v>421.82895600000001</v>
      </c>
      <c r="AP61" s="21">
        <f t="shared" ref="AP61:AP71" ca="1" si="73">SQRT(((AM61-AM62)^2)+((AN61-AN62)^2))</f>
        <v>0.10161970997309339</v>
      </c>
      <c r="AQ61" s="21" cm="1">
        <f t="array" aca="1" ref="AQ61" ca="1">INDIRECT("'"&amp;AK61&amp;"'!"&amp;$H$5&amp;$P$14)+0.01</f>
        <v>2.4307000000000002E-2</v>
      </c>
      <c r="AR61" s="23">
        <f t="shared" ref="AR61:AR71" ca="1" si="74">AO61-AO62</f>
        <v>-2.5434000000018386E-2</v>
      </c>
      <c r="AS61" s="7">
        <f t="shared" ref="AS61:AS71" ca="1" si="75">SQRT((AP61^2)+(AR61^2))</f>
        <v>0.10475425438146438</v>
      </c>
      <c r="AT61" s="7">
        <f t="shared" ca="1" si="71"/>
        <v>0.19507807576140049</v>
      </c>
      <c r="AU61" s="23">
        <f t="shared" ref="AU61:AU71" ca="1" si="76">AU62+AS61</f>
        <v>0.6107958903304912</v>
      </c>
      <c r="AV61" s="23">
        <f t="shared" ref="AV61:AV71" ca="1" si="77">AV62+AR61</f>
        <v>-7.3589749999996457E-2</v>
      </c>
      <c r="BK61" s="21" t="s">
        <v>373</v>
      </c>
      <c r="BL61" s="1">
        <v>43382</v>
      </c>
      <c r="BM61" s="34" cm="1">
        <f t="array" aca="1" ref="BM61" ca="1">INDIRECT("'"&amp;$B28&amp;"'!"&amp;(D$5&amp;$P$24))</f>
        <v>1844386.7183360001</v>
      </c>
      <c r="BN61" s="34" cm="1">
        <f t="array" aca="1" ref="BN61" ca="1">INDIRECT("'"&amp;$B28&amp;"'!"&amp;(E$5&amp;$P$24))</f>
        <v>5595875.8013629997</v>
      </c>
      <c r="BO61" s="34" cm="1">
        <f t="array" aca="1" ref="BO61" ca="1">INDIRECT("'"&amp;$B28&amp;"'!"&amp;(F$5&amp;$P$24))</f>
        <v>381.60200400000002</v>
      </c>
      <c r="BP61" s="7">
        <f t="shared" ref="BP61:BP71" ca="1" si="78">SQRT(((BM61-BM62)^2)+((BN61-BN62)^2))</f>
        <v>1.8275358649215101</v>
      </c>
      <c r="BQ61" s="7" cm="1">
        <f t="array" aca="1" ref="BQ61" ca="1">INDIRECT("'"&amp;BK61&amp;"'!"&amp;$H$5&amp;$P$24)+0.01</f>
        <v>3.2063000000000001E-2</v>
      </c>
      <c r="BR61" s="23">
        <f t="shared" ref="BR61:BR71" ca="1" si="79">BO61-BO62</f>
        <v>-0.36333799999999883</v>
      </c>
      <c r="BS61" s="7">
        <f t="shared" ref="BS61:BS71" ca="1" si="80">SQRT((BP61^2)+(BR61^2))</f>
        <v>1.8633040116466264</v>
      </c>
      <c r="BT61" s="7">
        <f t="shared" ca="1" si="72"/>
        <v>0.29470624674002766</v>
      </c>
      <c r="BU61" s="23">
        <f t="shared" ref="BU61:BU71" ca="1" si="81">BU62+BS61</f>
        <v>8.8397149828587764</v>
      </c>
      <c r="BV61" s="23">
        <f t="shared" ref="BV61:BV71" ca="1" si="82">BV62+BR61</f>
        <v>-2.1825417499999844</v>
      </c>
    </row>
    <row r="62" spans="3:74" x14ac:dyDescent="0.3">
      <c r="C62" s="46">
        <v>42814</v>
      </c>
      <c r="D62" s="23">
        <f t="shared" ca="1" si="55"/>
        <v>0.24778133155749735</v>
      </c>
      <c r="E62" s="23">
        <f t="shared" ca="1" si="56"/>
        <v>0.28335902413205705</v>
      </c>
      <c r="F62" s="23">
        <f t="shared" ca="1" si="69"/>
        <v>0.28321833248645906</v>
      </c>
      <c r="G62" s="23">
        <f t="shared" ca="1" si="57"/>
        <v>0.28040168211994487</v>
      </c>
      <c r="H62" s="23">
        <f t="shared" ca="1" si="58"/>
        <v>0.40887296512943838</v>
      </c>
      <c r="I62" s="23">
        <f t="shared" ca="1" si="59"/>
        <v>0.38391851758308621</v>
      </c>
      <c r="J62" s="23">
        <f t="shared" ca="1" si="60"/>
        <v>0.19891539612140766</v>
      </c>
      <c r="K62" s="23">
        <f t="shared" ca="1" si="61"/>
        <v>0.26629207683218103</v>
      </c>
      <c r="L62" s="23">
        <f ca="1">AU178</f>
        <v>0.23050603223559457</v>
      </c>
      <c r="N62" s="46">
        <v>42814</v>
      </c>
      <c r="O62" s="23">
        <f t="shared" ca="1" si="62"/>
        <v>0.10118463717583631</v>
      </c>
      <c r="P62" s="23">
        <f t="shared" ca="1" si="63"/>
        <v>0.10117460217302927</v>
      </c>
      <c r="Q62" s="23">
        <f t="shared" ca="1" si="70"/>
        <v>0.1340039676094725</v>
      </c>
      <c r="R62" s="23">
        <f t="shared" ca="1" si="64"/>
        <v>7.9864033341002644E-2</v>
      </c>
      <c r="S62" s="23">
        <f t="shared" ca="1" si="65"/>
        <v>0.12030692480551791</v>
      </c>
      <c r="T62" s="23">
        <f t="shared" ca="1" si="66"/>
        <v>5.3552878202847425E-2</v>
      </c>
      <c r="U62" s="23">
        <f t="shared" ca="1" si="67"/>
        <v>0.10620423391402736</v>
      </c>
      <c r="V62" s="23">
        <f t="shared" ca="1" si="68"/>
        <v>0.1463051898968413</v>
      </c>
      <c r="W62" s="23">
        <f ca="1">AT178</f>
        <v>0.133557997234583</v>
      </c>
      <c r="AJ62" s="31" t="s">
        <v>375</v>
      </c>
      <c r="AK62" t="s">
        <v>375</v>
      </c>
      <c r="AL62" s="1">
        <v>43186</v>
      </c>
      <c r="AM62" s="34" cm="1">
        <f t="array" aca="1" ref="AM62" ca="1">INDIRECT("'"&amp;$B29&amp;"'!"&amp;(D$5&amp;$P$14))</f>
        <v>1844444.4132749999</v>
      </c>
      <c r="AN62" s="34" cm="1">
        <f t="array" aca="1" ref="AN62" ca="1">INDIRECT("'"&amp;$B29&amp;"'!"&amp;(E$5&amp;$P$14))</f>
        <v>5596428.9074090002</v>
      </c>
      <c r="AO62" s="34" cm="1">
        <f t="array" aca="1" ref="AO62" ca="1">INDIRECT("'"&amp;$B29&amp;"'!"&amp;(F$5&amp;$P$14))</f>
        <v>421.85439000000002</v>
      </c>
      <c r="AP62" s="21">
        <f t="shared" ca="1" si="73"/>
        <v>3.5960072201290084E-2</v>
      </c>
      <c r="AQ62" s="21" cm="1">
        <f t="array" aca="1" ref="AQ62" ca="1">INDIRECT("'"&amp;AK62&amp;"'!"&amp;$H$5&amp;$P$14)+0.01</f>
        <v>2.7244999999999998E-2</v>
      </c>
      <c r="AR62" s="23">
        <f t="shared" ca="1" si="74"/>
        <v>-3.895799999997962E-2</v>
      </c>
      <c r="AS62" s="7">
        <f t="shared" ca="1" si="75"/>
        <v>5.3017474069597163E-2</v>
      </c>
      <c r="AT62" s="7">
        <f t="shared" ca="1" si="71"/>
        <v>0.11587651518205369</v>
      </c>
      <c r="AU62" s="23">
        <f t="shared" ca="1" si="76"/>
        <v>0.50604163594902685</v>
      </c>
      <c r="AV62" s="23">
        <f t="shared" ca="1" si="77"/>
        <v>-4.815574999997807E-2</v>
      </c>
      <c r="BK62" s="21" t="s">
        <v>375</v>
      </c>
      <c r="BL62" s="1">
        <v>43186</v>
      </c>
      <c r="BM62" s="34" cm="1">
        <f t="array" aca="1" ref="BM62" ca="1">INDIRECT("'"&amp;$B29&amp;"'!"&amp;(D$5&amp;$P$24))</f>
        <v>1844386.2664620001</v>
      </c>
      <c r="BN62" s="34" cm="1">
        <f t="array" aca="1" ref="BN62" ca="1">INDIRECT("'"&amp;$B29&amp;"'!"&amp;(E$5&amp;$P$24))</f>
        <v>5595877.5721530002</v>
      </c>
      <c r="BO62" s="34" cm="1">
        <f t="array" aca="1" ref="BO62" ca="1">INDIRECT("'"&amp;$B29&amp;"'!"&amp;(F$5&amp;$P$24))</f>
        <v>381.96534200000002</v>
      </c>
      <c r="BP62" s="7">
        <f t="shared" ca="1" si="78"/>
        <v>1.268814629181082</v>
      </c>
      <c r="BQ62" s="7" cm="1">
        <f t="array" aca="1" ref="BQ62" ca="1">INDIRECT("'"&amp;BK62&amp;"'!"&amp;$H$5&amp;$P$24)+0.01</f>
        <v>2.5013000000000001E-2</v>
      </c>
      <c r="BR62" s="23">
        <f t="shared" ca="1" si="79"/>
        <v>-0.3750119999999697</v>
      </c>
      <c r="BS62" s="7">
        <f t="shared" ca="1" si="80"/>
        <v>1.3230739069938247</v>
      </c>
      <c r="BT62" s="7">
        <f t="shared" ca="1" si="72"/>
        <v>0.2456005456096321</v>
      </c>
      <c r="BU62" s="23">
        <f t="shared" ca="1" si="81"/>
        <v>6.9764109712121503</v>
      </c>
      <c r="BV62" s="23">
        <f t="shared" ca="1" si="82"/>
        <v>-1.8192037499999856</v>
      </c>
    </row>
    <row r="63" spans="3:74" x14ac:dyDescent="0.3">
      <c r="C63" s="46">
        <v>42718</v>
      </c>
      <c r="D63" s="23">
        <f t="shared" ca="1" si="55"/>
        <v>0.22116838588933219</v>
      </c>
      <c r="E63" s="23">
        <f t="shared" ca="1" si="56"/>
        <v>0.25674871780709591</v>
      </c>
      <c r="F63" s="23">
        <f t="shared" ca="1" si="69"/>
        <v>0.24797345333437862</v>
      </c>
      <c r="G63" s="23">
        <f t="shared" ca="1" si="57"/>
        <v>0.25939634732340722</v>
      </c>
      <c r="H63" s="23">
        <f t="shared" ca="1" si="58"/>
        <v>0.37723059586552132</v>
      </c>
      <c r="I63" s="23">
        <f t="shared" ca="1" si="59"/>
        <v>0.36983337701466606</v>
      </c>
      <c r="J63" s="23">
        <f t="shared" ca="1" si="60"/>
        <v>0.17098222774949909</v>
      </c>
      <c r="K63" s="23">
        <f t="shared" ca="1" si="61"/>
        <v>0.22781180770862824</v>
      </c>
      <c r="L63" s="23"/>
      <c r="N63" s="46">
        <v>42718</v>
      </c>
      <c r="O63" s="23">
        <f t="shared" ca="1" si="62"/>
        <v>0.31539332838218681</v>
      </c>
      <c r="P63" s="23">
        <f t="shared" ca="1" si="63"/>
        <v>0.25923975418009015</v>
      </c>
      <c r="Q63" s="23">
        <f t="shared" ca="1" si="70"/>
        <v>0.29518529287005907</v>
      </c>
      <c r="R63" s="23">
        <f t="shared" ca="1" si="64"/>
        <v>0.3590306548130287</v>
      </c>
      <c r="S63" s="23">
        <f t="shared" ca="1" si="65"/>
        <v>0.46804651178684148</v>
      </c>
      <c r="T63" s="23">
        <f t="shared" ca="1" si="66"/>
        <v>0.30525989410597254</v>
      </c>
      <c r="U63" s="23">
        <f t="shared" ca="1" si="67"/>
        <v>0.30302676382692567</v>
      </c>
      <c r="V63" s="23">
        <f t="shared" ca="1" si="68"/>
        <v>0.41632722642583248</v>
      </c>
      <c r="W63" s="23"/>
      <c r="AJ63" s="31" t="s">
        <v>374</v>
      </c>
      <c r="AK63" t="s">
        <v>374</v>
      </c>
      <c r="AL63" s="1">
        <v>43019</v>
      </c>
      <c r="AM63" s="34" cm="1">
        <f t="array" aca="1" ref="AM63" ca="1">INDIRECT("'"&amp;$B30&amp;"'!"&amp;(D$5&amp;$P$14))</f>
        <v>1844444.4002749999</v>
      </c>
      <c r="AN63" s="34" cm="1">
        <f t="array" aca="1" ref="AN63" ca="1">INDIRECT("'"&amp;$B30&amp;"'!"&amp;(E$5&amp;$P$14))</f>
        <v>5596428.9409370003</v>
      </c>
      <c r="AO63" s="34" cm="1">
        <f t="array" aca="1" ref="AO63" ca="1">INDIRECT("'"&amp;$B30&amp;"'!"&amp;(F$5&amp;$P$14))</f>
        <v>421.893348</v>
      </c>
      <c r="AP63" s="21">
        <f t="shared" ca="1" si="73"/>
        <v>8.7383901279735457E-2</v>
      </c>
      <c r="AQ63" s="21" cm="1">
        <f t="array" aca="1" ref="AQ63" ca="1">INDIRECT("'"&amp;AK63&amp;"'!"&amp;$H$5&amp;$P$14)+0.01</f>
        <v>5.7322000000000005E-2</v>
      </c>
      <c r="AR63" s="23">
        <f t="shared" ca="1" si="74"/>
        <v>-4.2576999999994314E-2</v>
      </c>
      <c r="AS63" s="7">
        <f t="shared" ca="1" si="75"/>
        <v>9.7204666204180071E-2</v>
      </c>
      <c r="AT63" s="7">
        <f t="shared" ca="1" si="71"/>
        <v>0.34115099196659354</v>
      </c>
      <c r="AU63" s="23">
        <f t="shared" ca="1" si="76"/>
        <v>0.45302416187942968</v>
      </c>
      <c r="AV63" s="23">
        <f t="shared" ca="1" si="77"/>
        <v>-9.1977499999984502E-3</v>
      </c>
      <c r="BK63" s="21" t="s">
        <v>374</v>
      </c>
      <c r="BL63" s="1">
        <v>43019</v>
      </c>
      <c r="BM63" s="34" cm="1">
        <f t="array" aca="1" ref="BM63" ca="1">INDIRECT("'"&amp;$B30&amp;"'!"&amp;(D$5&amp;$P$24))</f>
        <v>1844385.940313</v>
      </c>
      <c r="BN63" s="34" cm="1">
        <f t="array" aca="1" ref="BN63" ca="1">INDIRECT("'"&amp;$B30&amp;"'!"&amp;(E$5&amp;$P$24))</f>
        <v>5595878.7983330004</v>
      </c>
      <c r="BO63" s="34" cm="1">
        <f t="array" aca="1" ref="BO63" ca="1">INDIRECT("'"&amp;$B30&amp;"'!"&amp;(F$5&amp;$P$24))</f>
        <v>382.34035399999999</v>
      </c>
      <c r="BP63" s="7">
        <f t="shared" ca="1" si="78"/>
        <v>1.2846156291276813</v>
      </c>
      <c r="BQ63" s="7" cm="1">
        <f t="array" aca="1" ref="BQ63" ca="1">INDIRECT("'"&amp;BK63&amp;"'!"&amp;$H$5&amp;$P$24)+0.01</f>
        <v>3.3628999999999999E-2</v>
      </c>
      <c r="BR63" s="23">
        <f t="shared" ca="1" si="79"/>
        <v>-0.58058299999999008</v>
      </c>
      <c r="BS63" s="7">
        <f t="shared" ca="1" si="80"/>
        <v>1.4097212258060445</v>
      </c>
      <c r="BT63" s="7">
        <f t="shared" ca="1" si="72"/>
        <v>0.42020536538449405</v>
      </c>
      <c r="BU63" s="23">
        <f t="shared" ca="1" si="81"/>
        <v>5.6533370642183254</v>
      </c>
      <c r="BV63" s="23">
        <f t="shared" ca="1" si="82"/>
        <v>-1.4441917500000159</v>
      </c>
    </row>
    <row r="64" spans="3:74" x14ac:dyDescent="0.3">
      <c r="C64" s="46">
        <v>42666</v>
      </c>
      <c r="D64" s="23">
        <f t="shared" ca="1" si="55"/>
        <v>0.17623563773625353</v>
      </c>
      <c r="E64" s="23">
        <f t="shared" ca="1" si="56"/>
        <v>0.21981593091020635</v>
      </c>
      <c r="F64" s="23">
        <f t="shared" ca="1" si="69"/>
        <v>0.20591965818576746</v>
      </c>
      <c r="G64" s="23">
        <f t="shared" ca="1" si="57"/>
        <v>0.2082467745829209</v>
      </c>
      <c r="H64" s="23">
        <f t="shared" ca="1" si="58"/>
        <v>0.31054999692602608</v>
      </c>
      <c r="I64" s="23">
        <f t="shared" ca="1" si="59"/>
        <v>0.32634429621052752</v>
      </c>
      <c r="J64" s="23">
        <f t="shared" ca="1" si="60"/>
        <v>0.12781129153306037</v>
      </c>
      <c r="K64" s="23">
        <f t="shared" ca="1" si="61"/>
        <v>0.16849943572467402</v>
      </c>
      <c r="L64" s="23"/>
      <c r="N64" s="46">
        <v>42666</v>
      </c>
      <c r="O64" s="23">
        <f t="shared" ca="1" si="62"/>
        <v>0.15412286472269263</v>
      </c>
      <c r="P64" s="23">
        <f t="shared" ca="1" si="63"/>
        <v>0.14622167237771658</v>
      </c>
      <c r="Q64" s="23">
        <f t="shared" ca="1" si="70"/>
        <v>0.19131042642512636</v>
      </c>
      <c r="R64" s="23">
        <f t="shared" ca="1" si="64"/>
        <v>0.22692310206076619</v>
      </c>
      <c r="S64" s="23">
        <f t="shared" ca="1" si="65"/>
        <v>0.33586313273075075</v>
      </c>
      <c r="T64" s="23">
        <f t="shared" ca="1" si="66"/>
        <v>0.29190600760848279</v>
      </c>
      <c r="U64" s="23">
        <f t="shared" ca="1" si="67"/>
        <v>0.14031468329269853</v>
      </c>
      <c r="V64" s="23">
        <f t="shared" ca="1" si="68"/>
        <v>0.32050967003269126</v>
      </c>
      <c r="W64" s="23"/>
      <c r="AJ64" s="31" t="s">
        <v>376</v>
      </c>
      <c r="AK64" t="s">
        <v>376</v>
      </c>
      <c r="AL64" s="1">
        <v>42915</v>
      </c>
      <c r="AM64" s="34" cm="1">
        <f t="array" aca="1" ref="AM64" ca="1">INDIRECT("'"&amp;$B31&amp;"'!"&amp;(D$5&amp;$P$14))</f>
        <v>1844444.401942</v>
      </c>
      <c r="AN64" s="34" cm="1">
        <f t="array" aca="1" ref="AN64" ca="1">INDIRECT("'"&amp;$B31&amp;"'!"&amp;(E$5&amp;$P$14))</f>
        <v>5596429.0283049997</v>
      </c>
      <c r="AO64" s="34" cm="1">
        <f t="array" aca="1" ref="AO64" ca="1">INDIRECT("'"&amp;$B31&amp;"'!"&amp;(F$5&amp;$P$14))</f>
        <v>421.935925</v>
      </c>
      <c r="AP64" s="21">
        <f t="shared" ca="1" si="73"/>
        <v>5.0733340048333374E-2</v>
      </c>
      <c r="AQ64" s="21" cm="1">
        <f t="array" aca="1" ref="AQ64" ca="1">INDIRECT("'"&amp;AK64&amp;"'!"&amp;$H$5&amp;$P$14)+0.01</f>
        <v>3.1106000000000002E-2</v>
      </c>
      <c r="AR64" s="23">
        <f t="shared" ca="1" si="74"/>
        <v>5.5803000000025804E-2</v>
      </c>
      <c r="AS64" s="7">
        <f t="shared" ca="1" si="75"/>
        <v>7.5417813555304733E-2</v>
      </c>
      <c r="AT64" s="7">
        <f t="shared" ca="1" si="71"/>
        <v>0.27254952423451712</v>
      </c>
      <c r="AU64" s="23">
        <f t="shared" ca="1" si="76"/>
        <v>0.35581949567524962</v>
      </c>
      <c r="AV64" s="23">
        <f t="shared" ca="1" si="77"/>
        <v>3.3379249999995864E-2</v>
      </c>
      <c r="BK64" s="21" t="s">
        <v>376</v>
      </c>
      <c r="BL64" s="1">
        <v>42915</v>
      </c>
      <c r="BM64" s="34" cm="1">
        <f t="array" aca="1" ref="BM64" ca="1">INDIRECT("'"&amp;$B31&amp;"'!"&amp;(D$5&amp;$P$24))</f>
        <v>1844385.6499030001</v>
      </c>
      <c r="BN64" s="34" cm="1">
        <f t="array" aca="1" ref="BN64" ca="1">INDIRECT("'"&amp;$B31&amp;"'!"&amp;(E$5&amp;$P$24))</f>
        <v>5595880.0496920003</v>
      </c>
      <c r="BO64" s="34" cm="1">
        <f t="array" aca="1" ref="BO64" ca="1">INDIRECT("'"&amp;$B31&amp;"'!"&amp;(F$5&amp;$P$24))</f>
        <v>382.92093699999998</v>
      </c>
      <c r="BP64" s="7">
        <f t="shared" ca="1" si="78"/>
        <v>0.78924717985284432</v>
      </c>
      <c r="BQ64" s="7" cm="1">
        <f t="array" aca="1" ref="BQ64" ca="1">INDIRECT("'"&amp;BK64&amp;"'!"&amp;$H$5&amp;$P$24)+0.01</f>
        <v>3.4044999999999999E-2</v>
      </c>
      <c r="BR64" s="23">
        <f t="shared" ca="1" si="79"/>
        <v>-0.12996600000002445</v>
      </c>
      <c r="BS64" s="7">
        <f t="shared" ca="1" si="80"/>
        <v>0.79987641049206737</v>
      </c>
      <c r="BT64" s="7">
        <f t="shared" ca="1" si="72"/>
        <v>0.2455066210421197</v>
      </c>
      <c r="BU64" s="23">
        <f t="shared" ca="1" si="81"/>
        <v>4.2436158384122811</v>
      </c>
      <c r="BV64" s="23">
        <f t="shared" ca="1" si="82"/>
        <v>-0.86360875000002579</v>
      </c>
    </row>
    <row r="65" spans="3:74" x14ac:dyDescent="0.3">
      <c r="C65" s="46">
        <v>42562</v>
      </c>
      <c r="D65" s="23">
        <f t="shared" ca="1" si="55"/>
        <v>0.13232117765088358</v>
      </c>
      <c r="E65" s="23">
        <f t="shared" ca="1" si="56"/>
        <v>0.17815276946559669</v>
      </c>
      <c r="F65" s="23">
        <f t="shared" ca="1" si="69"/>
        <v>0.15140929010847118</v>
      </c>
      <c r="G65" s="23">
        <f t="shared" ca="1" si="57"/>
        <v>0.14358923317382588</v>
      </c>
      <c r="H65" s="23">
        <f t="shared" ca="1" si="58"/>
        <v>0.21485200842192176</v>
      </c>
      <c r="I65" s="23">
        <f t="shared" ca="1" si="59"/>
        <v>0.24317107760427492</v>
      </c>
      <c r="J65" s="23">
        <f t="shared" ca="1" si="60"/>
        <v>8.7831217389387345E-2</v>
      </c>
      <c r="K65" s="23">
        <f t="shared" ca="1" si="61"/>
        <v>7.7176132482482548E-2</v>
      </c>
      <c r="L65" s="23">
        <f ca="1">AU181</f>
        <v>0.13829612729555371</v>
      </c>
      <c r="N65" s="46">
        <v>42562</v>
      </c>
      <c r="O65" s="23">
        <f t="shared" ca="1" si="62"/>
        <v>0.12298326371388538</v>
      </c>
      <c r="P65" s="23">
        <f t="shared" ca="1" si="63"/>
        <v>0.13934069979930688</v>
      </c>
      <c r="Q65" s="23">
        <f t="shared" ca="1" si="70"/>
        <v>0.14963752936333508</v>
      </c>
      <c r="R65" s="23">
        <f t="shared" ca="1" si="64"/>
        <v>7.32591192534775E-2</v>
      </c>
      <c r="S65" s="23">
        <f t="shared" ca="1" si="65"/>
        <v>0.26369753254183276</v>
      </c>
      <c r="T65" s="23">
        <f t="shared" ca="1" si="66"/>
        <v>0.15213041977893205</v>
      </c>
      <c r="U65" s="23">
        <f t="shared" ca="1" si="67"/>
        <v>0.17410941437911162</v>
      </c>
      <c r="V65" s="23">
        <f t="shared" ca="1" si="68"/>
        <v>0.12425368841758469</v>
      </c>
      <c r="W65" s="23">
        <f ca="1">AT181</f>
        <v>4.9804697867579073E-2</v>
      </c>
      <c r="AJ65" s="31" t="s">
        <v>377</v>
      </c>
      <c r="AK65" t="s">
        <v>377</v>
      </c>
      <c r="AL65" s="1">
        <v>42814</v>
      </c>
      <c r="AM65" s="34" cm="1">
        <f t="array" aca="1" ref="AM65" ca="1">INDIRECT("'"&amp;$B32&amp;"'!"&amp;(D$5&amp;$P$14))</f>
        <v>1844444.4491930001</v>
      </c>
      <c r="AN65" s="34" cm="1">
        <f t="array" aca="1" ref="AN65" ca="1">INDIRECT("'"&amp;$B32&amp;"'!"&amp;(E$5&amp;$P$14))</f>
        <v>5596429.0467769997</v>
      </c>
      <c r="AO65" s="34" cm="1">
        <f t="array" aca="1" ref="AO65" ca="1">INDIRECT("'"&amp;$B32&amp;"'!"&amp;(F$5&amp;$P$14))</f>
        <v>421.88012199999997</v>
      </c>
      <c r="AP65" s="21">
        <f t="shared" ca="1" si="73"/>
        <v>3.8633509952401986E-3</v>
      </c>
      <c r="AQ65" s="21" cm="1">
        <f t="array" aca="1" ref="AQ65" ca="1">INDIRECT("'"&amp;AK65&amp;"'!"&amp;$H$5&amp;$P$14)+0.01</f>
        <v>2.5266999999999998E-2</v>
      </c>
      <c r="AR65" s="23">
        <f t="shared" ca="1" si="74"/>
        <v>-2.0647000000053595E-2</v>
      </c>
      <c r="AS65" s="7">
        <f t="shared" ca="1" si="75"/>
        <v>2.100533479653768E-2</v>
      </c>
      <c r="AT65" s="7">
        <f t="shared" ca="1" si="71"/>
        <v>7.9864033341002644E-2</v>
      </c>
      <c r="AU65" s="23">
        <f t="shared" ca="1" si="76"/>
        <v>0.28040168211994487</v>
      </c>
      <c r="AV65" s="23">
        <f t="shared" ca="1" si="77"/>
        <v>-2.2423750000029941E-2</v>
      </c>
      <c r="BK65" s="21" t="s">
        <v>377</v>
      </c>
      <c r="BL65" s="1">
        <v>42814</v>
      </c>
      <c r="BM65" s="34" cm="1">
        <f t="array" aca="1" ref="BM65" ca="1">INDIRECT("'"&amp;$B32&amp;"'!"&amp;(D$5&amp;$P$24))</f>
        <v>1844385.4765369999</v>
      </c>
      <c r="BN65" s="34" cm="1">
        <f t="array" aca="1" ref="BN65" ca="1">INDIRECT("'"&amp;$B32&amp;"'!"&amp;(E$5&amp;$P$24))</f>
        <v>5595880.8196630003</v>
      </c>
      <c r="BO65" s="34" cm="1">
        <f t="array" aca="1" ref="BO65" ca="1">INDIRECT("'"&amp;$B32&amp;"'!"&amp;(F$5&amp;$P$24))</f>
        <v>383.05090300000001</v>
      </c>
      <c r="BP65" s="7">
        <f t="shared" ca="1" si="78"/>
        <v>0.36982176430212116</v>
      </c>
      <c r="BQ65" s="7" cm="1">
        <f t="array" aca="1" ref="BQ65" ca="1">INDIRECT("'"&amp;BK65&amp;"'!"&amp;$H$5&amp;$P$24)+0.01</f>
        <v>3.2266999999999997E-2</v>
      </c>
      <c r="BR65" s="23">
        <f t="shared" ca="1" si="79"/>
        <v>-0.10763300000002118</v>
      </c>
      <c r="BS65" s="7">
        <f t="shared" ca="1" si="80"/>
        <v>0.38516619794646856</v>
      </c>
      <c r="BT65" s="7">
        <f t="shared" ca="1" si="72"/>
        <v>0.12437658475354715</v>
      </c>
      <c r="BU65" s="23">
        <f t="shared" ca="1" si="81"/>
        <v>3.4437394279202134</v>
      </c>
      <c r="BV65" s="23">
        <f t="shared" ca="1" si="82"/>
        <v>-0.73364275000000134</v>
      </c>
    </row>
    <row r="66" spans="3:74" x14ac:dyDescent="0.3">
      <c r="C66" s="46">
        <v>42446</v>
      </c>
      <c r="D66" s="23">
        <f t="shared" ca="1" si="55"/>
        <v>9.3236085621265202E-2</v>
      </c>
      <c r="E66" s="23">
        <f t="shared" ca="1" si="56"/>
        <v>0.13386914980335121</v>
      </c>
      <c r="F66" s="23">
        <f t="shared" ca="1" si="69"/>
        <v>0.10385325337930167</v>
      </c>
      <c r="G66" s="23">
        <f t="shared" ca="1" si="57"/>
        <v>0.12030688294532343</v>
      </c>
      <c r="H66" s="23">
        <f t="shared" ca="1" si="58"/>
        <v>0.13104676520314751</v>
      </c>
      <c r="I66" s="23">
        <f t="shared" ca="1" si="59"/>
        <v>0.19482277981151844</v>
      </c>
      <c r="J66" s="23">
        <f t="shared" ca="1" si="60"/>
        <v>3.2497814463423105E-2</v>
      </c>
      <c r="K66" s="23">
        <f t="shared" ca="1" si="61"/>
        <v>3.7687289040181662E-2</v>
      </c>
      <c r="L66" s="23">
        <f ca="1">AU182</f>
        <v>0.12246778495955599</v>
      </c>
      <c r="N66" s="46">
        <v>42446</v>
      </c>
      <c r="O66" s="23">
        <f t="shared" ca="1" si="62"/>
        <v>0.17899567225780968</v>
      </c>
      <c r="P66" s="23">
        <f t="shared" ca="1" si="63"/>
        <v>0.20374582874293393</v>
      </c>
      <c r="Q66" s="23">
        <f t="shared" ca="1" si="70"/>
        <v>0.22881564718812536</v>
      </c>
      <c r="R66" s="23">
        <f t="shared" ca="1" si="64"/>
        <v>9.6782515627120688E-2</v>
      </c>
      <c r="S66" s="23">
        <f t="shared" ca="1" si="65"/>
        <v>0.14973305966720515</v>
      </c>
      <c r="T66" s="23">
        <f t="shared" ca="1" si="66"/>
        <v>0.14181704387961439</v>
      </c>
      <c r="U66" s="23">
        <f t="shared" ca="1" si="67"/>
        <v>0.11744259682326172</v>
      </c>
      <c r="V66" s="23">
        <f t="shared" ca="1" si="68"/>
        <v>0.1361966386105575</v>
      </c>
      <c r="W66" s="23">
        <f ca="1">AT182</f>
        <v>0.11932783639823717</v>
      </c>
      <c r="AJ66" s="31" t="s">
        <v>378</v>
      </c>
      <c r="AK66" t="s">
        <v>378</v>
      </c>
      <c r="AL66" s="1">
        <v>42718</v>
      </c>
      <c r="AM66" s="34" cm="1">
        <f t="array" aca="1" ref="AM66" ca="1">INDIRECT("'"&amp;$B33&amp;"'!"&amp;(D$5&amp;$P$14))</f>
        <v>1844444.4472089999</v>
      </c>
      <c r="AN66" s="34" cm="1">
        <f t="array" aca="1" ref="AN66" ca="1">INDIRECT("'"&amp;$B33&amp;"'!"&amp;(E$5&amp;$P$14))</f>
        <v>5596429.0500919996</v>
      </c>
      <c r="AO66" s="34" cm="1">
        <f t="array" aca="1" ref="AO66" ca="1">INDIRECT("'"&amp;$B33&amp;"'!"&amp;(F$5&amp;$P$14))</f>
        <v>421.90076900000003</v>
      </c>
      <c r="AP66" s="21">
        <f t="shared" ca="1" si="73"/>
        <v>4.3678531368796798E-2</v>
      </c>
      <c r="AQ66" s="21" cm="1">
        <f t="array" aca="1" ref="AQ66" ca="1">INDIRECT("'"&amp;AK66&amp;"'!"&amp;$H$5&amp;$P$14)+0.01</f>
        <v>3.9609999999999999E-2</v>
      </c>
      <c r="AR66" s="23">
        <f t="shared" ca="1" si="74"/>
        <v>2.6616999999987456E-2</v>
      </c>
      <c r="AS66" s="7">
        <f t="shared" ca="1" si="75"/>
        <v>5.1149572740486288E-2</v>
      </c>
      <c r="AT66" s="7">
        <f t="shared" ca="1" si="71"/>
        <v>0.3590306548130287</v>
      </c>
      <c r="AU66" s="23">
        <f t="shared" ca="1" si="76"/>
        <v>0.25939634732340722</v>
      </c>
      <c r="AV66" s="23">
        <f t="shared" ca="1" si="77"/>
        <v>-1.7767499999763459E-3</v>
      </c>
      <c r="BK66" s="21" t="s">
        <v>378</v>
      </c>
      <c r="BL66" s="1">
        <v>42718</v>
      </c>
      <c r="BM66" s="34" cm="1">
        <f t="array" aca="1" ref="BM66" ca="1">INDIRECT("'"&amp;$B33&amp;"'!"&amp;(D$5&amp;$P$24))</f>
        <v>1844385.3880189999</v>
      </c>
      <c r="BN66" s="34" cm="1">
        <f t="array" aca="1" ref="BN66" ca="1">INDIRECT("'"&amp;$B33&amp;"'!"&amp;(E$5&amp;$P$24))</f>
        <v>5595881.1787350001</v>
      </c>
      <c r="BO66" s="34" cm="1">
        <f t="array" aca="1" ref="BO66" ca="1">INDIRECT("'"&amp;$B33&amp;"'!"&amp;(F$5&amp;$P$24))</f>
        <v>383.15853600000003</v>
      </c>
      <c r="BP66" s="7">
        <f t="shared" ca="1" si="78"/>
        <v>0.39891275102506485</v>
      </c>
      <c r="BQ66" s="7" cm="1">
        <f t="array" aca="1" ref="BQ66" ca="1">INDIRECT("'"&amp;BK66&amp;"'!"&amp;$H$5&amp;$P$24)+0.01</f>
        <v>3.1373999999999999E-2</v>
      </c>
      <c r="BR66" s="23">
        <f t="shared" ca="1" si="79"/>
        <v>-0.13088899999996784</v>
      </c>
      <c r="BS66" s="7">
        <f t="shared" ca="1" si="80"/>
        <v>0.41983724614590467</v>
      </c>
      <c r="BT66" s="7">
        <f t="shared" ca="1" si="72"/>
        <v>0.25028758904852011</v>
      </c>
      <c r="BU66" s="23">
        <f t="shared" ca="1" si="81"/>
        <v>3.0585732299737449</v>
      </c>
      <c r="BV66" s="23">
        <f t="shared" ca="1" si="82"/>
        <v>-0.62600974999998016</v>
      </c>
    </row>
    <row r="67" spans="3:74" x14ac:dyDescent="0.3">
      <c r="C67" s="46">
        <v>42345</v>
      </c>
      <c r="D67" s="23">
        <f t="shared" ca="1" si="55"/>
        <v>4.3705776311569917E-2</v>
      </c>
      <c r="E67" s="23">
        <f t="shared" ca="1" si="56"/>
        <v>7.749016705530648E-2</v>
      </c>
      <c r="F67" s="23">
        <f t="shared" ca="1" si="69"/>
        <v>4.0537142787519034E-2</v>
      </c>
      <c r="G67" s="23">
        <f t="shared" ca="1" si="57"/>
        <v>9.3525967662202364E-2</v>
      </c>
      <c r="H67" s="23">
        <f t="shared" ca="1" si="58"/>
        <v>8.9613781569208545E-2</v>
      </c>
      <c r="I67" s="23">
        <f t="shared" ca="1" si="59"/>
        <v>0.15558025534072104</v>
      </c>
      <c r="J67" s="23">
        <v>0</v>
      </c>
      <c r="K67" s="23">
        <v>0</v>
      </c>
      <c r="L67" s="23">
        <f ca="1">AU183</f>
        <v>8.9448301463057489E-2</v>
      </c>
      <c r="N67" s="46">
        <v>42345</v>
      </c>
      <c r="O67" s="23">
        <f t="shared" ca="1" si="62"/>
        <v>0.23459718167239735</v>
      </c>
      <c r="P67" s="23">
        <f t="shared" ca="1" si="63"/>
        <v>0.26430977236065845</v>
      </c>
      <c r="Q67" s="23">
        <f t="shared" ca="1" si="70"/>
        <v>0.21758907525653598</v>
      </c>
      <c r="R67" s="23">
        <f t="shared" ca="1" si="64"/>
        <v>0.14499523168189549</v>
      </c>
      <c r="S67" s="23">
        <f t="shared" ca="1" si="65"/>
        <v>9.8403178897886009E-2</v>
      </c>
      <c r="T67" s="23">
        <f t="shared" ca="1" si="66"/>
        <v>0.39032952057557069</v>
      </c>
      <c r="U67" s="23"/>
      <c r="V67" s="23"/>
      <c r="W67" s="23">
        <f ca="1">AT183</f>
        <v>0.18898462497971458</v>
      </c>
      <c r="AJ67" s="31" t="s">
        <v>379</v>
      </c>
      <c r="AK67" t="s">
        <v>379</v>
      </c>
      <c r="AL67" s="1">
        <v>42666</v>
      </c>
      <c r="AM67" s="34" cm="1">
        <f t="array" aca="1" ref="AM67" ca="1">INDIRECT("'"&amp;$B34&amp;"'!"&amp;(D$5&amp;$P$14))</f>
        <v>1844444.433523</v>
      </c>
      <c r="AN67" s="34" cm="1">
        <f t="array" aca="1" ref="AN67" ca="1">INDIRECT("'"&amp;$B34&amp;"'!"&amp;(E$5&amp;$P$14))</f>
        <v>5596429.0915710004</v>
      </c>
      <c r="AO67" s="34" cm="1">
        <f t="array" aca="1" ref="AO67" ca="1">INDIRECT("'"&amp;$B34&amp;"'!"&amp;(F$5&amp;$P$14))</f>
        <v>421.87415200000004</v>
      </c>
      <c r="AP67" s="21">
        <f t="shared" ca="1" si="73"/>
        <v>6.4160343297626279E-2</v>
      </c>
      <c r="AQ67" s="21" cm="1">
        <f t="array" aca="1" ref="AQ67" ca="1">INDIRECT("'"&amp;AK67&amp;"'!"&amp;$H$5&amp;$P$14)+0.01</f>
        <v>3.4242000000000002E-2</v>
      </c>
      <c r="AR67" s="23">
        <f t="shared" ca="1" si="74"/>
        <v>-8.0029999999737811E-3</v>
      </c>
      <c r="AS67" s="7">
        <f t="shared" ca="1" si="75"/>
        <v>6.4657541409095021E-2</v>
      </c>
      <c r="AT67" s="7">
        <f t="shared" ca="1" si="71"/>
        <v>0.22692310206076619</v>
      </c>
      <c r="AU67" s="23">
        <f t="shared" ca="1" si="76"/>
        <v>0.2082467745829209</v>
      </c>
      <c r="AV67" s="23">
        <f t="shared" ca="1" si="77"/>
        <v>-2.8393749999963802E-2</v>
      </c>
      <c r="BK67" s="21" t="s">
        <v>379</v>
      </c>
      <c r="BL67" s="1">
        <v>42666</v>
      </c>
      <c r="BM67" s="34" cm="1">
        <f t="array" aca="1" ref="BM67" ca="1">INDIRECT("'"&amp;$B34&amp;"'!"&amp;(D$5&amp;$P$24))</f>
        <v>1844385.313966</v>
      </c>
      <c r="BN67" s="34" cm="1">
        <f t="array" aca="1" ref="BN67" ca="1">INDIRECT("'"&amp;$B34&amp;"'!"&amp;(E$5&amp;$P$24))</f>
        <v>5595881.5707139997</v>
      </c>
      <c r="BO67" s="34" cm="1">
        <f t="array" aca="1" ref="BO67" ca="1">INDIRECT("'"&amp;$B34&amp;"'!"&amp;(F$5&amp;$P$24))</f>
        <v>383.28942499999999</v>
      </c>
      <c r="BP67" s="7">
        <f t="shared" ca="1" si="78"/>
        <v>0.97387638197189696</v>
      </c>
      <c r="BQ67" s="7" cm="1">
        <f t="array" aca="1" ref="BQ67" ca="1">INDIRECT("'"&amp;BK67&amp;"'!"&amp;$H$5&amp;$P$24)+0.01</f>
        <v>5.0748000000000001E-2</v>
      </c>
      <c r="BR67" s="23">
        <f t="shared" ca="1" si="79"/>
        <v>-0.23110900000000356</v>
      </c>
      <c r="BS67" s="7">
        <f t="shared" ca="1" si="80"/>
        <v>1.0009228627839779</v>
      </c>
      <c r="BT67" s="7">
        <f t="shared" ca="1" si="72"/>
        <v>0.29835200717599342</v>
      </c>
      <c r="BU67" s="23">
        <f t="shared" ca="1" si="81"/>
        <v>2.6387359838278401</v>
      </c>
      <c r="BV67" s="23">
        <f t="shared" ca="1" si="82"/>
        <v>-0.49512075000001232</v>
      </c>
    </row>
    <row r="68" spans="3:74" x14ac:dyDescent="0.3">
      <c r="C68" s="46">
        <v>42277</v>
      </c>
      <c r="D68" s="23">
        <v>0</v>
      </c>
      <c r="E68" s="23">
        <f t="shared" ca="1" si="56"/>
        <v>2.8248894396334503E-2</v>
      </c>
      <c r="F68" s="23">
        <v>0</v>
      </c>
      <c r="G68" s="23">
        <f t="shared" ca="1" si="57"/>
        <v>6.6513157376260193E-2</v>
      </c>
      <c r="H68" s="23">
        <f t="shared" ca="1" si="58"/>
        <v>7.1281134541657187E-2</v>
      </c>
      <c r="I68" s="23">
        <f t="shared" ca="1" si="59"/>
        <v>8.2861330959518822E-2</v>
      </c>
      <c r="J68" s="23"/>
      <c r="K68" s="23"/>
      <c r="L68" s="23">
        <f ca="1">AU184</f>
        <v>5.4240206946288741E-2</v>
      </c>
      <c r="N68" s="46">
        <v>42277</v>
      </c>
      <c r="O68" s="23"/>
      <c r="P68" s="23">
        <f t="shared" ca="1" si="63"/>
        <v>0.11585220735575386</v>
      </c>
      <c r="Q68" s="23"/>
      <c r="R68" s="23">
        <f t="shared" ca="1" si="64"/>
        <v>0.27277867912735926</v>
      </c>
      <c r="S68" s="23">
        <f t="shared" ca="1" si="65"/>
        <v>0.29233274278320082</v>
      </c>
      <c r="T68" s="23">
        <f t="shared" ca="1" si="66"/>
        <v>0.33982455955308283</v>
      </c>
      <c r="U68" s="23"/>
      <c r="V68" s="23"/>
      <c r="W68" s="23">
        <f ca="1">AT184</f>
        <v>0.22244579253253247</v>
      </c>
      <c r="AJ68" s="31" t="s">
        <v>380</v>
      </c>
      <c r="AK68" t="s">
        <v>380</v>
      </c>
      <c r="AL68" s="1">
        <v>42562</v>
      </c>
      <c r="AM68" s="34" cm="1">
        <f t="array" aca="1" ref="AM68" ca="1">INDIRECT("'"&amp;$B35&amp;"'!"&amp;(D$5&amp;$P$14))</f>
        <v>1844444.4356219999</v>
      </c>
      <c r="AN68" s="34" cm="1">
        <f t="array" aca="1" ref="AN68" ca="1">INDIRECT("'"&amp;$B35&amp;"'!"&amp;(E$5&amp;$P$14))</f>
        <v>5596429.1556970002</v>
      </c>
      <c r="AO68" s="34" cm="1">
        <f t="array" aca="1" ref="AO68" ca="1">INDIRECT("'"&amp;$B35&amp;"'!"&amp;(F$5&amp;$P$14))</f>
        <v>421.88215500000001</v>
      </c>
      <c r="AP68" s="21">
        <f t="shared" ca="1" si="73"/>
        <v>2.0776309154910095E-2</v>
      </c>
      <c r="AQ68" s="21" cm="1">
        <f t="array" aca="1" ref="AQ68" ca="1">INDIRECT("'"&amp;AK68&amp;"'!"&amp;$H$5&amp;$P$14)+0.01</f>
        <v>2.8145999999999997E-2</v>
      </c>
      <c r="AR68" s="23">
        <f t="shared" ca="1" si="74"/>
        <v>-1.0507749999987936E-2</v>
      </c>
      <c r="AS68" s="7">
        <f t="shared" ca="1" si="75"/>
        <v>2.3282350228502439E-2</v>
      </c>
      <c r="AT68" s="7">
        <f t="shared" ca="1" si="71"/>
        <v>7.32591192534775E-2</v>
      </c>
      <c r="AU68" s="23">
        <f t="shared" ca="1" si="76"/>
        <v>0.14358923317382588</v>
      </c>
      <c r="AV68" s="23">
        <f t="shared" ca="1" si="77"/>
        <v>-2.0390749999990021E-2</v>
      </c>
      <c r="BK68" s="21" t="s">
        <v>380</v>
      </c>
      <c r="BL68" s="1">
        <v>42562</v>
      </c>
      <c r="BM68" s="34" cm="1">
        <f t="array" aca="1" ref="BM68" ca="1">INDIRECT("'"&amp;$B35&amp;"'!"&amp;(D$5&amp;$P$24))</f>
        <v>1844385.159211</v>
      </c>
      <c r="BN68" s="34" cm="1">
        <f t="array" aca="1" ref="BN68" ca="1">INDIRECT("'"&amp;$B35&amp;"'!"&amp;(E$5&amp;$P$24))</f>
        <v>5595882.5322160004</v>
      </c>
      <c r="BO68" s="34" cm="1">
        <f t="array" aca="1" ref="BO68" ca="1">INDIRECT("'"&amp;$B35&amp;"'!"&amp;(F$5&amp;$P$24))</f>
        <v>383.520534</v>
      </c>
      <c r="BP68" s="7">
        <f t="shared" ca="1" si="78"/>
        <v>0.36696080122147151</v>
      </c>
      <c r="BQ68" s="7" cm="1">
        <f t="array" aca="1" ref="BQ68" ca="1">INDIRECT("'"&amp;BK68&amp;"'!"&amp;$H$5&amp;$P$24)+0.01</f>
        <v>5.1277000000000003E-2</v>
      </c>
      <c r="BR68" s="23">
        <f t="shared" ca="1" si="79"/>
        <v>-8.9447500000119362E-3</v>
      </c>
      <c r="BS68" s="7">
        <f t="shared" ca="1" si="80"/>
        <v>0.3670698001547758</v>
      </c>
      <c r="BT68" s="7">
        <f t="shared" ca="1" si="72"/>
        <v>9.8096239696534915E-2</v>
      </c>
      <c r="BU68" s="23">
        <f t="shared" ca="1" si="81"/>
        <v>1.6378131210438625</v>
      </c>
      <c r="BV68" s="23">
        <f t="shared" ca="1" si="82"/>
        <v>-0.26401175000000876</v>
      </c>
    </row>
    <row r="69" spans="3:74" x14ac:dyDescent="0.3">
      <c r="C69" s="46">
        <v>42188</v>
      </c>
      <c r="D69" s="23"/>
      <c r="E69" s="23">
        <v>0</v>
      </c>
      <c r="F69" s="23"/>
      <c r="G69" s="23">
        <v>0</v>
      </c>
      <c r="H69" s="23">
        <v>0</v>
      </c>
      <c r="I69" s="23">
        <v>0</v>
      </c>
      <c r="J69" s="23"/>
      <c r="K69" s="23"/>
      <c r="L69" s="23">
        <v>0</v>
      </c>
      <c r="N69" s="46">
        <v>42188</v>
      </c>
      <c r="O69" s="23"/>
      <c r="P69" s="23"/>
      <c r="Q69" s="23"/>
      <c r="R69" s="23"/>
      <c r="S69" s="23"/>
      <c r="T69" s="23"/>
      <c r="U69" s="23"/>
      <c r="V69" s="23"/>
      <c r="W69" s="23"/>
      <c r="AJ69" s="31" t="s">
        <v>381</v>
      </c>
      <c r="AK69" t="s">
        <v>381</v>
      </c>
      <c r="AL69" s="1">
        <v>42446</v>
      </c>
      <c r="AM69" s="34" cm="1">
        <f t="array" aca="1" ref="AM69" ca="1">INDIRECT("'"&amp;$B36&amp;"'!"&amp;(D$5&amp;$P$14))</f>
        <v>1844444.4506220003</v>
      </c>
      <c r="AN69" s="34" cm="1">
        <f t="array" aca="1" ref="AN69" ca="1">INDIRECT("'"&amp;$B36&amp;"'!"&amp;(E$5&amp;$P$14))</f>
        <v>5596429.1700725006</v>
      </c>
      <c r="AO69" s="34" cm="1">
        <f t="array" aca="1" ref="AO69" ca="1">INDIRECT("'"&amp;$B36&amp;"'!"&amp;(F$5&amp;$P$14))</f>
        <v>421.89266275</v>
      </c>
      <c r="AP69" s="21">
        <f t="shared" ca="1" si="73"/>
        <v>1.2064544465038555E-2</v>
      </c>
      <c r="AQ69" s="21" cm="1">
        <f t="array" aca="1" ref="AQ69" ca="1">INDIRECT("'"&amp;AK69&amp;"'!"&amp;$H$5&amp;$P$14)+0.01</f>
        <v>2.2059000000000002E-2</v>
      </c>
      <c r="AR69" s="23">
        <f t="shared" ca="1" si="74"/>
        <v>-2.390950000005887E-2</v>
      </c>
      <c r="AS69" s="7">
        <f t="shared" ca="1" si="75"/>
        <v>2.6780915283121067E-2</v>
      </c>
      <c r="AT69" s="7">
        <f t="shared" ca="1" si="71"/>
        <v>9.6782515627120688E-2</v>
      </c>
      <c r="AU69" s="23">
        <f t="shared" ca="1" si="76"/>
        <v>0.12030688294532343</v>
      </c>
      <c r="AV69" s="23">
        <f t="shared" ca="1" si="77"/>
        <v>-9.8830000000020846E-3</v>
      </c>
      <c r="BK69" s="21" t="s">
        <v>381</v>
      </c>
      <c r="BL69" s="1">
        <v>42446</v>
      </c>
      <c r="BM69" s="34" cm="1">
        <f t="array" aca="1" ref="BM69" ca="1">INDIRECT("'"&amp;$B36&amp;"'!"&amp;(D$5&amp;$P$24))</f>
        <v>1844385.0415570003</v>
      </c>
      <c r="BN69" s="34" cm="1">
        <f t="array" aca="1" ref="BN69" ca="1">INDIRECT("'"&amp;$B36&amp;"'!"&amp;(E$5&amp;$P$24))</f>
        <v>5595882.8798045013</v>
      </c>
      <c r="BO69" s="34" cm="1">
        <f t="array" aca="1" ref="BO69" ca="1">INDIRECT("'"&amp;$B36&amp;"'!"&amp;(F$5&amp;$P$24))</f>
        <v>383.52947875000001</v>
      </c>
      <c r="BP69" s="7">
        <f t="shared" ca="1" si="78"/>
        <v>0.33126740451666886</v>
      </c>
      <c r="BQ69" s="7" cm="1">
        <f t="array" aca="1" ref="BQ69" ca="1">INDIRECT("'"&amp;BK69&amp;"'!"&amp;$H$5&amp;$P$24)+0.01</f>
        <v>2.7366000000000001E-2</v>
      </c>
      <c r="BR69" s="23">
        <f t="shared" ca="1" si="79"/>
        <v>-6.8093500000031781E-2</v>
      </c>
      <c r="BS69" s="7">
        <f t="shared" ca="1" si="80"/>
        <v>0.33819346244045678</v>
      </c>
      <c r="BT69" s="7">
        <f t="shared" ca="1" si="72"/>
        <v>0.10380195381835802</v>
      </c>
      <c r="BU69" s="23">
        <f t="shared" ca="1" si="81"/>
        <v>1.2707433208890866</v>
      </c>
      <c r="BV69" s="23">
        <f t="shared" ca="1" si="82"/>
        <v>-0.25506699999999682</v>
      </c>
    </row>
    <row r="70" spans="3:74" x14ac:dyDescent="0.3">
      <c r="N70" t="s">
        <v>667</v>
      </c>
      <c r="O70" s="4">
        <f ca="1">O60/O59</f>
        <v>1.6870055499308374</v>
      </c>
      <c r="P70" s="4">
        <f t="shared" ref="P70:V70" ca="1" si="83">P60/P59</f>
        <v>2.3296983741189292</v>
      </c>
      <c r="Q70" s="4"/>
      <c r="R70" s="4">
        <f t="shared" ca="1" si="83"/>
        <v>2.9440908835635153</v>
      </c>
      <c r="S70" s="4">
        <f t="shared" ca="1" si="83"/>
        <v>2.042936178453592</v>
      </c>
      <c r="T70" s="4">
        <f t="shared" ca="1" si="83"/>
        <v>0.80202921832768437</v>
      </c>
      <c r="U70" s="4">
        <f t="shared" ca="1" si="83"/>
        <v>1.98600759287152</v>
      </c>
      <c r="V70" s="4">
        <f t="shared" ca="1" si="83"/>
        <v>2.5857559207822378</v>
      </c>
      <c r="W70" s="4"/>
      <c r="AJ70" s="31" t="s">
        <v>382</v>
      </c>
      <c r="AK70" t="s">
        <v>382</v>
      </c>
      <c r="AL70" s="1">
        <v>42345</v>
      </c>
      <c r="AM70" s="34" cm="1">
        <f t="array" aca="1" ref="AM70" ca="1">INDIRECT("'"&amp;$B37&amp;"'!"&amp;(D$5&amp;$P$14))</f>
        <v>1844444.456696</v>
      </c>
      <c r="AN70" s="34" cm="1">
        <f t="array" aca="1" ref="AN70" ca="1">INDIRECT("'"&amp;$B37&amp;"'!"&amp;(E$5&amp;$P$14))</f>
        <v>5596429.1804964999</v>
      </c>
      <c r="AO70" s="34" cm="1">
        <f t="array" aca="1" ref="AO70" ca="1">INDIRECT("'"&amp;$B37&amp;"'!"&amp;(F$5&amp;$P$14))</f>
        <v>421.91657225000006</v>
      </c>
      <c r="AP70" s="21">
        <f t="shared" ca="1" si="73"/>
        <v>2.1744958433903179E-2</v>
      </c>
      <c r="AQ70" s="21" cm="1">
        <f t="array" aca="1" ref="AQ70" ca="1">INDIRECT("'"&amp;AK70&amp;"'!"&amp;$H$5&amp;$P$14)+0.01</f>
        <v>1.8000000000000002E-2</v>
      </c>
      <c r="AR70" s="23">
        <f t="shared" ca="1" si="74"/>
        <v>1.6026500000066335E-2</v>
      </c>
      <c r="AS70" s="7">
        <f t="shared" ca="1" si="75"/>
        <v>2.7012810285942174E-2</v>
      </c>
      <c r="AT70" s="7">
        <f t="shared" ca="1" si="71"/>
        <v>0.14499523168189549</v>
      </c>
      <c r="AU70" s="23">
        <f t="shared" ca="1" si="76"/>
        <v>9.3525967662202364E-2</v>
      </c>
      <c r="AV70" s="23">
        <f t="shared" ca="1" si="77"/>
        <v>1.4026500000056785E-2</v>
      </c>
      <c r="BK70" s="21" t="s">
        <v>382</v>
      </c>
      <c r="BL70" s="1">
        <v>42345</v>
      </c>
      <c r="BM70" s="34" cm="1">
        <f t="array" aca="1" ref="BM70" ca="1">INDIRECT("'"&amp;$B37&amp;"'!"&amp;(D$5&amp;$P$24))</f>
        <v>1844384.9476960001</v>
      </c>
      <c r="BN70" s="34" cm="1">
        <f t="array" aca="1" ref="BN70" ca="1">INDIRECT("'"&amp;$B37&amp;"'!"&amp;(E$5&amp;$P$24))</f>
        <v>5595883.1974964999</v>
      </c>
      <c r="BO70" s="34" cm="1">
        <f t="array" aca="1" ref="BO70" ca="1">INDIRECT("'"&amp;$B37&amp;"'!"&amp;(F$5&amp;$P$24))</f>
        <v>383.59757225000004</v>
      </c>
      <c r="BP70" s="7">
        <f t="shared" ca="1" si="78"/>
        <v>0.3251543996328749</v>
      </c>
      <c r="BQ70" s="7" cm="1">
        <f t="array" aca="1" ref="BQ70" ca="1">INDIRECT("'"&amp;BK70&amp;"'!"&amp;$H$5&amp;$P$24)+0.01</f>
        <v>1.4999999999999999E-2</v>
      </c>
      <c r="BR70" s="23">
        <f t="shared" ca="1" si="79"/>
        <v>-6.2973499999941396E-2</v>
      </c>
      <c r="BS70" s="7">
        <f t="shared" ca="1" si="80"/>
        <v>0.33119638479738561</v>
      </c>
      <c r="BT70" s="7">
        <f t="shared" ca="1" si="72"/>
        <v>0.15098658718704344</v>
      </c>
      <c r="BU70" s="23">
        <f t="shared" ca="1" si="81"/>
        <v>0.93254985844862981</v>
      </c>
      <c r="BV70" s="23">
        <f t="shared" ca="1" si="82"/>
        <v>-0.18697349999996504</v>
      </c>
    </row>
    <row r="71" spans="3:74" x14ac:dyDescent="0.3">
      <c r="D71" s="23">
        <f t="shared" ref="D71:D81" ca="1" si="84">AQ10</f>
        <v>2.3784E-2</v>
      </c>
      <c r="E71" s="23">
        <f t="shared" ref="E71:E82" ca="1" si="85">AQ26</f>
        <v>2.6347000000000002E-2</v>
      </c>
      <c r="F71" s="23">
        <f ca="1">AQ44</f>
        <v>2.5562000000000001E-2</v>
      </c>
      <c r="G71" s="23">
        <f t="shared" ref="G71:G82" ca="1" si="86">AQ60</f>
        <v>1.9675999999999999E-2</v>
      </c>
      <c r="H71" s="23">
        <f ca="1">AQ77</f>
        <v>2.1310000000000003E-2</v>
      </c>
      <c r="I71" s="23">
        <f t="shared" ref="I71:I82" ca="1" si="87">AQ93</f>
        <v>2.1860999999999998E-2</v>
      </c>
      <c r="J71" s="23">
        <f t="shared" ref="J71:J80" ca="1" si="88">AQ109</f>
        <v>2.2630999999999998E-2</v>
      </c>
      <c r="K71" s="23">
        <f t="shared" ref="K71:K80" ca="1" si="89">AQ189</f>
        <v>2.5617000000000001E-2</v>
      </c>
      <c r="L71" s="23">
        <f ca="1">AQ173</f>
        <v>2.5233999999999999E-2</v>
      </c>
      <c r="N71" t="s">
        <v>665</v>
      </c>
      <c r="O71" s="54">
        <f ca="1">O63/O62</f>
        <v>3.1170080477148288</v>
      </c>
      <c r="P71" s="54">
        <f t="shared" ref="P71:V71" ca="1" si="90">P63/P62</f>
        <v>2.5623007020747868</v>
      </c>
      <c r="Q71" s="54">
        <f t="shared" ca="1" si="90"/>
        <v>2.2028100968645719</v>
      </c>
      <c r="R71" s="54">
        <f t="shared" ca="1" si="90"/>
        <v>4.4955237018902272</v>
      </c>
      <c r="S71" s="54">
        <f t="shared" ca="1" si="90"/>
        <v>3.8904370013900844</v>
      </c>
      <c r="T71" s="54">
        <f t="shared" ca="1" si="90"/>
        <v>5.7001585040809584</v>
      </c>
      <c r="U71" s="54">
        <f t="shared" ca="1" si="90"/>
        <v>2.8532456066885876</v>
      </c>
      <c r="V71" s="54">
        <f t="shared" ca="1" si="90"/>
        <v>2.8456080520409541</v>
      </c>
      <c r="W71" s="4"/>
      <c r="AJ71" s="31" t="s">
        <v>383</v>
      </c>
      <c r="AK71" t="s">
        <v>383</v>
      </c>
      <c r="AL71" s="1">
        <v>42277</v>
      </c>
      <c r="AM71" s="34" cm="1">
        <f t="array" aca="1" ref="AM71" ca="1">INDIRECT("'"&amp;$B38&amp;"'!"&amp;(D$5&amp;$P$14))</f>
        <v>1844444.4448300002</v>
      </c>
      <c r="AN71" s="34" cm="1">
        <f t="array" aca="1" ref="AN71" ca="1">INDIRECT("'"&amp;$B38&amp;"'!"&amp;(E$5&amp;$P$14))</f>
        <v>5596429.1622745004</v>
      </c>
      <c r="AO71" s="34" cm="1">
        <f t="array" aca="1" ref="AO71" ca="1">INDIRECT("'"&amp;$B38&amp;"'!"&amp;(F$5&amp;$P$14))</f>
        <v>421.90054574999999</v>
      </c>
      <c r="AP71" s="21">
        <f t="shared" ca="1" si="73"/>
        <v>6.6483081337729205E-2</v>
      </c>
      <c r="AQ71" s="21" cm="1">
        <f t="array" aca="1" ref="AQ71" ca="1">INDIRECT("'"&amp;AK71&amp;"'!"&amp;$H$5&amp;$P$14)+0.01</f>
        <v>1.6E-2</v>
      </c>
      <c r="AR71" s="23">
        <f t="shared" ca="1" si="74"/>
        <v>-2.0000000000095497E-3</v>
      </c>
      <c r="AS71" s="7">
        <f t="shared" ca="1" si="75"/>
        <v>6.6513157376260193E-2</v>
      </c>
      <c r="AT71" s="7">
        <f t="shared" ca="1" si="71"/>
        <v>0.27277867912735926</v>
      </c>
      <c r="AU71" s="23">
        <f t="shared" ca="1" si="76"/>
        <v>6.6513157376260193E-2</v>
      </c>
      <c r="AV71" s="23">
        <f t="shared" ca="1" si="77"/>
        <v>-2.0000000000095497E-3</v>
      </c>
      <c r="BK71" s="21" t="s">
        <v>383</v>
      </c>
      <c r="BL71" s="1">
        <v>42277</v>
      </c>
      <c r="BM71" s="34" cm="1">
        <f t="array" aca="1" ref="BM71" ca="1">INDIRECT("'"&amp;$B38&amp;"'!"&amp;(D$5&amp;$P$24))</f>
        <v>1844384.8788300003</v>
      </c>
      <c r="BN71" s="34" cm="1">
        <f t="array" aca="1" ref="BN71" ca="1">INDIRECT("'"&amp;$B38&amp;"'!"&amp;(E$5&amp;$P$24))</f>
        <v>5595883.5152745005</v>
      </c>
      <c r="BO71" s="34" cm="1">
        <f t="array" aca="1" ref="BO71" ca="1">INDIRECT("'"&amp;$B38&amp;"'!"&amp;(F$5&amp;$P$24))</f>
        <v>383.66054574999998</v>
      </c>
      <c r="BP71" s="7">
        <f t="shared" ca="1" si="78"/>
        <v>0.58843011502846443</v>
      </c>
      <c r="BQ71" s="7" cm="1">
        <f t="array" aca="1" ref="BQ71" ca="1">INDIRECT("'"&amp;BK71&amp;"'!"&amp;$H$5&amp;$P$24)+0.01</f>
        <v>1.7000000000000001E-2</v>
      </c>
      <c r="BR71" s="23">
        <f t="shared" ca="1" si="79"/>
        <v>-0.12400000000002365</v>
      </c>
      <c r="BS71" s="7">
        <f t="shared" ca="1" si="80"/>
        <v>0.60135347365124425</v>
      </c>
      <c r="BT71" s="7">
        <f t="shared" ca="1" si="72"/>
        <v>0.20946019868751203</v>
      </c>
      <c r="BU71" s="23">
        <f t="shared" ca="1" si="81"/>
        <v>0.60135347365124425</v>
      </c>
      <c r="BV71" s="23">
        <f t="shared" ca="1" si="82"/>
        <v>-0.12400000000002365</v>
      </c>
    </row>
    <row r="72" spans="3:74" x14ac:dyDescent="0.3">
      <c r="D72" s="23">
        <f t="shared" ca="1" si="84"/>
        <v>2.1742000000000001E-2</v>
      </c>
      <c r="E72" s="23">
        <f t="shared" ca="1" si="85"/>
        <v>2.9463000000000003E-2</v>
      </c>
      <c r="F72" s="23">
        <f ca="1">AQ45</f>
        <v>2.5889000000000002E-2</v>
      </c>
      <c r="G72" s="23">
        <f t="shared" ca="1" si="86"/>
        <v>2.4307000000000002E-2</v>
      </c>
      <c r="H72" s="23">
        <f t="shared" ref="H72:H82" ca="1" si="91">AQ78</f>
        <v>2.5517999999999999E-2</v>
      </c>
      <c r="I72" s="23">
        <f t="shared" ca="1" si="87"/>
        <v>2.6388000000000002E-2</v>
      </c>
      <c r="J72" s="23">
        <f t="shared" ca="1" si="88"/>
        <v>2.6872E-2</v>
      </c>
      <c r="K72" s="23">
        <f t="shared" ca="1" si="89"/>
        <v>3.6764999999999999E-2</v>
      </c>
      <c r="L72" s="23">
        <f ca="1">AQ174</f>
        <v>2.7025E-2</v>
      </c>
      <c r="N72" t="s">
        <v>666</v>
      </c>
      <c r="O72" s="4">
        <f ca="1">O67/O66</f>
        <v>1.3106304678389324</v>
      </c>
      <c r="P72" s="4">
        <f t="shared" ref="P72:T72" ca="1" si="92">P67/P66</f>
        <v>1.2972524345229077</v>
      </c>
      <c r="Q72" s="4">
        <f t="shared" ca="1" si="92"/>
        <v>0.95093617036443656</v>
      </c>
      <c r="R72" s="4">
        <f t="shared" ca="1" si="92"/>
        <v>1.4981552271334482</v>
      </c>
      <c r="S72" s="4">
        <f ca="1">S67/S66</f>
        <v>0.65719073073505407</v>
      </c>
      <c r="T72" s="4">
        <f t="shared" ca="1" si="92"/>
        <v>2.7523456271371267</v>
      </c>
      <c r="U72" s="4"/>
      <c r="V72" s="4"/>
      <c r="W72" s="4"/>
      <c r="AJ72" s="31" t="s">
        <v>384</v>
      </c>
      <c r="AK72" t="s">
        <v>384</v>
      </c>
      <c r="AL72" s="1">
        <v>42188</v>
      </c>
      <c r="AM72" s="34" cm="1">
        <f t="array" aca="1" ref="AM72" ca="1">INDIRECT("'"&amp;$B39&amp;"'!"&amp;(D$5&amp;$P$14))</f>
        <v>1844444.4688300001</v>
      </c>
      <c r="AN72" s="34" cm="1">
        <f t="array" aca="1" ref="AN72" ca="1">INDIRECT("'"&amp;$B39&amp;"'!"&amp;(E$5&amp;$P$14))</f>
        <v>5596429.2242745012</v>
      </c>
      <c r="AO72" s="34" cm="1">
        <f t="array" aca="1" ref="AO72" ca="1">INDIRECT("'"&amp;$B39&amp;"'!"&amp;(F$5&amp;$P$14))</f>
        <v>421.90254575</v>
      </c>
      <c r="AV72" s="21">
        <v>0</v>
      </c>
      <c r="BK72" s="21" t="s">
        <v>384</v>
      </c>
      <c r="BL72" s="1">
        <v>42188</v>
      </c>
      <c r="BM72" s="34" cm="1">
        <f t="array" aca="1" ref="BM72" ca="1">INDIRECT("'"&amp;$B39&amp;"'!"&amp;(D$5&amp;$P$24))</f>
        <v>1844384.7538300001</v>
      </c>
      <c r="BN72" s="34" cm="1">
        <f t="array" aca="1" ref="BN72" ca="1">INDIRECT("'"&amp;$B39&amp;"'!"&amp;(E$5&amp;$P$24))</f>
        <v>5595884.0902745007</v>
      </c>
      <c r="BO72" s="34" cm="1">
        <f t="array" aca="1" ref="BO72" ca="1">INDIRECT("'"&amp;$B39&amp;"'!"&amp;(F$5&amp;$P$24))</f>
        <v>383.78454575000001</v>
      </c>
      <c r="BP72" s="7"/>
      <c r="BR72" s="21"/>
      <c r="BS72" s="21"/>
      <c r="BT72" s="21"/>
      <c r="BU72" s="21"/>
      <c r="BV72" s="21">
        <v>0</v>
      </c>
    </row>
    <row r="73" spans="3:74" x14ac:dyDescent="0.3">
      <c r="D73" s="23">
        <f t="shared" ca="1" si="84"/>
        <v>3.1878999999999998E-2</v>
      </c>
      <c r="E73" s="23">
        <f t="shared" ca="1" si="85"/>
        <v>3.3222000000000002E-2</v>
      </c>
      <c r="F73" s="23"/>
      <c r="G73" s="23">
        <f t="shared" ca="1" si="86"/>
        <v>2.7244999999999998E-2</v>
      </c>
      <c r="H73" s="23">
        <f t="shared" ca="1" si="91"/>
        <v>2.7942000000000002E-2</v>
      </c>
      <c r="I73" s="23">
        <f t="shared" ca="1" si="87"/>
        <v>3.4676999999999999E-2</v>
      </c>
      <c r="J73" s="23">
        <f t="shared" ca="1" si="88"/>
        <v>3.0286E-2</v>
      </c>
      <c r="K73" s="23">
        <f t="shared" ca="1" si="89"/>
        <v>2.6750000000000003E-2</v>
      </c>
      <c r="L73" s="23">
        <f ca="1">AQ175</f>
        <v>2.5958000000000002E-2</v>
      </c>
      <c r="O73" s="4"/>
      <c r="P73" s="32"/>
      <c r="Q73" s="33"/>
      <c r="R73" s="4"/>
      <c r="S73" s="4"/>
      <c r="T73" s="4"/>
      <c r="U73" s="4"/>
      <c r="V73" s="4"/>
      <c r="W73" s="4"/>
      <c r="AL73" s="1"/>
      <c r="BP73" s="7"/>
    </row>
    <row r="74" spans="3:74" x14ac:dyDescent="0.3">
      <c r="D74" s="23">
        <f t="shared" ca="1" si="84"/>
        <v>2.7402000000000003E-2</v>
      </c>
      <c r="E74" s="23">
        <f t="shared" ca="1" si="85"/>
        <v>2.4635000000000001E-2</v>
      </c>
      <c r="F74" s="23">
        <f t="shared" ref="F74:F81" ca="1" si="93">AQ47</f>
        <v>2.4272999999999999E-2</v>
      </c>
      <c r="G74" s="23">
        <f t="shared" ca="1" si="86"/>
        <v>5.7322000000000005E-2</v>
      </c>
      <c r="H74" s="23">
        <f t="shared" ca="1" si="91"/>
        <v>2.6854999999999997E-2</v>
      </c>
      <c r="I74" s="23">
        <f t="shared" ca="1" si="87"/>
        <v>2.2711000000000002E-2</v>
      </c>
      <c r="J74" s="23">
        <f t="shared" ca="1" si="88"/>
        <v>2.8762000000000003E-2</v>
      </c>
      <c r="K74" s="23">
        <f t="shared" ca="1" si="89"/>
        <v>3.3741E-2</v>
      </c>
      <c r="L74" s="23"/>
      <c r="O74" s="4"/>
      <c r="P74" s="32"/>
      <c r="Q74" s="33"/>
      <c r="R74" s="4"/>
      <c r="S74" s="4"/>
      <c r="T74" s="4"/>
      <c r="U74" s="4"/>
      <c r="V74" s="4"/>
      <c r="W74" s="4"/>
      <c r="AL74" s="1"/>
      <c r="BP74" s="7"/>
    </row>
    <row r="75" spans="3:74" x14ac:dyDescent="0.3">
      <c r="D75" s="23">
        <f t="shared" ca="1" si="84"/>
        <v>3.4049999999999997E-2</v>
      </c>
      <c r="E75" s="23">
        <f t="shared" ca="1" si="85"/>
        <v>5.3945E-2</v>
      </c>
      <c r="F75" s="23">
        <f t="shared" ca="1" si="93"/>
        <v>2.8097999999999998E-2</v>
      </c>
      <c r="G75" s="23">
        <f t="shared" ca="1" si="86"/>
        <v>3.1106000000000002E-2</v>
      </c>
      <c r="H75" s="23">
        <f t="shared" ca="1" si="91"/>
        <v>3.6638999999999998E-2</v>
      </c>
      <c r="I75" s="23">
        <f t="shared" ca="1" si="87"/>
        <v>4.5107000000000001E-2</v>
      </c>
      <c r="J75" s="23">
        <f t="shared" ca="1" si="88"/>
        <v>3.5730999999999999E-2</v>
      </c>
      <c r="K75" s="23">
        <f t="shared" ca="1" si="89"/>
        <v>3.1212999999999998E-2</v>
      </c>
      <c r="L75" s="23"/>
      <c r="O75" s="4"/>
      <c r="P75" s="32"/>
      <c r="Q75" s="33"/>
      <c r="R75" s="4"/>
      <c r="S75" s="4"/>
      <c r="T75" s="4"/>
      <c r="U75" s="4"/>
      <c r="V75" s="4"/>
      <c r="W75" s="4"/>
      <c r="AL75" s="1"/>
      <c r="BK75" s="21" t="s">
        <v>588</v>
      </c>
      <c r="BL75" s="1"/>
      <c r="BM75" s="21" t="s">
        <v>541</v>
      </c>
      <c r="BN75" s="21" t="s">
        <v>542</v>
      </c>
      <c r="BO75" s="21" t="s">
        <v>543</v>
      </c>
      <c r="BP75" s="7" t="s">
        <v>427</v>
      </c>
      <c r="BQ75" s="7" t="s">
        <v>525</v>
      </c>
      <c r="BR75" s="21" t="s">
        <v>428</v>
      </c>
      <c r="BS75" s="21" t="s">
        <v>429</v>
      </c>
      <c r="BT75" s="21" t="s">
        <v>606</v>
      </c>
      <c r="BU75" s="21" t="s">
        <v>430</v>
      </c>
      <c r="BV75" s="33" t="s">
        <v>582</v>
      </c>
    </row>
    <row r="76" spans="3:74" x14ac:dyDescent="0.3">
      <c r="D76" s="23">
        <f t="shared" ca="1" si="84"/>
        <v>3.3175999999999997E-2</v>
      </c>
      <c r="E76" s="23">
        <f t="shared" ca="1" si="85"/>
        <v>4.2608E-2</v>
      </c>
      <c r="F76" s="23">
        <f t="shared" ca="1" si="93"/>
        <v>3.1077E-2</v>
      </c>
      <c r="G76" s="23">
        <f t="shared" ca="1" si="86"/>
        <v>2.5266999999999998E-2</v>
      </c>
      <c r="H76" s="23">
        <f t="shared" ca="1" si="91"/>
        <v>3.1472E-2</v>
      </c>
      <c r="I76" s="23">
        <f t="shared" ca="1" si="87"/>
        <v>2.7666000000000003E-2</v>
      </c>
      <c r="J76" s="23">
        <f t="shared" ca="1" si="88"/>
        <v>3.1948999999999998E-2</v>
      </c>
      <c r="K76" s="23">
        <f t="shared" ca="1" si="89"/>
        <v>3.3388000000000001E-2</v>
      </c>
      <c r="L76" s="23">
        <f ca="1">AQ178</f>
        <v>2.1069999999999998E-2</v>
      </c>
      <c r="O76" s="4"/>
      <c r="P76" s="32"/>
      <c r="Q76" s="33"/>
      <c r="R76" s="4"/>
      <c r="S76" s="4"/>
      <c r="T76" s="4"/>
      <c r="U76" s="4"/>
      <c r="V76" s="4"/>
      <c r="W76" s="4"/>
      <c r="AK76" s="4" t="s">
        <v>570</v>
      </c>
      <c r="AL76" s="30"/>
      <c r="AM76" s="5" t="s">
        <v>541</v>
      </c>
      <c r="AN76" s="5" t="s">
        <v>542</v>
      </c>
      <c r="AO76" s="5" t="s">
        <v>543</v>
      </c>
      <c r="AP76" s="21" t="s">
        <v>427</v>
      </c>
      <c r="AQ76" s="21" t="s">
        <v>525</v>
      </c>
      <c r="AR76" s="21" t="s">
        <v>428</v>
      </c>
      <c r="AS76" s="21" t="s">
        <v>429</v>
      </c>
      <c r="AT76" s="21" t="s">
        <v>438</v>
      </c>
      <c r="AU76" s="21" t="s">
        <v>430</v>
      </c>
      <c r="AV76" s="33" t="s">
        <v>582</v>
      </c>
      <c r="BK76" s="21" t="s">
        <v>526</v>
      </c>
      <c r="BL76" s="1">
        <v>43817</v>
      </c>
      <c r="BM76" s="34"/>
      <c r="BN76" s="34"/>
      <c r="BO76" s="34"/>
      <c r="BP76" s="7"/>
      <c r="BR76" s="23"/>
      <c r="BS76" s="7"/>
      <c r="BT76" s="7"/>
      <c r="BU76" s="23"/>
      <c r="BV76" s="23"/>
    </row>
    <row r="77" spans="3:74" x14ac:dyDescent="0.3">
      <c r="D77" s="23">
        <f t="shared" ca="1" si="84"/>
        <v>3.3257000000000002E-2</v>
      </c>
      <c r="E77" s="23">
        <f t="shared" ca="1" si="85"/>
        <v>2.4668000000000002E-2</v>
      </c>
      <c r="F77" s="23">
        <f t="shared" ca="1" si="93"/>
        <v>2.4565E-2</v>
      </c>
      <c r="G77" s="23">
        <f t="shared" ca="1" si="86"/>
        <v>3.9609999999999999E-2</v>
      </c>
      <c r="H77" s="23">
        <f t="shared" ca="1" si="91"/>
        <v>2.6217999999999998E-2</v>
      </c>
      <c r="I77" s="23">
        <f t="shared" ca="1" si="87"/>
        <v>2.3644999999999999E-2</v>
      </c>
      <c r="J77" s="23">
        <f t="shared" ca="1" si="88"/>
        <v>2.6006000000000001E-2</v>
      </c>
      <c r="K77" s="23">
        <f t="shared" ca="1" si="89"/>
        <v>2.1351999999999999E-2</v>
      </c>
      <c r="L77" s="23"/>
      <c r="O77" s="4">
        <f ca="1">AVERAGE(O70:V72)</f>
        <v>2.4052917185012008</v>
      </c>
      <c r="P77" s="32"/>
      <c r="Q77" s="33"/>
      <c r="R77" s="4"/>
      <c r="S77" s="4"/>
      <c r="T77" s="4"/>
      <c r="U77" s="4"/>
      <c r="V77" s="4"/>
      <c r="W77" s="4"/>
      <c r="AK77" s="3" t="s">
        <v>526</v>
      </c>
      <c r="AL77" s="1">
        <v>43817</v>
      </c>
      <c r="AM77" s="23" cm="1">
        <f t="array" aca="1" ref="AM77" ca="1">INDIRECT("'"&amp;$B27&amp;"'!"&amp;(D$5&amp;$P$15))</f>
        <v>1844577.582804</v>
      </c>
      <c r="AN77" s="23" cm="1">
        <f t="array" aca="1" ref="AN77" ca="1">INDIRECT("'"&amp;$B27&amp;"'!"&amp;(E$5&amp;$P$15))</f>
        <v>5596364.1203709999</v>
      </c>
      <c r="AO77" s="23" cm="1">
        <f t="array" aca="1" ref="AO77" ca="1">INDIRECT("'"&amp;$B27&amp;"'!"&amp;(F$5&amp;$P$15))</f>
        <v>414.53913499999999</v>
      </c>
      <c r="AP77" s="21">
        <f ca="1">SQRT(((AM77-AM78)^2)+((AN77-AN78)^2))</f>
        <v>0.17924743181223213</v>
      </c>
      <c r="AQ77" s="21" cm="1">
        <f t="array" aca="1" ref="AQ77" ca="1">INDIRECT("'"&amp;AK77&amp;"'!"&amp;$H$5&amp;$P$15)+0.01</f>
        <v>2.1310000000000003E-2</v>
      </c>
      <c r="AR77" s="23">
        <f ca="1">AO77-AO78</f>
        <v>-4.3924000000004071E-2</v>
      </c>
      <c r="AS77" s="7">
        <f ca="1">SQRT((AP77^2)+(AR77^2))</f>
        <v>0.1845506965234246</v>
      </c>
      <c r="AT77" s="7">
        <f t="shared" ref="AT77:AT88" ca="1" si="94">(AS77/(AL77-AL78))*365</f>
        <v>0.15485288328977007</v>
      </c>
      <c r="AU77" s="23">
        <f ca="1">AU78+AS77</f>
        <v>1.0270646430481531</v>
      </c>
      <c r="AV77" s="23">
        <f ca="1">AV78+AR77</f>
        <v>-0.17641075000000228</v>
      </c>
      <c r="BK77" s="21" t="s">
        <v>373</v>
      </c>
      <c r="BL77" s="1">
        <v>43382</v>
      </c>
      <c r="BM77" s="34"/>
      <c r="BN77" s="34"/>
      <c r="BO77" s="34"/>
      <c r="BP77" s="7"/>
      <c r="BR77" s="23"/>
      <c r="BS77" s="7"/>
      <c r="BT77" s="7"/>
      <c r="BU77" s="23"/>
      <c r="BV77" s="23"/>
    </row>
    <row r="78" spans="3:74" x14ac:dyDescent="0.3">
      <c r="D78" s="23">
        <f t="shared" ca="1" si="84"/>
        <v>2.8170000000000001E-2</v>
      </c>
      <c r="E78" s="23">
        <f t="shared" ca="1" si="85"/>
        <v>4.0056000000000001E-2</v>
      </c>
      <c r="F78" s="23">
        <f t="shared" ca="1" si="93"/>
        <v>3.1420999999999998E-2</v>
      </c>
      <c r="G78" s="23">
        <f t="shared" ca="1" si="86"/>
        <v>3.4242000000000002E-2</v>
      </c>
      <c r="H78" s="23">
        <f t="shared" ca="1" si="91"/>
        <v>3.7588000000000003E-2</v>
      </c>
      <c r="I78" s="23">
        <f t="shared" ca="1" si="87"/>
        <v>3.4242000000000002E-2</v>
      </c>
      <c r="J78" s="23">
        <f t="shared" ca="1" si="88"/>
        <v>4.2099000000000004E-2</v>
      </c>
      <c r="K78" s="23">
        <f t="shared" ca="1" si="89"/>
        <v>3.0643999999999998E-2</v>
      </c>
      <c r="L78" s="23"/>
      <c r="O78" s="4"/>
      <c r="P78" s="32"/>
      <c r="Q78" s="33"/>
      <c r="R78" s="4"/>
      <c r="S78" s="4"/>
      <c r="T78" s="4"/>
      <c r="U78" s="4"/>
      <c r="V78" s="4"/>
      <c r="W78" s="4"/>
      <c r="AK78" s="3" t="s">
        <v>373</v>
      </c>
      <c r="AL78" s="1">
        <v>43382</v>
      </c>
      <c r="AM78" s="23" cm="1">
        <f t="array" aca="1" ref="AM78" ca="1">INDIRECT("'"&amp;$B28&amp;"'!"&amp;(D$5&amp;$P$15))</f>
        <v>1844577.5881060001</v>
      </c>
      <c r="AN78" s="23" cm="1">
        <f t="array" aca="1" ref="AN78" ca="1">INDIRECT("'"&amp;$B28&amp;"'!"&amp;(E$5&amp;$P$15))</f>
        <v>5596364.29954</v>
      </c>
      <c r="AO78" s="23" cm="1">
        <f t="array" aca="1" ref="AO78" ca="1">INDIRECT("'"&amp;$B28&amp;"'!"&amp;(F$5&amp;$P$15))</f>
        <v>414.58305899999999</v>
      </c>
      <c r="AP78" s="21">
        <f ca="1">SQRT(((AM78-AM79)^2)+((AN78-AN79)^2))</f>
        <v>0.16493210342986675</v>
      </c>
      <c r="AQ78" s="21" cm="1">
        <f t="array" aca="1" ref="AQ78" ca="1">INDIRECT("'"&amp;AK78&amp;"'!"&amp;$H$5&amp;$P$15)+0.01</f>
        <v>2.5517999999999999E-2</v>
      </c>
      <c r="AR78" s="23">
        <f ca="1">AO78-AO79</f>
        <v>-2.232400000002599E-2</v>
      </c>
      <c r="AS78" s="7">
        <f t="shared" ref="AS78" ca="1" si="95">SQRT((AP78^2)+(AR78^2))</f>
        <v>0.16643605293866298</v>
      </c>
      <c r="AT78" s="7">
        <f t="shared" ca="1" si="94"/>
        <v>0.30994469042148975</v>
      </c>
      <c r="AU78" s="23">
        <f t="shared" ref="AU78:AU80" ca="1" si="96">AU79+AS78</f>
        <v>0.84251394652472844</v>
      </c>
      <c r="AV78" s="23">
        <f t="shared" ref="AV78:AV87" ca="1" si="97">AV79+AR78</f>
        <v>-0.13248674999999821</v>
      </c>
      <c r="BK78" s="21" t="s">
        <v>375</v>
      </c>
      <c r="BL78" s="1">
        <v>43186</v>
      </c>
      <c r="BM78" s="34"/>
      <c r="BN78" s="34"/>
      <c r="BO78" s="34"/>
      <c r="BP78" s="7"/>
      <c r="BR78" s="23"/>
      <c r="BS78" s="7"/>
      <c r="BT78" s="7"/>
      <c r="BU78" s="23"/>
      <c r="BV78" s="23"/>
    </row>
    <row r="79" spans="3:74" x14ac:dyDescent="0.3">
      <c r="D79" s="23">
        <f t="shared" ca="1" si="84"/>
        <v>2.8059000000000001E-2</v>
      </c>
      <c r="E79" s="23">
        <f t="shared" ca="1" si="85"/>
        <v>3.0275000000000003E-2</v>
      </c>
      <c r="F79" s="23">
        <f t="shared" ca="1" si="93"/>
        <v>3.4245999999999999E-2</v>
      </c>
      <c r="G79" s="23">
        <f t="shared" ca="1" si="86"/>
        <v>2.8145999999999997E-2</v>
      </c>
      <c r="H79" s="23">
        <f t="shared" ca="1" si="91"/>
        <v>2.826E-2</v>
      </c>
      <c r="I79" s="23">
        <f t="shared" ca="1" si="87"/>
        <v>4.6240000000000003E-2</v>
      </c>
      <c r="J79" s="23">
        <f t="shared" ca="1" si="88"/>
        <v>2.8642000000000001E-2</v>
      </c>
      <c r="K79" s="23">
        <f t="shared" ca="1" si="89"/>
        <v>2.264E-2</v>
      </c>
      <c r="L79" s="23">
        <f ca="1">AQ181</f>
        <v>3.0275000000000003E-2</v>
      </c>
      <c r="O79" s="4"/>
      <c r="P79" s="32"/>
      <c r="Q79" s="33"/>
      <c r="R79" s="4"/>
      <c r="S79" s="4"/>
      <c r="T79" s="4"/>
      <c r="U79" s="4"/>
      <c r="V79" s="4"/>
      <c r="W79" s="4"/>
      <c r="AK79" s="22" t="s">
        <v>375</v>
      </c>
      <c r="AL79" s="1">
        <v>43186</v>
      </c>
      <c r="AM79" s="23" cm="1">
        <f t="array" aca="1" ref="AM79" ca="1">INDIRECT("'"&amp;$B29&amp;"'!"&amp;(D$5&amp;$P$15))</f>
        <v>1844577.6000369999</v>
      </c>
      <c r="AN79" s="23" cm="1">
        <f t="array" aca="1" ref="AN79" ca="1">INDIRECT("'"&amp;$B29&amp;"'!"&amp;(E$5&amp;$P$15))</f>
        <v>5596364.46404</v>
      </c>
      <c r="AO79" s="23" cm="1">
        <f t="array" aca="1" ref="AO79" ca="1">INDIRECT("'"&amp;$B29&amp;"'!"&amp;(F$5&amp;$P$15))</f>
        <v>414.60538300000002</v>
      </c>
      <c r="AP79" s="21">
        <f t="shared" ref="AP79:AP87" ca="1" si="98">SQRT(((AM79-AM80)^2)+((AN79-AN80)^2))</f>
        <v>7.5002930434600074E-2</v>
      </c>
      <c r="AQ79" s="21" cm="1">
        <f t="array" aca="1" ref="AQ79" ca="1">INDIRECT("'"&amp;AK79&amp;"'!"&amp;$H$5&amp;$P$15)+0.01</f>
        <v>2.7942000000000002E-2</v>
      </c>
      <c r="AR79" s="23">
        <f t="shared" ref="AR79:AR87" ca="1" si="99">AO79-AO80</f>
        <v>-3.2956000000012864E-2</v>
      </c>
      <c r="AS79" s="7">
        <f ca="1">SQRT((AP79^2)+(AR79^2))</f>
        <v>8.1923973962316474E-2</v>
      </c>
      <c r="AT79" s="7">
        <f t="shared" ca="1" si="94"/>
        <v>0.17905539219308692</v>
      </c>
      <c r="AU79" s="23">
        <f t="shared" ca="1" si="96"/>
        <v>0.6760778935860654</v>
      </c>
      <c r="AV79" s="23">
        <f t="shared" ca="1" si="97"/>
        <v>-0.11016274999997222</v>
      </c>
      <c r="BK79" s="21" t="s">
        <v>374</v>
      </c>
      <c r="BL79" s="1">
        <v>43019</v>
      </c>
      <c r="BM79" s="34"/>
      <c r="BN79" s="34"/>
      <c r="BO79" s="34"/>
      <c r="BP79" s="7"/>
      <c r="BR79" s="23"/>
      <c r="BS79" s="7"/>
      <c r="BT79" s="7"/>
      <c r="BU79" s="23"/>
      <c r="BV79" s="23"/>
    </row>
    <row r="80" spans="3:74" x14ac:dyDescent="0.3">
      <c r="D80" s="23">
        <f t="shared" ca="1" si="84"/>
        <v>2.3698E-2</v>
      </c>
      <c r="E80" s="23">
        <f t="shared" ca="1" si="85"/>
        <v>2.3030999999999999E-2</v>
      </c>
      <c r="F80" s="23">
        <f t="shared" ca="1" si="93"/>
        <v>2.5852E-2</v>
      </c>
      <c r="G80" s="23">
        <f t="shared" ca="1" si="86"/>
        <v>2.2059000000000002E-2</v>
      </c>
      <c r="H80" s="23">
        <f t="shared" ca="1" si="91"/>
        <v>2.4363000000000003E-2</v>
      </c>
      <c r="I80" s="23">
        <f t="shared" ca="1" si="87"/>
        <v>2.5814999999999998E-2</v>
      </c>
      <c r="J80" s="23">
        <f t="shared" ca="1" si="88"/>
        <v>3.5199000000000001E-2</v>
      </c>
      <c r="K80" s="23">
        <f t="shared" ca="1" si="89"/>
        <v>3.1572000000000003E-2</v>
      </c>
      <c r="L80" s="23">
        <f ca="1">AQ182</f>
        <v>2.3694E-2</v>
      </c>
      <c r="O80" s="4"/>
      <c r="P80" s="32"/>
      <c r="Q80" s="33"/>
      <c r="R80" s="4"/>
      <c r="S80" s="4"/>
      <c r="T80" s="4"/>
      <c r="U80" s="4"/>
      <c r="V80" s="4"/>
      <c r="W80" s="4"/>
      <c r="AK80" s="3" t="s">
        <v>374</v>
      </c>
      <c r="AL80" s="1">
        <v>43019</v>
      </c>
      <c r="AM80" s="23" cm="1">
        <f t="array" aca="1" ref="AM80" ca="1">INDIRECT("'"&amp;$B30&amp;"'!"&amp;(D$5&amp;$P$15))</f>
        <v>1844577.6185979999</v>
      </c>
      <c r="AN80" s="23" cm="1">
        <f t="array" aca="1" ref="AN80" ca="1">INDIRECT("'"&amp;$B30&amp;"'!"&amp;(E$5&amp;$P$15))</f>
        <v>5596364.5367099997</v>
      </c>
      <c r="AO80" s="23" cm="1">
        <f t="array" aca="1" ref="AO80" ca="1">INDIRECT("'"&amp;$B30&amp;"'!"&amp;(F$5&amp;$P$15))</f>
        <v>414.63833900000003</v>
      </c>
      <c r="AP80" s="21">
        <f t="shared" ca="1" si="98"/>
        <v>8.7925313094064303E-2</v>
      </c>
      <c r="AQ80" s="21" cm="1">
        <f t="array" aca="1" ref="AQ80" ca="1">INDIRECT("'"&amp;AK80&amp;"'!"&amp;$H$5&amp;$P$15)+0.01</f>
        <v>2.6854999999999997E-2</v>
      </c>
      <c r="AR80" s="23">
        <f t="shared" ca="1" si="99"/>
        <v>-5.5968999999947755E-2</v>
      </c>
      <c r="AS80" s="7">
        <f t="shared" ref="AS80:AS87" ca="1" si="100">SQRT((AP80^2)+(AR80^2))</f>
        <v>0.10422758580953215</v>
      </c>
      <c r="AT80" s="7">
        <f t="shared" ca="1" si="94"/>
        <v>0.36579873865845414</v>
      </c>
      <c r="AU80" s="23">
        <f t="shared" ca="1" si="96"/>
        <v>0.59415391962374897</v>
      </c>
      <c r="AV80" s="23">
        <f t="shared" ca="1" si="97"/>
        <v>-7.7206749999959357E-2</v>
      </c>
      <c r="BK80" s="21" t="s">
        <v>376</v>
      </c>
      <c r="BL80" s="1">
        <v>42915</v>
      </c>
      <c r="BM80" s="34"/>
      <c r="BN80" s="34"/>
      <c r="BO80" s="34"/>
      <c r="BP80" s="7"/>
      <c r="BR80" s="23"/>
      <c r="BS80" s="7"/>
      <c r="BT80" s="7"/>
      <c r="BU80" s="23"/>
      <c r="BV80" s="23"/>
    </row>
    <row r="81" spans="4:74" x14ac:dyDescent="0.3">
      <c r="D81" s="23">
        <f t="shared" ca="1" si="84"/>
        <v>1.7000000000000001E-2</v>
      </c>
      <c r="E81" s="23">
        <f t="shared" ca="1" si="85"/>
        <v>1.9E-2</v>
      </c>
      <c r="F81" s="23">
        <f t="shared" ca="1" si="93"/>
        <v>1.4999999999999999E-2</v>
      </c>
      <c r="G81" s="23">
        <f t="shared" ca="1" si="86"/>
        <v>1.8000000000000002E-2</v>
      </c>
      <c r="H81" s="23">
        <f t="shared" ca="1" si="91"/>
        <v>1.6E-2</v>
      </c>
      <c r="I81" s="23">
        <f t="shared" ca="1" si="87"/>
        <v>1.9E-2</v>
      </c>
      <c r="J81" s="23"/>
      <c r="K81" s="23"/>
      <c r="L81" s="23">
        <f ca="1">AQ183</f>
        <v>2.0999999999999998E-2</v>
      </c>
      <c r="O81" s="4"/>
      <c r="P81" s="32"/>
      <c r="Q81" s="33"/>
      <c r="R81" s="4"/>
      <c r="S81" s="4"/>
      <c r="T81" s="4"/>
      <c r="U81" s="4"/>
      <c r="V81" s="4"/>
      <c r="W81" s="4"/>
      <c r="AK81" s="3" t="s">
        <v>376</v>
      </c>
      <c r="AL81" s="1">
        <v>42915</v>
      </c>
      <c r="AM81" s="23" cm="1">
        <f t="array" aca="1" ref="AM81" ca="1">INDIRECT("'"&amp;$B31&amp;"'!"&amp;(D$5&amp;$P$15))</f>
        <v>1844577.6274359999</v>
      </c>
      <c r="AN81" s="23" cm="1">
        <f t="array" aca="1" ref="AN81" ca="1">INDIRECT("'"&amp;$B31&amp;"'!"&amp;(E$5&amp;$P$15))</f>
        <v>5596364.6241899999</v>
      </c>
      <c r="AO81" s="23" cm="1">
        <f t="array" aca="1" ref="AO81" ca="1">INDIRECT("'"&amp;$B31&amp;"'!"&amp;(F$5&amp;$P$15))</f>
        <v>414.69430799999998</v>
      </c>
      <c r="AP81" s="21">
        <f t="shared" ca="1" si="98"/>
        <v>7.1037917580352036E-2</v>
      </c>
      <c r="AQ81" s="21" cm="1">
        <f t="array" aca="1" ref="AQ81" ca="1">INDIRECT("'"&amp;AK81&amp;"'!"&amp;$H$5&amp;$P$15)+0.01</f>
        <v>3.6638999999999998E-2</v>
      </c>
      <c r="AR81" s="23">
        <f t="shared" ca="1" si="99"/>
        <v>3.9028999999970893E-2</v>
      </c>
      <c r="AS81" s="7">
        <f t="shared" ca="1" si="100"/>
        <v>8.1053368684778415E-2</v>
      </c>
      <c r="AT81" s="7">
        <f t="shared" ca="1" si="94"/>
        <v>0.29291563930637743</v>
      </c>
      <c r="AU81" s="23">
        <f ca="1">AU82+AS81</f>
        <v>0.4899263338142168</v>
      </c>
      <c r="AV81" s="23">
        <f t="shared" ca="1" si="97"/>
        <v>-2.1237750000011602E-2</v>
      </c>
      <c r="BK81" s="21" t="s">
        <v>377</v>
      </c>
      <c r="BL81" s="1">
        <v>42814</v>
      </c>
      <c r="BM81" s="34"/>
      <c r="BN81" s="34"/>
      <c r="BO81" s="34"/>
      <c r="BP81" s="7"/>
      <c r="BR81" s="23"/>
      <c r="BS81" s="7"/>
      <c r="BT81" s="7"/>
      <c r="BU81" s="23"/>
      <c r="BV81" s="23"/>
    </row>
    <row r="82" spans="4:74" x14ac:dyDescent="0.3">
      <c r="D82" s="23"/>
      <c r="E82" s="23">
        <f t="shared" ca="1" si="85"/>
        <v>1.8000000000000002E-2</v>
      </c>
      <c r="F82" s="23"/>
      <c r="G82" s="23">
        <f t="shared" ca="1" si="86"/>
        <v>1.6E-2</v>
      </c>
      <c r="H82" s="23">
        <f t="shared" ca="1" si="91"/>
        <v>1.7000000000000001E-2</v>
      </c>
      <c r="I82" s="23">
        <f t="shared" ca="1" si="87"/>
        <v>1.9E-2</v>
      </c>
      <c r="J82" s="23"/>
      <c r="K82" s="23"/>
      <c r="L82" s="23">
        <f ca="1">AQ184</f>
        <v>1.6E-2</v>
      </c>
      <c r="O82" s="4"/>
      <c r="P82" s="32"/>
      <c r="Q82" s="33"/>
      <c r="R82" s="4"/>
      <c r="S82" s="4"/>
      <c r="T82" s="4"/>
      <c r="U82" s="4"/>
      <c r="V82" s="4"/>
      <c r="W82" s="4"/>
      <c r="AK82" s="3" t="s">
        <v>377</v>
      </c>
      <c r="AL82" s="1">
        <v>42814</v>
      </c>
      <c r="AM82" s="23" cm="1">
        <f t="array" aca="1" ref="AM82" ca="1">INDIRECT("'"&amp;$B32&amp;"'!"&amp;(D$5&amp;$P$15))</f>
        <v>1844577.6760450001</v>
      </c>
      <c r="AN82" s="23" cm="1">
        <f t="array" aca="1" ref="AN82" ca="1">INDIRECT("'"&amp;$B32&amp;"'!"&amp;(E$5&amp;$P$15))</f>
        <v>5596364.6759930002</v>
      </c>
      <c r="AO82" s="23" cm="1">
        <f t="array" aca="1" ref="AO82" ca="1">INDIRECT("'"&amp;$B32&amp;"'!"&amp;(F$5&amp;$P$15))</f>
        <v>414.65527900000001</v>
      </c>
      <c r="AP82" s="21">
        <f t="shared" ca="1" si="98"/>
        <v>3.1432075474489167E-2</v>
      </c>
      <c r="AQ82" s="21" cm="1">
        <f t="array" aca="1" ref="AQ82" ca="1">INDIRECT("'"&amp;AK82&amp;"'!"&amp;$H$5&amp;$P$15)+0.01</f>
        <v>3.1472E-2</v>
      </c>
      <c r="AR82" s="23">
        <f t="shared" ca="1" si="99"/>
        <v>3.6420000000134678E-3</v>
      </c>
      <c r="AS82" s="7">
        <f t="shared" ca="1" si="100"/>
        <v>3.1642369263917038E-2</v>
      </c>
      <c r="AT82" s="7">
        <f t="shared" ca="1" si="94"/>
        <v>0.12030692480551791</v>
      </c>
      <c r="AU82" s="23">
        <f t="shared" ref="AU82:AU87" ca="1" si="101">AU83+AS82</f>
        <v>0.40887296512943838</v>
      </c>
      <c r="AV82" s="23">
        <f t="shared" ca="1" si="97"/>
        <v>-6.0266749999982494E-2</v>
      </c>
      <c r="BK82" s="21" t="s">
        <v>378</v>
      </c>
      <c r="BL82" s="1">
        <v>42718</v>
      </c>
      <c r="BM82" s="34"/>
      <c r="BN82" s="34"/>
      <c r="BO82" s="34"/>
      <c r="BP82" s="7"/>
      <c r="BR82" s="23"/>
      <c r="BS82" s="7"/>
      <c r="BT82" s="7"/>
      <c r="BU82" s="23"/>
      <c r="BV82" s="23"/>
    </row>
    <row r="83" spans="4:74" x14ac:dyDescent="0.3">
      <c r="D83" s="23">
        <f ca="1">D71</f>
        <v>2.3784E-2</v>
      </c>
      <c r="E83" s="23">
        <f t="shared" ref="E83:L83" ca="1" si="102">E71</f>
        <v>2.6347000000000002E-2</v>
      </c>
      <c r="F83" s="23">
        <f t="shared" ca="1" si="102"/>
        <v>2.5562000000000001E-2</v>
      </c>
      <c r="G83" s="23">
        <f t="shared" ca="1" si="102"/>
        <v>1.9675999999999999E-2</v>
      </c>
      <c r="H83" s="23">
        <f t="shared" ref="H83" ca="1" si="103">H71</f>
        <v>2.1310000000000003E-2</v>
      </c>
      <c r="I83" s="23">
        <f t="shared" ca="1" si="102"/>
        <v>2.1860999999999998E-2</v>
      </c>
      <c r="J83" s="23">
        <f t="shared" ca="1" si="102"/>
        <v>2.2630999999999998E-2</v>
      </c>
      <c r="K83" s="23">
        <f t="shared" ca="1" si="102"/>
        <v>2.5617000000000001E-2</v>
      </c>
      <c r="L83" s="23">
        <f t="shared" ca="1" si="102"/>
        <v>2.5233999999999999E-2</v>
      </c>
      <c r="O83" s="4"/>
      <c r="P83" s="32"/>
      <c r="Q83" s="33"/>
      <c r="R83" s="4"/>
      <c r="S83" s="4"/>
      <c r="T83" s="4"/>
      <c r="U83" s="4"/>
      <c r="V83" s="4"/>
      <c r="W83" s="4"/>
      <c r="AK83" s="3" t="s">
        <v>378</v>
      </c>
      <c r="AL83" s="1">
        <v>42718</v>
      </c>
      <c r="AM83" s="23" cm="1">
        <f t="array" aca="1" ref="AM83" ca="1">INDIRECT("'"&amp;$B33&amp;"'!"&amp;(D$5&amp;$P$15))</f>
        <v>1844577.6459659999</v>
      </c>
      <c r="AN83" s="23" cm="1">
        <f t="array" aca="1" ref="AN83" ca="1">INDIRECT("'"&amp;$B33&amp;"'!"&amp;(E$5&amp;$P$15))</f>
        <v>5596364.6851159995</v>
      </c>
      <c r="AO83" s="23" cm="1">
        <f t="array" aca="1" ref="AO83" ca="1">INDIRECT("'"&amp;$B33&amp;"'!"&amp;(F$5&amp;$P$15))</f>
        <v>414.65163699999999</v>
      </c>
      <c r="AP83" s="21">
        <f t="shared" ca="1" si="98"/>
        <v>6.6678085109950436E-2</v>
      </c>
      <c r="AQ83" s="21" cm="1">
        <f t="array" aca="1" ref="AQ83" ca="1">INDIRECT("'"&amp;AK83&amp;"'!"&amp;$H$5&amp;$P$15)+0.01</f>
        <v>2.6217999999999998E-2</v>
      </c>
      <c r="AR83" s="23">
        <f t="shared" ca="1" si="99"/>
        <v>-5.7900000001609442E-4</v>
      </c>
      <c r="AS83" s="7">
        <f t="shared" ca="1" si="100"/>
        <v>6.6680598939495225E-2</v>
      </c>
      <c r="AT83" s="7">
        <f t="shared" ca="1" si="94"/>
        <v>0.46804651178684148</v>
      </c>
      <c r="AU83" s="23">
        <f t="shared" ca="1" si="101"/>
        <v>0.37723059586552132</v>
      </c>
      <c r="AV83" s="23">
        <f t="shared" ca="1" si="97"/>
        <v>-6.3908749999995962E-2</v>
      </c>
      <c r="BK83" s="21" t="s">
        <v>379</v>
      </c>
      <c r="BL83" s="1">
        <v>42666</v>
      </c>
      <c r="BM83" s="34"/>
      <c r="BN83" s="34"/>
      <c r="BO83" s="34"/>
      <c r="BP83" s="7"/>
      <c r="BR83" s="23"/>
      <c r="BS83" s="7"/>
      <c r="BT83" s="7"/>
      <c r="BU83" s="23"/>
      <c r="BV83" s="23"/>
    </row>
    <row r="84" spans="4:74" x14ac:dyDescent="0.3">
      <c r="D84" s="23">
        <f t="shared" ref="D84:L94" ca="1" si="104">D72</f>
        <v>2.1742000000000001E-2</v>
      </c>
      <c r="E84" s="23">
        <f t="shared" ca="1" si="104"/>
        <v>2.9463000000000003E-2</v>
      </c>
      <c r="F84" s="23">
        <f t="shared" ca="1" si="104"/>
        <v>2.5889000000000002E-2</v>
      </c>
      <c r="G84" s="23">
        <f t="shared" ca="1" si="104"/>
        <v>2.4307000000000002E-2</v>
      </c>
      <c r="H84" s="23">
        <f t="shared" ref="H84" ca="1" si="105">H72</f>
        <v>2.5517999999999999E-2</v>
      </c>
      <c r="I84" s="23">
        <f t="shared" ca="1" si="104"/>
        <v>2.6388000000000002E-2</v>
      </c>
      <c r="J84" s="23">
        <f t="shared" ca="1" si="104"/>
        <v>2.6872E-2</v>
      </c>
      <c r="K84" s="23">
        <f t="shared" ca="1" si="104"/>
        <v>3.6764999999999999E-2</v>
      </c>
      <c r="L84" s="23">
        <f t="shared" ca="1" si="104"/>
        <v>2.7025E-2</v>
      </c>
      <c r="O84" s="4"/>
      <c r="P84" s="32"/>
      <c r="Q84" s="33"/>
      <c r="R84" s="4"/>
      <c r="S84" s="4"/>
      <c r="T84" s="4"/>
      <c r="U84" s="4"/>
      <c r="V84" s="4"/>
      <c r="W84" s="4"/>
      <c r="AK84" s="3" t="s">
        <v>379</v>
      </c>
      <c r="AL84" s="1">
        <v>42666</v>
      </c>
      <c r="AM84" s="23" cm="1">
        <f t="array" aca="1" ref="AM84" ca="1">INDIRECT("'"&amp;$B34&amp;"'!"&amp;(D$5&amp;$P$15))</f>
        <v>1844577.6655669999</v>
      </c>
      <c r="AN84" s="23" cm="1">
        <f t="array" aca="1" ref="AN84" ca="1">INDIRECT("'"&amp;$B34&amp;"'!"&amp;(E$5&amp;$P$15))</f>
        <v>5596364.7488479996</v>
      </c>
      <c r="AO84" s="23" cm="1">
        <f t="array" aca="1" ref="AO84" ca="1">INDIRECT("'"&amp;$B34&amp;"'!"&amp;(F$5&amp;$P$15))</f>
        <v>414.65221600000001</v>
      </c>
      <c r="AP84" s="21">
        <f t="shared" ca="1" si="98"/>
        <v>9.5569416251915187E-2</v>
      </c>
      <c r="AQ84" s="21" cm="1">
        <f t="array" aca="1" ref="AQ84" ca="1">INDIRECT("'"&amp;AK84&amp;"'!"&amp;$H$5&amp;$P$15)+0.01</f>
        <v>3.7588000000000003E-2</v>
      </c>
      <c r="AR84" s="23">
        <f t="shared" ca="1" si="99"/>
        <v>-4.9589999999852807E-3</v>
      </c>
      <c r="AS84" s="7">
        <f t="shared" ca="1" si="100"/>
        <v>9.5697988504104325E-2</v>
      </c>
      <c r="AT84" s="7">
        <f t="shared" ca="1" si="94"/>
        <v>0.33586313273075075</v>
      </c>
      <c r="AU84" s="23">
        <f t="shared" ca="1" si="101"/>
        <v>0.31054999692602608</v>
      </c>
      <c r="AV84" s="23">
        <f t="shared" ca="1" si="97"/>
        <v>-6.3329749999979867E-2</v>
      </c>
      <c r="BK84" s="21" t="s">
        <v>380</v>
      </c>
      <c r="BL84" s="1">
        <v>42562</v>
      </c>
      <c r="BM84" s="34" cm="1">
        <f t="array" aca="1" ref="BM84" ca="1">INDIRECT("'"&amp;$B35&amp;"'!"&amp;(D$5&amp;$P$26))</f>
        <v>1844346.785323</v>
      </c>
      <c r="BN84" s="34" cm="1">
        <f t="array" aca="1" ref="BN84" ca="1">INDIRECT("'"&amp;$B35&amp;"'!"&amp;(E$5&amp;$P$26))</f>
        <v>5595795.2373139998</v>
      </c>
      <c r="BO84" s="34" cm="1">
        <f t="array" aca="1" ref="BO84" ca="1">INDIRECT("'"&amp;$B35&amp;"'!"&amp;(F$5&amp;$P$26))</f>
        <v>355.97377800000004</v>
      </c>
      <c r="BP84" s="7">
        <f t="shared" ref="BP84:BP87" ca="1" si="106">SQRT(((BM84-BM85)^2)+((BN84-BN85)^2))</f>
        <v>1.0885741985522366</v>
      </c>
      <c r="BQ84" s="7" cm="1">
        <f t="array" aca="1" ref="BQ84" ca="1">INDIRECT("'"&amp;BK84&amp;"'!"&amp;$H$5&amp;$P$26)+0.01</f>
        <v>2.5989999999999999E-2</v>
      </c>
      <c r="BR84" s="23">
        <f t="shared" ref="BR84:BR87" ca="1" si="107">BO84-BO85</f>
        <v>-0.85829574999996794</v>
      </c>
      <c r="BS84" s="7">
        <f t="shared" ref="BS84:BS87" ca="1" si="108">SQRT((BP84^2)+(BR84^2))</f>
        <v>1.386241458123963</v>
      </c>
      <c r="BT84" s="7">
        <f ca="1">(BS84/(BL84-BL85))*31</f>
        <v>0.37046107932623151</v>
      </c>
      <c r="BU84" s="23">
        <f t="shared" ref="BU84:BU87" ca="1" si="109">BU85+BS84</f>
        <v>13.640615176499303</v>
      </c>
      <c r="BV84" s="23">
        <f t="shared" ref="BV84:BV87" ca="1" si="110">BV85+BR84</f>
        <v>-3.7737677499999904</v>
      </c>
    </row>
    <row r="85" spans="4:74" x14ac:dyDescent="0.3">
      <c r="D85" s="23">
        <f t="shared" ca="1" si="104"/>
        <v>3.1878999999999998E-2</v>
      </c>
      <c r="E85" s="23">
        <f t="shared" ca="1" si="104"/>
        <v>3.3222000000000002E-2</v>
      </c>
      <c r="F85" s="23">
        <f t="shared" si="104"/>
        <v>0</v>
      </c>
      <c r="G85" s="23">
        <f t="shared" ca="1" si="104"/>
        <v>2.7244999999999998E-2</v>
      </c>
      <c r="H85" s="23">
        <f t="shared" ref="H85" ca="1" si="111">H73</f>
        <v>2.7942000000000002E-2</v>
      </c>
      <c r="I85" s="23">
        <f t="shared" ca="1" si="104"/>
        <v>3.4676999999999999E-2</v>
      </c>
      <c r="J85" s="23">
        <f t="shared" ca="1" si="104"/>
        <v>3.0286E-2</v>
      </c>
      <c r="K85" s="23">
        <f t="shared" ca="1" si="104"/>
        <v>2.6750000000000003E-2</v>
      </c>
      <c r="L85" s="23">
        <f t="shared" ca="1" si="104"/>
        <v>2.5958000000000002E-2</v>
      </c>
      <c r="O85" s="4"/>
      <c r="P85" s="32"/>
      <c r="Q85" s="33"/>
      <c r="R85" s="4"/>
      <c r="S85" s="4"/>
      <c r="T85" s="4"/>
      <c r="U85" s="4"/>
      <c r="V85" s="4"/>
      <c r="W85" s="4"/>
      <c r="AK85" s="3" t="s">
        <v>380</v>
      </c>
      <c r="AL85" s="1">
        <v>42562</v>
      </c>
      <c r="AM85" s="23" cm="1">
        <f t="array" aca="1" ref="AM85" ca="1">INDIRECT("'"&amp;$B35&amp;"'!"&amp;(D$5&amp;$P$15))</f>
        <v>1844577.6618989999</v>
      </c>
      <c r="AN85" s="23" cm="1">
        <f t="array" aca="1" ref="AN85" ca="1">INDIRECT("'"&amp;$B35&amp;"'!"&amp;(E$5&amp;$P$15))</f>
        <v>5596364.8443470001</v>
      </c>
      <c r="AO85" s="23" cm="1">
        <f t="array" aca="1" ref="AO85" ca="1">INDIRECT("'"&amp;$B35&amp;"'!"&amp;(F$5&amp;$P$15))</f>
        <v>414.657175</v>
      </c>
      <c r="AP85" s="21">
        <f t="shared" ca="1" si="98"/>
        <v>7.0807499351364184E-2</v>
      </c>
      <c r="AQ85" s="21" cm="1">
        <f t="array" aca="1" ref="AQ85" ca="1">INDIRECT("'"&amp;AK85&amp;"'!"&amp;$H$5&amp;$P$15)+0.01</f>
        <v>2.826E-2</v>
      </c>
      <c r="AR85" s="23">
        <f t="shared" ca="1" si="99"/>
        <v>-4.4828750000021955E-2</v>
      </c>
      <c r="AS85" s="7">
        <f t="shared" ca="1" si="100"/>
        <v>8.380524321877425E-2</v>
      </c>
      <c r="AT85" s="7">
        <f t="shared" ca="1" si="94"/>
        <v>0.26369753254183276</v>
      </c>
      <c r="AU85" s="23">
        <f t="shared" ca="1" si="101"/>
        <v>0.21485200842192176</v>
      </c>
      <c r="AV85" s="23">
        <f t="shared" ca="1" si="97"/>
        <v>-5.8370749999994587E-2</v>
      </c>
      <c r="BK85" s="21" t="s">
        <v>381</v>
      </c>
      <c r="BL85" s="1">
        <v>42446</v>
      </c>
      <c r="BM85" s="34" cm="1">
        <f t="array" aca="1" ref="BM85" ca="1">INDIRECT("'"&amp;$B36&amp;"'!"&amp;(D$5&amp;$P$26))</f>
        <v>1844346.6678720003</v>
      </c>
      <c r="BN85" s="34" cm="1">
        <f t="array" aca="1" ref="BN85" ca="1">INDIRECT("'"&amp;$B36&amp;"'!"&amp;(E$5&amp;$P$26))</f>
        <v>5595796.3195335008</v>
      </c>
      <c r="BO85" s="34" cm="1">
        <f t="array" aca="1" ref="BO85" ca="1">INDIRECT("'"&amp;$B36&amp;"'!"&amp;(F$5&amp;$P$26))</f>
        <v>356.83207375000001</v>
      </c>
      <c r="BP85" s="7">
        <f t="shared" ca="1" si="106"/>
        <v>0.89833045530654143</v>
      </c>
      <c r="BQ85" s="7" cm="1">
        <f t="array" aca="1" ref="BQ85" ca="1">INDIRECT("'"&amp;BK85&amp;"'!"&amp;$H$5&amp;$P$26)+0.01</f>
        <v>2.7458999999999997E-2</v>
      </c>
      <c r="BR85" s="23">
        <f t="shared" ca="1" si="107"/>
        <v>-0.84649850000005245</v>
      </c>
      <c r="BS85" s="7">
        <f t="shared" ca="1" si="108"/>
        <v>1.234324640211641</v>
      </c>
      <c r="BT85" s="7">
        <f ca="1">(BS85/(BL85-BL86))*31</f>
        <v>0.37885211729268187</v>
      </c>
      <c r="BU85" s="23">
        <f t="shared" ca="1" si="109"/>
        <v>12.254373718375339</v>
      </c>
      <c r="BV85" s="23">
        <f t="shared" ca="1" si="110"/>
        <v>-2.9154720000000225</v>
      </c>
    </row>
    <row r="86" spans="4:74" x14ac:dyDescent="0.3">
      <c r="D86" s="23">
        <f t="shared" ca="1" si="104"/>
        <v>2.7402000000000003E-2</v>
      </c>
      <c r="E86" s="23">
        <f t="shared" ca="1" si="104"/>
        <v>2.4635000000000001E-2</v>
      </c>
      <c r="F86" s="23">
        <f t="shared" ca="1" si="104"/>
        <v>2.4272999999999999E-2</v>
      </c>
      <c r="G86" s="23">
        <f t="shared" ca="1" si="104"/>
        <v>5.7322000000000005E-2</v>
      </c>
      <c r="H86" s="23">
        <f t="shared" ref="H86" ca="1" si="112">H74</f>
        <v>2.6854999999999997E-2</v>
      </c>
      <c r="I86" s="23">
        <f t="shared" ca="1" si="104"/>
        <v>2.2711000000000002E-2</v>
      </c>
      <c r="J86" s="23">
        <f t="shared" ca="1" si="104"/>
        <v>2.8762000000000003E-2</v>
      </c>
      <c r="K86" s="23">
        <f t="shared" ca="1" si="104"/>
        <v>3.3741E-2</v>
      </c>
      <c r="L86" s="23">
        <f t="shared" si="104"/>
        <v>0</v>
      </c>
      <c r="O86" s="4"/>
      <c r="P86" s="32"/>
      <c r="Q86" s="33"/>
      <c r="R86" s="4"/>
      <c r="S86" s="4"/>
      <c r="T86" s="4"/>
      <c r="U86" s="4"/>
      <c r="V86" s="4"/>
      <c r="W86" s="4"/>
      <c r="AK86" s="3" t="s">
        <v>381</v>
      </c>
      <c r="AL86" s="1">
        <v>42446</v>
      </c>
      <c r="AM86" s="23" cm="1">
        <f t="array" aca="1" ref="AM86" ca="1">INDIRECT("'"&amp;$B36&amp;"'!"&amp;(D$5&amp;$P$15))</f>
        <v>1844577.7104030002</v>
      </c>
      <c r="AN86" s="23" cm="1">
        <f t="array" aca="1" ref="AN86" ca="1">INDIRECT("'"&amp;$B36&amp;"'!"&amp;(E$5&amp;$P$15))</f>
        <v>5596364.8959325012</v>
      </c>
      <c r="AO86" s="23" cm="1">
        <f t="array" aca="1" ref="AO86" ca="1">INDIRECT("'"&amp;$B36&amp;"'!"&amp;(F$5&amp;$P$15))</f>
        <v>414.70200375000002</v>
      </c>
      <c r="AP86" s="21">
        <f t="shared" ca="1" si="98"/>
        <v>3.4076648024120096E-2</v>
      </c>
      <c r="AQ86" s="21" cm="1">
        <f t="array" aca="1" ref="AQ86" ca="1">INDIRECT("'"&amp;AK86&amp;"'!"&amp;$H$5&amp;$P$15)+0.01</f>
        <v>2.4363000000000003E-2</v>
      </c>
      <c r="AR86" s="23">
        <f t="shared" ca="1" si="99"/>
        <v>-2.3568500000010317E-2</v>
      </c>
      <c r="AS86" s="7">
        <f t="shared" ca="1" si="100"/>
        <v>4.1432983633938963E-2</v>
      </c>
      <c r="AT86" s="7">
        <f t="shared" ca="1" si="94"/>
        <v>0.14973305966720515</v>
      </c>
      <c r="AU86" s="23">
        <f t="shared" ca="1" si="101"/>
        <v>0.13104676520314751</v>
      </c>
      <c r="AV86" s="23">
        <f t="shared" ca="1" si="97"/>
        <v>-1.3541999999972631E-2</v>
      </c>
      <c r="BK86" s="21" t="s">
        <v>382</v>
      </c>
      <c r="BL86" s="1">
        <v>42345</v>
      </c>
      <c r="BM86" s="34" cm="1">
        <f t="array" aca="1" ref="BM86" ca="1">INDIRECT("'"&amp;$B37&amp;"'!"&amp;(D$5&amp;$P$26))</f>
        <v>1844346.6026960001</v>
      </c>
      <c r="BN86" s="34" cm="1">
        <f t="array" aca="1" ref="BN86" ca="1">INDIRECT("'"&amp;$B37&amp;"'!"&amp;(E$5&amp;$P$26))</f>
        <v>5595797.2154965</v>
      </c>
      <c r="BO86" s="34" cm="1">
        <f t="array" aca="1" ref="BO86" ca="1">INDIRECT("'"&amp;$B37&amp;"'!"&amp;(F$5&amp;$P$26))</f>
        <v>357.67857225000006</v>
      </c>
      <c r="BP86" s="7">
        <f t="shared" ca="1" si="106"/>
        <v>4.446207031776896</v>
      </c>
      <c r="BQ86" s="7" cm="1">
        <f t="array" aca="1" ref="BQ86" ca="1">INDIRECT("'"&amp;BK86&amp;"'!"&amp;$H$5&amp;$P$26)+0.01</f>
        <v>1.4E-2</v>
      </c>
      <c r="BR86" s="23">
        <f t="shared" ca="1" si="107"/>
        <v>2.164026500000034</v>
      </c>
      <c r="BS86" s="7">
        <f t="shared" ca="1" si="108"/>
        <v>4.9448728661235277</v>
      </c>
      <c r="BT86" s="7">
        <f ca="1">(BS86/(BL86-BL87))*31</f>
        <v>2.2542802772033732</v>
      </c>
      <c r="BU86" s="23">
        <f t="shared" ca="1" si="109"/>
        <v>11.020049078163698</v>
      </c>
      <c r="BV86" s="23">
        <f t="shared" ca="1" si="110"/>
        <v>-2.06897349999997</v>
      </c>
    </row>
    <row r="87" spans="4:74" x14ac:dyDescent="0.3">
      <c r="D87" s="23">
        <f t="shared" ca="1" si="104"/>
        <v>3.4049999999999997E-2</v>
      </c>
      <c r="E87" s="23">
        <f t="shared" ca="1" si="104"/>
        <v>5.3945E-2</v>
      </c>
      <c r="F87" s="23">
        <f t="shared" ca="1" si="104"/>
        <v>2.8097999999999998E-2</v>
      </c>
      <c r="G87" s="23">
        <f t="shared" ca="1" si="104"/>
        <v>3.1106000000000002E-2</v>
      </c>
      <c r="H87" s="23">
        <f t="shared" ref="H87" ca="1" si="113">H75</f>
        <v>3.6638999999999998E-2</v>
      </c>
      <c r="I87" s="23">
        <f t="shared" ca="1" si="104"/>
        <v>4.5107000000000001E-2</v>
      </c>
      <c r="J87" s="23">
        <f t="shared" ca="1" si="104"/>
        <v>3.5730999999999999E-2</v>
      </c>
      <c r="K87" s="23">
        <f t="shared" ca="1" si="104"/>
        <v>3.1212999999999998E-2</v>
      </c>
      <c r="L87" s="23">
        <f t="shared" si="104"/>
        <v>0</v>
      </c>
      <c r="O87" s="4"/>
      <c r="P87" s="32"/>
      <c r="Q87" s="33"/>
      <c r="R87" s="4"/>
      <c r="S87" s="4"/>
      <c r="T87" s="4"/>
      <c r="U87" s="4"/>
      <c r="V87" s="4"/>
      <c r="W87" s="4"/>
      <c r="AK87" s="3" t="s">
        <v>382</v>
      </c>
      <c r="AL87" s="1">
        <v>42345</v>
      </c>
      <c r="AM87" s="23" cm="1">
        <f t="array" aca="1" ref="AM87" ca="1">INDIRECT("'"&amp;$B37&amp;"'!"&amp;(D$5&amp;$P$15))</f>
        <v>1844577.6776960001</v>
      </c>
      <c r="AN87" s="23" cm="1">
        <f t="array" aca="1" ref="AN87" ca="1">INDIRECT("'"&amp;$B37&amp;"'!"&amp;(E$5&amp;$P$15))</f>
        <v>5596364.9054965004</v>
      </c>
      <c r="AO87" s="23" cm="1">
        <f t="array" aca="1" ref="AO87" ca="1">INDIRECT("'"&amp;$B37&amp;"'!"&amp;(F$5&amp;$P$15))</f>
        <v>414.72557225000003</v>
      </c>
      <c r="AP87" s="21">
        <f t="shared" ca="1" si="98"/>
        <v>3.3363520177135575E-3</v>
      </c>
      <c r="AQ87" s="21" cm="1">
        <f t="array" aca="1" ref="AQ87" ca="1">INDIRECT("'"&amp;AK87&amp;"'!"&amp;$H$5&amp;$P$15)+0.01</f>
        <v>1.6E-2</v>
      </c>
      <c r="AR87" s="23">
        <f t="shared" ca="1" si="99"/>
        <v>1.8026500000019041E-2</v>
      </c>
      <c r="AS87" s="7">
        <f t="shared" ca="1" si="100"/>
        <v>1.8332647027551364E-2</v>
      </c>
      <c r="AT87" s="7">
        <f t="shared" ca="1" si="94"/>
        <v>9.8403178897886009E-2</v>
      </c>
      <c r="AU87" s="23">
        <f t="shared" ca="1" si="101"/>
        <v>8.9613781569208545E-2</v>
      </c>
      <c r="AV87" s="23">
        <f t="shared" ca="1" si="97"/>
        <v>1.0026500000037686E-2</v>
      </c>
      <c r="BK87" s="21" t="s">
        <v>383</v>
      </c>
      <c r="BL87" s="1">
        <v>42277</v>
      </c>
      <c r="BM87" s="34" cm="1">
        <f t="array" aca="1" ref="BM87" ca="1">INDIRECT("'"&amp;$B38&amp;"'!"&amp;(D$5&amp;$P$26))</f>
        <v>1844350.5048300002</v>
      </c>
      <c r="BN87" s="34" cm="1">
        <f t="array" aca="1" ref="BN87" ca="1">INDIRECT("'"&amp;$B38&amp;"'!"&amp;(E$5&amp;$P$26))</f>
        <v>5595795.0842744997</v>
      </c>
      <c r="BO87" s="34" cm="1">
        <f t="array" aca="1" ref="BO87" ca="1">INDIRECT("'"&amp;$B38&amp;"'!"&amp;(F$5&amp;$P$26))</f>
        <v>355.51454575000002</v>
      </c>
      <c r="BP87" s="7">
        <f t="shared" ca="1" si="106"/>
        <v>4.3576917063209892</v>
      </c>
      <c r="BQ87" s="7" cm="1">
        <f t="array" aca="1" ref="BQ87" ca="1">INDIRECT("'"&amp;BK87&amp;"'!"&amp;$H$5&amp;$P$26)+0.01</f>
        <v>1.7000000000000001E-2</v>
      </c>
      <c r="BR87" s="23">
        <f t="shared" ca="1" si="107"/>
        <v>-4.2330000000000041</v>
      </c>
      <c r="BS87" s="7">
        <f t="shared" ca="1" si="108"/>
        <v>6.0751762120401711</v>
      </c>
      <c r="BT87" s="7">
        <f ca="1">(BS87/(BL87-BL88))*31</f>
        <v>2.1160726131825318</v>
      </c>
      <c r="BU87" s="23">
        <f t="shared" ca="1" si="109"/>
        <v>6.0751762120401711</v>
      </c>
      <c r="BV87" s="23">
        <f t="shared" ca="1" si="110"/>
        <v>-4.2330000000000041</v>
      </c>
    </row>
    <row r="88" spans="4:74" x14ac:dyDescent="0.3">
      <c r="D88" s="23">
        <f t="shared" ca="1" si="104"/>
        <v>3.3175999999999997E-2</v>
      </c>
      <c r="E88" s="23">
        <f t="shared" ca="1" si="104"/>
        <v>4.2608E-2</v>
      </c>
      <c r="F88" s="23">
        <f t="shared" ca="1" si="104"/>
        <v>3.1077E-2</v>
      </c>
      <c r="G88" s="23">
        <f t="shared" ca="1" si="104"/>
        <v>2.5266999999999998E-2</v>
      </c>
      <c r="H88" s="23">
        <f t="shared" ref="H88" ca="1" si="114">H76</f>
        <v>3.1472E-2</v>
      </c>
      <c r="I88" s="23">
        <f t="shared" ca="1" si="104"/>
        <v>2.7666000000000003E-2</v>
      </c>
      <c r="J88" s="23">
        <f t="shared" ca="1" si="104"/>
        <v>3.1948999999999998E-2</v>
      </c>
      <c r="K88" s="23">
        <f t="shared" ca="1" si="104"/>
        <v>3.3388000000000001E-2</v>
      </c>
      <c r="L88" s="23">
        <f t="shared" ca="1" si="104"/>
        <v>2.1069999999999998E-2</v>
      </c>
      <c r="O88" s="4"/>
      <c r="P88" s="32"/>
      <c r="Q88" s="33"/>
      <c r="R88" s="4"/>
      <c r="S88" s="4"/>
      <c r="T88" s="4"/>
      <c r="U88" s="4"/>
      <c r="V88" s="4"/>
      <c r="W88" s="4"/>
      <c r="AK88" s="3" t="s">
        <v>383</v>
      </c>
      <c r="AL88" s="1">
        <v>42277</v>
      </c>
      <c r="AM88" s="23" cm="1">
        <f t="array" aca="1" ref="AM88" ca="1">INDIRECT("'"&amp;$B38&amp;"'!"&amp;(D$5&amp;$P$15))</f>
        <v>1844577.6768300002</v>
      </c>
      <c r="AN88" s="23" cm="1">
        <f t="array" aca="1" ref="AN88" ca="1">INDIRECT("'"&amp;$B38&amp;"'!"&amp;(E$5&amp;$P$15))</f>
        <v>5596364.9022744996</v>
      </c>
      <c r="AO88" s="23" cm="1">
        <f t="array" aca="1" ref="AO88" ca="1">INDIRECT("'"&amp;$B38&amp;"'!"&amp;(F$5&amp;$P$15))</f>
        <v>414.70754575000001</v>
      </c>
      <c r="AP88" s="21">
        <f ca="1">SQRT(((AM88-AM89)^2)+((AN88-AN89)^2))</f>
        <v>7.0830785267044241E-2</v>
      </c>
      <c r="AQ88" s="21" cm="1">
        <f t="array" aca="1" ref="AQ88" ca="1">INDIRECT("'"&amp;AK88&amp;"'!"&amp;$H$5&amp;$P$15)+0.01</f>
        <v>1.7000000000000001E-2</v>
      </c>
      <c r="AR88" s="23">
        <f ca="1">AO88-AO89</f>
        <v>-7.9999999999813554E-3</v>
      </c>
      <c r="AS88" s="7">
        <f ca="1">SQRT((AP88^2)+(AR88^2))</f>
        <v>7.1281134541657187E-2</v>
      </c>
      <c r="AT88" s="7">
        <f t="shared" ca="1" si="94"/>
        <v>0.29233274278320082</v>
      </c>
      <c r="AU88" s="23">
        <f ca="1">AU89+AS88</f>
        <v>7.1281134541657187E-2</v>
      </c>
      <c r="AV88" s="23">
        <f ca="1">AV89+AR88</f>
        <v>-7.9999999999813554E-3</v>
      </c>
      <c r="BK88" s="21" t="s">
        <v>384</v>
      </c>
      <c r="BL88" s="1">
        <v>42188</v>
      </c>
      <c r="BM88" s="34" cm="1">
        <f t="array" aca="1" ref="BM88" ca="1">INDIRECT("'"&amp;$B39&amp;"'!"&amp;(D$5&amp;$P$26))</f>
        <v>1844350.1858300001</v>
      </c>
      <c r="BN88" s="34" cm="1">
        <f t="array" aca="1" ref="BN88" ca="1">INDIRECT("'"&amp;$B39&amp;"'!"&amp;(E$5&amp;$P$26))</f>
        <v>5595799.4302745005</v>
      </c>
      <c r="BO88" s="34" cm="1">
        <f t="array" aca="1" ref="BO88" ca="1">INDIRECT("'"&amp;$B39&amp;"'!"&amp;(F$5&amp;$P$26))</f>
        <v>359.74754575000003</v>
      </c>
      <c r="BP88" s="7"/>
      <c r="BR88" s="21"/>
      <c r="BS88" s="21"/>
      <c r="BT88" s="21"/>
      <c r="BU88" s="21"/>
      <c r="BV88" s="21">
        <v>0</v>
      </c>
    </row>
    <row r="89" spans="4:74" x14ac:dyDescent="0.3">
      <c r="D89" s="23">
        <f t="shared" ca="1" si="104"/>
        <v>3.3257000000000002E-2</v>
      </c>
      <c r="E89" s="23">
        <f t="shared" ca="1" si="104"/>
        <v>2.4668000000000002E-2</v>
      </c>
      <c r="F89" s="23">
        <f t="shared" ca="1" si="104"/>
        <v>2.4565E-2</v>
      </c>
      <c r="G89" s="23">
        <f t="shared" ca="1" si="104"/>
        <v>3.9609999999999999E-2</v>
      </c>
      <c r="H89" s="23">
        <f t="shared" ref="H89" ca="1" si="115">H77</f>
        <v>2.6217999999999998E-2</v>
      </c>
      <c r="I89" s="23">
        <f t="shared" ca="1" si="104"/>
        <v>2.3644999999999999E-2</v>
      </c>
      <c r="J89" s="23">
        <f t="shared" ca="1" si="104"/>
        <v>2.6006000000000001E-2</v>
      </c>
      <c r="K89" s="23">
        <f t="shared" ca="1" si="104"/>
        <v>2.1351999999999999E-2</v>
      </c>
      <c r="L89" s="23">
        <f t="shared" si="104"/>
        <v>0</v>
      </c>
      <c r="O89" s="4"/>
      <c r="P89" s="32"/>
      <c r="Q89" s="33"/>
      <c r="R89" s="4"/>
      <c r="S89" s="4"/>
      <c r="T89" s="4"/>
      <c r="U89" s="4"/>
      <c r="V89" s="4"/>
      <c r="W89" s="4"/>
      <c r="AK89" s="3" t="s">
        <v>384</v>
      </c>
      <c r="AL89" s="1">
        <v>42188</v>
      </c>
      <c r="AM89" s="23" cm="1">
        <f t="array" aca="1" ref="AM89" ca="1">INDIRECT("'"&amp;$B39&amp;"'!"&amp;(D$5&amp;$P$15))</f>
        <v>1844577.6928300001</v>
      </c>
      <c r="AN89" s="23" cm="1">
        <f t="array" aca="1" ref="AN89" ca="1">INDIRECT("'"&amp;$B39&amp;"'!"&amp;(E$5&amp;$P$15))</f>
        <v>5596364.9712745007</v>
      </c>
      <c r="AO89" s="23" cm="1">
        <f t="array" aca="1" ref="AO89" ca="1">INDIRECT("'"&amp;$B39&amp;"'!"&amp;(F$5&amp;$P$15))</f>
        <v>414.71554574999999</v>
      </c>
      <c r="AP89" s="21"/>
      <c r="AQ89" s="21"/>
      <c r="AR89" s="23"/>
      <c r="AS89" s="7"/>
      <c r="AT89" s="7"/>
      <c r="AU89" s="10"/>
      <c r="AV89" s="21">
        <v>0</v>
      </c>
      <c r="BP89" s="7"/>
    </row>
    <row r="90" spans="4:74" x14ac:dyDescent="0.3">
      <c r="D90" s="23">
        <f t="shared" ca="1" si="104"/>
        <v>2.8170000000000001E-2</v>
      </c>
      <c r="E90" s="23">
        <f t="shared" ca="1" si="104"/>
        <v>4.0056000000000001E-2</v>
      </c>
      <c r="F90" s="23">
        <f t="shared" ca="1" si="104"/>
        <v>3.1420999999999998E-2</v>
      </c>
      <c r="G90" s="23">
        <f t="shared" ca="1" si="104"/>
        <v>3.4242000000000002E-2</v>
      </c>
      <c r="H90" s="23">
        <f t="shared" ref="H90" ca="1" si="116">H78</f>
        <v>3.7588000000000003E-2</v>
      </c>
      <c r="I90" s="23">
        <f t="shared" ca="1" si="104"/>
        <v>3.4242000000000002E-2</v>
      </c>
      <c r="J90" s="23">
        <f t="shared" ca="1" si="104"/>
        <v>4.2099000000000004E-2</v>
      </c>
      <c r="K90" s="23">
        <f t="shared" ca="1" si="104"/>
        <v>3.0643999999999998E-2</v>
      </c>
      <c r="L90" s="23">
        <f t="shared" si="104"/>
        <v>0</v>
      </c>
      <c r="O90" s="4"/>
      <c r="P90" s="32"/>
      <c r="Q90" s="33"/>
      <c r="R90" s="4"/>
      <c r="S90" s="4"/>
      <c r="T90" s="4"/>
      <c r="U90" s="4"/>
      <c r="V90" s="4"/>
      <c r="W90" s="4"/>
      <c r="AL90" s="1"/>
      <c r="BP90" s="7"/>
    </row>
    <row r="91" spans="4:74" x14ac:dyDescent="0.3">
      <c r="D91" s="23">
        <f t="shared" ca="1" si="104"/>
        <v>2.8059000000000001E-2</v>
      </c>
      <c r="E91" s="23">
        <f t="shared" ca="1" si="104"/>
        <v>3.0275000000000003E-2</v>
      </c>
      <c r="F91" s="23">
        <f t="shared" ca="1" si="104"/>
        <v>3.4245999999999999E-2</v>
      </c>
      <c r="G91" s="23">
        <f t="shared" ca="1" si="104"/>
        <v>2.8145999999999997E-2</v>
      </c>
      <c r="H91" s="23">
        <f t="shared" ref="H91" ca="1" si="117">H79</f>
        <v>2.826E-2</v>
      </c>
      <c r="I91" s="23">
        <f t="shared" ca="1" si="104"/>
        <v>4.6240000000000003E-2</v>
      </c>
      <c r="J91" s="23">
        <f t="shared" ca="1" si="104"/>
        <v>2.8642000000000001E-2</v>
      </c>
      <c r="K91" s="23">
        <f t="shared" ca="1" si="104"/>
        <v>2.264E-2</v>
      </c>
      <c r="L91" s="23">
        <f t="shared" ca="1" si="104"/>
        <v>3.0275000000000003E-2</v>
      </c>
      <c r="O91" s="4"/>
      <c r="P91" s="4"/>
      <c r="Q91" s="4"/>
      <c r="R91" s="4"/>
      <c r="S91" s="4"/>
      <c r="T91" s="4"/>
      <c r="U91" s="4"/>
      <c r="V91" s="4"/>
      <c r="W91" s="4"/>
      <c r="AL91" s="1"/>
      <c r="BK91" s="21" t="s">
        <v>589</v>
      </c>
      <c r="BL91" s="1"/>
      <c r="BM91" s="21" t="s">
        <v>541</v>
      </c>
      <c r="BN91" s="21" t="s">
        <v>542</v>
      </c>
      <c r="BO91" s="21" t="s">
        <v>543</v>
      </c>
      <c r="BP91" s="7" t="s">
        <v>427</v>
      </c>
      <c r="BQ91" s="7" t="s">
        <v>525</v>
      </c>
      <c r="BR91" s="21" t="s">
        <v>428</v>
      </c>
      <c r="BS91" s="21" t="s">
        <v>429</v>
      </c>
      <c r="BT91" s="21" t="s">
        <v>606</v>
      </c>
      <c r="BU91" s="21" t="s">
        <v>430</v>
      </c>
      <c r="BV91" s="33" t="s">
        <v>582</v>
      </c>
    </row>
    <row r="92" spans="4:74" x14ac:dyDescent="0.3">
      <c r="D92" s="23">
        <f t="shared" ca="1" si="104"/>
        <v>2.3698E-2</v>
      </c>
      <c r="E92" s="23">
        <f t="shared" ca="1" si="104"/>
        <v>2.3030999999999999E-2</v>
      </c>
      <c r="F92" s="23">
        <f t="shared" ca="1" si="104"/>
        <v>2.5852E-2</v>
      </c>
      <c r="G92" s="23">
        <f t="shared" ca="1" si="104"/>
        <v>2.2059000000000002E-2</v>
      </c>
      <c r="H92" s="23">
        <f t="shared" ref="H92" ca="1" si="118">H80</f>
        <v>2.4363000000000003E-2</v>
      </c>
      <c r="I92" s="23">
        <f t="shared" ca="1" si="104"/>
        <v>2.5814999999999998E-2</v>
      </c>
      <c r="J92" s="23">
        <f t="shared" ca="1" si="104"/>
        <v>3.5199000000000001E-2</v>
      </c>
      <c r="K92" s="23">
        <f t="shared" ca="1" si="104"/>
        <v>3.1572000000000003E-2</v>
      </c>
      <c r="L92" s="23">
        <f t="shared" ca="1" si="104"/>
        <v>2.3694E-2</v>
      </c>
      <c r="AK92" s="51" t="s">
        <v>571</v>
      </c>
      <c r="AL92" s="30"/>
      <c r="AM92" s="5" t="s">
        <v>541</v>
      </c>
      <c r="AN92" s="5" t="s">
        <v>542</v>
      </c>
      <c r="AO92" s="5" t="s">
        <v>543</v>
      </c>
      <c r="AP92" s="21" t="s">
        <v>427</v>
      </c>
      <c r="AQ92" s="21" t="s">
        <v>525</v>
      </c>
      <c r="AR92" s="21" t="s">
        <v>428</v>
      </c>
      <c r="AS92" s="21" t="s">
        <v>429</v>
      </c>
      <c r="AT92" s="21" t="s">
        <v>438</v>
      </c>
      <c r="AU92" s="21" t="s">
        <v>430</v>
      </c>
      <c r="AV92" s="33" t="s">
        <v>582</v>
      </c>
      <c r="BK92" s="21" t="s">
        <v>526</v>
      </c>
      <c r="BL92" s="1">
        <v>43817</v>
      </c>
      <c r="BM92" s="34" cm="1">
        <f t="array" aca="1" ref="BM92" ca="1">INDIRECT("'"&amp;$B27&amp;"'!"&amp;(D$5&amp;$P$27))</f>
        <v>1844522.2921190001</v>
      </c>
      <c r="BN92" s="34" cm="1">
        <f t="array" aca="1" ref="BN92" ca="1">INDIRECT("'"&amp;$B27&amp;"'!"&amp;(E$5&amp;$P$27))</f>
        <v>5595809.2510810001</v>
      </c>
      <c r="BO92" s="34" cm="1">
        <f t="array" aca="1" ref="BO92" ca="1">INDIRECT("'"&amp;$B27&amp;"'!"&amp;(F$5&amp;$P$27))</f>
        <v>366.31895300000002</v>
      </c>
      <c r="BP92" s="7">
        <f ca="1">SQRT(((BM92-BM93)^2)+((BN92-BN93)^2))</f>
        <v>4.1973844874027941</v>
      </c>
      <c r="BQ92" s="7" cm="1">
        <f t="array" aca="1" ref="BQ92" ca="1">INDIRECT("'"&amp;BK92&amp;"'!"&amp;$H$5&amp;$P$27)+0.01</f>
        <v>2.8281000000000001E-2</v>
      </c>
      <c r="BR92" s="23">
        <f ca="1">BO92-BO93</f>
        <v>-0.97147099999995135</v>
      </c>
      <c r="BS92" s="7">
        <f ca="1">SQRT((BP92^2)+(BR92^2))</f>
        <v>4.308339870406062</v>
      </c>
      <c r="BT92" s="7">
        <f t="shared" ref="BT92:BT97" ca="1" si="119">(BS92/(BL92-BL93))*31</f>
        <v>0.30703111720135157</v>
      </c>
      <c r="BU92" s="23">
        <f ca="1">BU93+BS92</f>
        <v>16.029335382562415</v>
      </c>
      <c r="BV92" s="23">
        <f ca="1">BV93+BR92</f>
        <v>-2.9696192499999938</v>
      </c>
    </row>
    <row r="93" spans="4:74" x14ac:dyDescent="0.3">
      <c r="D93" s="23">
        <f t="shared" ca="1" si="104"/>
        <v>1.7000000000000001E-2</v>
      </c>
      <c r="E93" s="23">
        <f t="shared" ca="1" si="104"/>
        <v>1.9E-2</v>
      </c>
      <c r="F93" s="23">
        <f t="shared" ca="1" si="104"/>
        <v>1.4999999999999999E-2</v>
      </c>
      <c r="G93" s="23">
        <f t="shared" ca="1" si="104"/>
        <v>1.8000000000000002E-2</v>
      </c>
      <c r="H93" s="23">
        <f t="shared" ref="H93" ca="1" si="120">H81</f>
        <v>1.6E-2</v>
      </c>
      <c r="I93" s="23">
        <f t="shared" ca="1" si="104"/>
        <v>1.9E-2</v>
      </c>
      <c r="J93" s="23">
        <f t="shared" si="104"/>
        <v>0</v>
      </c>
      <c r="K93" s="23">
        <f t="shared" si="104"/>
        <v>0</v>
      </c>
      <c r="L93" s="23">
        <f t="shared" ca="1" si="104"/>
        <v>2.0999999999999998E-2</v>
      </c>
      <c r="AK93" s="3" t="s">
        <v>526</v>
      </c>
      <c r="AL93" s="1">
        <v>43817</v>
      </c>
      <c r="AM93" s="23" cm="1">
        <f t="array" aca="1" ref="AM93" ca="1">INDIRECT("'"&amp;$B27&amp;"'!"&amp;(D$5&amp;$P$16))</f>
        <v>1844789.064982</v>
      </c>
      <c r="AN93" s="23" cm="1">
        <f t="array" aca="1" ref="AN93" ca="1">INDIRECT("'"&amp;$B27&amp;"'!"&amp;(E$5&amp;$P$16))</f>
        <v>5596419.657199</v>
      </c>
      <c r="AO93" s="23" cm="1">
        <f t="array" aca="1" ref="AO93" ca="1">INDIRECT("'"&amp;$B27&amp;"'!"&amp;(F$5&amp;$P$16))</f>
        <v>421.31316500000003</v>
      </c>
      <c r="AP93" s="21">
        <f ca="1">SQRT(((AM93-AM94)^2)+((AN93-AN94)^2))</f>
        <v>8.8575859337390817E-2</v>
      </c>
      <c r="AQ93" s="21" cm="1">
        <f t="array" aca="1" ref="AQ93" ca="1">INDIRECT("'"&amp;AK93&amp;"'!"&amp;$H$5&amp;$P$16)+0.01</f>
        <v>2.1860999999999998E-2</v>
      </c>
      <c r="AR93" s="23">
        <f ca="1">AO93-AO94</f>
        <v>-3.79109999999514E-2</v>
      </c>
      <c r="AS93" s="7">
        <f ca="1">SQRT((AP93^2)+(AR93^2))</f>
        <v>9.6347946414822763E-2</v>
      </c>
      <c r="AT93" s="7">
        <f t="shared" ref="AT93:AT104" ca="1" si="121">(AS93/(AL93-AL94))*365</f>
        <v>8.084367917565588E-2</v>
      </c>
      <c r="AU93" s="23">
        <f ca="1">AU94+AS93</f>
        <v>0.86486940587848415</v>
      </c>
      <c r="AV93" s="23">
        <f ca="1">AV94+AR93</f>
        <v>-0.13738074999997707</v>
      </c>
      <c r="BK93" s="21" t="s">
        <v>373</v>
      </c>
      <c r="BL93" s="1">
        <v>43382</v>
      </c>
      <c r="BM93" s="34" cm="1">
        <f t="array" aca="1" ref="BM93" ca="1">INDIRECT("'"&amp;$B28&amp;"'!"&amp;(D$5&amp;$P$27))</f>
        <v>1844522.773364</v>
      </c>
      <c r="BN93" s="34" cm="1">
        <f t="array" aca="1" ref="BN93" ca="1">INDIRECT("'"&amp;$B28&amp;"'!"&amp;(E$5&amp;$P$27))</f>
        <v>5595813.4207859999</v>
      </c>
      <c r="BO93" s="34" cm="1">
        <f t="array" aca="1" ref="BO93" ca="1">INDIRECT("'"&amp;$B28&amp;"'!"&amp;(F$5&amp;$P$27))</f>
        <v>367.29042399999997</v>
      </c>
      <c r="BP93" s="7">
        <f t="shared" ref="BP93:BP97" ca="1" si="122">SQRT(((BM93-BM94)^2)+((BN93-BN94)^2))</f>
        <v>2.7408104385203944</v>
      </c>
      <c r="BQ93" s="7" cm="1">
        <f t="array" aca="1" ref="BQ93" ca="1">INDIRECT("'"&amp;BK93&amp;"'!"&amp;$H$5&amp;$P$27)+0.01</f>
        <v>3.8584E-2</v>
      </c>
      <c r="BR93" s="23">
        <f t="shared" ref="BR93:BR97" ca="1" si="123">BO93-BO94</f>
        <v>-0.65295400000002246</v>
      </c>
      <c r="BS93" s="7">
        <f t="shared" ref="BS93:BS97" ca="1" si="124">SQRT((BP93^2)+(BR93^2))</f>
        <v>2.8175150019154085</v>
      </c>
      <c r="BT93" s="7">
        <f t="shared" ca="1" si="119"/>
        <v>0.44562737275192688</v>
      </c>
      <c r="BU93" s="23">
        <f t="shared" ref="BU93:BU97" ca="1" si="125">BU94+BS93</f>
        <v>11.720995512156351</v>
      </c>
      <c r="BV93" s="23">
        <f t="shared" ref="BV93:BV101" ca="1" si="126">BV94+BR93</f>
        <v>-1.9981482500000425</v>
      </c>
    </row>
    <row r="94" spans="4:74" x14ac:dyDescent="0.3">
      <c r="D94" s="23">
        <f t="shared" si="104"/>
        <v>0</v>
      </c>
      <c r="E94" s="23">
        <f t="shared" ca="1" si="104"/>
        <v>1.8000000000000002E-2</v>
      </c>
      <c r="F94" s="23">
        <f t="shared" si="104"/>
        <v>0</v>
      </c>
      <c r="G94" s="23">
        <f t="shared" ca="1" si="104"/>
        <v>1.6E-2</v>
      </c>
      <c r="H94" s="23">
        <f t="shared" ref="H94" ca="1" si="127">H82</f>
        <v>1.7000000000000001E-2</v>
      </c>
      <c r="I94" s="23">
        <f t="shared" ca="1" si="104"/>
        <v>1.9E-2</v>
      </c>
      <c r="J94" s="23">
        <f t="shared" si="104"/>
        <v>0</v>
      </c>
      <c r="K94" s="23">
        <f t="shared" si="104"/>
        <v>0</v>
      </c>
      <c r="L94" s="23">
        <f t="shared" ca="1" si="104"/>
        <v>1.6E-2</v>
      </c>
      <c r="AK94" s="3" t="s">
        <v>373</v>
      </c>
      <c r="AL94" s="1">
        <v>43382</v>
      </c>
      <c r="AM94" s="23" cm="1">
        <f t="array" aca="1" ref="AM94" ca="1">INDIRECT("'"&amp;$B28&amp;"'!"&amp;(D$5&amp;$P$16))</f>
        <v>1844789.104051</v>
      </c>
      <c r="AN94" s="23" cm="1">
        <f t="array" aca="1" ref="AN94" ca="1">INDIRECT("'"&amp;$B28&amp;"'!"&amp;(E$5&amp;$P$16))</f>
        <v>5596419.7366930004</v>
      </c>
      <c r="AO94" s="23" cm="1">
        <f t="array" aca="1" ref="AO94" ca="1">INDIRECT("'"&amp;$B28&amp;"'!"&amp;(F$5&amp;$P$16))</f>
        <v>421.35107599999998</v>
      </c>
      <c r="AP94" s="21">
        <f ca="1">SQRT(((AM94-AM95)^2)+((AN94-AN95)^2))</f>
        <v>0.13454153434863572</v>
      </c>
      <c r="AQ94" s="21" cm="1">
        <f t="array" aca="1" ref="AQ94" ca="1">INDIRECT("'"&amp;AK94&amp;"'!"&amp;$H$5&amp;$P$16)+0.01</f>
        <v>2.6388000000000002E-2</v>
      </c>
      <c r="AR94" s="23">
        <f ca="1">AO94-AO95</f>
        <v>-2.2401000000002114E-2</v>
      </c>
      <c r="AS94" s="7">
        <f t="shared" ref="AS94" ca="1" si="128">SQRT((AP94^2)+(AR94^2))</f>
        <v>0.13639365551918176</v>
      </c>
      <c r="AT94" s="7">
        <f t="shared" ca="1" si="121"/>
        <v>0.25399838910459871</v>
      </c>
      <c r="AU94" s="23">
        <f t="shared" ref="AU94:AU96" ca="1" si="129">AU95+AS94</f>
        <v>0.76852145946366135</v>
      </c>
      <c r="AV94" s="23">
        <f t="shared" ref="AV94:AV103" ca="1" si="130">AV95+AR94</f>
        <v>-9.946975000002567E-2</v>
      </c>
      <c r="BK94" s="21" t="s">
        <v>375</v>
      </c>
      <c r="BL94" s="1">
        <v>43186</v>
      </c>
      <c r="BM94" s="34" cm="1">
        <f t="array" aca="1" ref="BM94" ca="1">INDIRECT("'"&amp;$B29&amp;"'!"&amp;(D$5&amp;$P$27))</f>
        <v>1844523.0460079999</v>
      </c>
      <c r="BN94" s="34" cm="1">
        <f t="array" aca="1" ref="BN94" ca="1">INDIRECT("'"&amp;$B29&amp;"'!"&amp;(E$5&amp;$P$27))</f>
        <v>5595816.1480019996</v>
      </c>
      <c r="BO94" s="34" cm="1">
        <f t="array" aca="1" ref="BO94" ca="1">INDIRECT("'"&amp;$B29&amp;"'!"&amp;(F$5&amp;$P$27))</f>
        <v>367.943378</v>
      </c>
      <c r="BP94" s="7">
        <f t="shared" ca="1" si="122"/>
        <v>1.8513531427272065</v>
      </c>
      <c r="BQ94" s="7" cm="1">
        <f t="array" aca="1" ref="BQ94" ca="1">INDIRECT("'"&amp;BK94&amp;"'!"&amp;$H$5&amp;$P$27)+0.01</f>
        <v>3.3484E-2</v>
      </c>
      <c r="BR94" s="23">
        <f t="shared" ca="1" si="123"/>
        <v>-0.25817700000004606</v>
      </c>
      <c r="BS94" s="7">
        <f t="shared" ca="1" si="124"/>
        <v>1.8692682585479614</v>
      </c>
      <c r="BT94" s="7">
        <f t="shared" ca="1" si="119"/>
        <v>0.34698991625740605</v>
      </c>
      <c r="BU94" s="23">
        <f t="shared" ca="1" si="125"/>
        <v>8.9034805102409429</v>
      </c>
      <c r="BV94" s="23">
        <f t="shared" ca="1" si="126"/>
        <v>-1.34519425000002</v>
      </c>
    </row>
    <row r="95" spans="4:74" x14ac:dyDescent="0.3">
      <c r="D95" s="23"/>
      <c r="E95" s="23"/>
      <c r="F95" s="23"/>
      <c r="G95" s="23"/>
      <c r="H95" s="23"/>
      <c r="I95" s="23"/>
      <c r="J95" s="23"/>
      <c r="K95" s="23"/>
      <c r="L95" s="23"/>
      <c r="AK95" s="22" t="s">
        <v>375</v>
      </c>
      <c r="AL95" s="1">
        <v>43186</v>
      </c>
      <c r="AM95" s="23" cm="1">
        <f t="array" aca="1" ref="AM95" ca="1">INDIRECT("'"&amp;$B29&amp;"'!"&amp;(D$5&amp;$P$16))</f>
        <v>1844789.149771</v>
      </c>
      <c r="AN95" s="23" cm="1">
        <f t="array" aca="1" ref="AN95" ca="1">INDIRECT("'"&amp;$B29&amp;"'!"&amp;(E$5&amp;$P$16))</f>
        <v>5596419.8632279998</v>
      </c>
      <c r="AO95" s="23" cm="1">
        <f t="array" aca="1" ref="AO95" ca="1">INDIRECT("'"&amp;$B29&amp;"'!"&amp;(F$5&amp;$P$16))</f>
        <v>421.37347699999998</v>
      </c>
      <c r="AP95" s="21">
        <f t="shared" ref="AP95:AP103" ca="1" si="131">SQRT(((AM95-AM96)^2)+((AN95-AN96)^2))</f>
        <v>4.7642077252396685E-2</v>
      </c>
      <c r="AQ95" s="21" cm="1">
        <f t="array" aca="1" ref="AQ95" ca="1">INDIRECT("'"&amp;AK95&amp;"'!"&amp;$H$5&amp;$P$16)+0.01</f>
        <v>3.4676999999999999E-2</v>
      </c>
      <c r="AR95" s="23">
        <f t="shared" ref="AR95:AR103" ca="1" si="132">AO95-AO96</f>
        <v>-0.11169000000001006</v>
      </c>
      <c r="AS95" s="7">
        <f ca="1">SQRT((AP95^2)+(AR95^2))</f>
        <v>0.1214266182718006</v>
      </c>
      <c r="AT95" s="7">
        <f t="shared" ca="1" si="121"/>
        <v>0.26539350700124081</v>
      </c>
      <c r="AU95" s="23">
        <f t="shared" ca="1" si="129"/>
        <v>0.63212780394447965</v>
      </c>
      <c r="AV95" s="23">
        <f t="shared" ca="1" si="130"/>
        <v>-7.7068750000023556E-2</v>
      </c>
      <c r="BK95" s="21" t="s">
        <v>374</v>
      </c>
      <c r="BL95" s="1">
        <v>43019</v>
      </c>
      <c r="BM95" s="34" cm="1">
        <f t="array" aca="1" ref="BM95" ca="1">INDIRECT("'"&amp;$B30&amp;"'!"&amp;(D$5&amp;$P$27))</f>
        <v>1844523.175642</v>
      </c>
      <c r="BN95" s="34" cm="1">
        <f t="array" aca="1" ref="BN95" ca="1">INDIRECT("'"&amp;$B30&amp;"'!"&amp;(E$5&amp;$P$27))</f>
        <v>5595817.9948110003</v>
      </c>
      <c r="BO95" s="34" cm="1">
        <f t="array" aca="1" ref="BO95" ca="1">INDIRECT("'"&amp;$B30&amp;"'!"&amp;(F$5&amp;$P$27))</f>
        <v>368.20155500000004</v>
      </c>
      <c r="BP95" s="7">
        <f t="shared" ca="1" si="122"/>
        <v>1.7581581227566105</v>
      </c>
      <c r="BQ95" s="7" cm="1">
        <f t="array" aca="1" ref="BQ95" ca="1">INDIRECT("'"&amp;BK95&amp;"'!"&amp;$H$5&amp;$P$27)+0.01</f>
        <v>3.5540000000000002E-2</v>
      </c>
      <c r="BR95" s="23">
        <f t="shared" ca="1" si="123"/>
        <v>-0.34701099999995222</v>
      </c>
      <c r="BS95" s="7">
        <f t="shared" ca="1" si="124"/>
        <v>1.7920760638812225</v>
      </c>
      <c r="BT95" s="7">
        <f t="shared" ca="1" si="119"/>
        <v>0.53417651904151831</v>
      </c>
      <c r="BU95" s="23">
        <f t="shared" ca="1" si="125"/>
        <v>7.0342122516929821</v>
      </c>
      <c r="BV95" s="23">
        <f t="shared" ca="1" si="126"/>
        <v>-1.087017249999974</v>
      </c>
    </row>
    <row r="96" spans="4:74" x14ac:dyDescent="0.3">
      <c r="D96" s="23"/>
      <c r="E96" s="23"/>
      <c r="F96" s="23"/>
      <c r="G96" s="23"/>
      <c r="H96" s="23"/>
      <c r="I96" s="23"/>
      <c r="J96" s="23"/>
      <c r="K96" s="23"/>
      <c r="L96" s="23"/>
      <c r="AK96" s="3" t="s">
        <v>374</v>
      </c>
      <c r="AL96" s="1">
        <v>43019</v>
      </c>
      <c r="AM96" s="23" cm="1">
        <f t="array" aca="1" ref="AM96" ca="1">INDIRECT("'"&amp;$B30&amp;"'!"&amp;(D$5&amp;$P$16))</f>
        <v>1844789.1660130001</v>
      </c>
      <c r="AN96" s="23" cm="1">
        <f t="array" aca="1" ref="AN96" ca="1">INDIRECT("'"&amp;$B30&amp;"'!"&amp;(E$5&amp;$P$16))</f>
        <v>5596419.9080159999</v>
      </c>
      <c r="AO96" s="23" cm="1">
        <f t="array" aca="1" ref="AO96" ca="1">INDIRECT("'"&amp;$B30&amp;"'!"&amp;(F$5&amp;$P$16))</f>
        <v>421.48516699999999</v>
      </c>
      <c r="AP96" s="21">
        <f t="shared" ca="1" si="131"/>
        <v>5.5086453117246491E-2</v>
      </c>
      <c r="AQ96" s="21" cm="1">
        <f t="array" aca="1" ref="AQ96" ca="1">INDIRECT("'"&amp;AK96&amp;"'!"&amp;$H$5&amp;$P$16)+0.01</f>
        <v>2.2711000000000002E-2</v>
      </c>
      <c r="AR96" s="23">
        <f t="shared" ca="1" si="132"/>
        <v>2.5372000000004391E-2</v>
      </c>
      <c r="AS96" s="7">
        <f t="shared" ref="AS96:AS103" ca="1" si="133">SQRT((AP96^2)+(AR96^2))</f>
        <v>6.0648624889924903E-2</v>
      </c>
      <c r="AT96" s="7">
        <f t="shared" ca="1" si="121"/>
        <v>0.21285334696944799</v>
      </c>
      <c r="AU96" s="23">
        <f t="shared" ca="1" si="129"/>
        <v>0.51070118567267908</v>
      </c>
      <c r="AV96" s="23">
        <f t="shared" ca="1" si="130"/>
        <v>3.4621249999986503E-2</v>
      </c>
      <c r="BK96" s="21" t="s">
        <v>376</v>
      </c>
      <c r="BL96" s="1">
        <v>42915</v>
      </c>
      <c r="BM96" s="34" cm="1">
        <f t="array" aca="1" ref="BM96" ca="1">INDIRECT("'"&amp;$B31&amp;"'!"&amp;(D$5&amp;$P$27))</f>
        <v>1844523.252509</v>
      </c>
      <c r="BN96" s="34" cm="1">
        <f t="array" aca="1" ref="BN96" ca="1">INDIRECT("'"&amp;$B31&amp;"'!"&amp;(E$5&amp;$P$27))</f>
        <v>5595819.7512879996</v>
      </c>
      <c r="BO96" s="34" cm="1">
        <f t="array" aca="1" ref="BO96" ca="1">INDIRECT("'"&amp;$B31&amp;"'!"&amp;(F$5&amp;$P$27))</f>
        <v>368.54856599999999</v>
      </c>
      <c r="BP96" s="7">
        <f t="shared" ca="1" si="122"/>
        <v>1.2065187155800423</v>
      </c>
      <c r="BQ96" s="7" cm="1">
        <f t="array" aca="1" ref="BQ96" ca="1">INDIRECT("'"&amp;BK96&amp;"'!"&amp;$H$5&amp;$P$27)+0.01</f>
        <v>4.3723999999999999E-2</v>
      </c>
      <c r="BR96" s="23">
        <f t="shared" ca="1" si="123"/>
        <v>-0.11583000000001675</v>
      </c>
      <c r="BS96" s="7">
        <f t="shared" ca="1" si="124"/>
        <v>1.2120660047806469</v>
      </c>
      <c r="BT96" s="7">
        <f t="shared" ca="1" si="119"/>
        <v>0.37202025889306983</v>
      </c>
      <c r="BU96" s="23">
        <f t="shared" ca="1" si="125"/>
        <v>5.2421361878117594</v>
      </c>
      <c r="BV96" s="23">
        <f t="shared" ca="1" si="126"/>
        <v>-0.74000625000002174</v>
      </c>
    </row>
    <row r="97" spans="4:74" x14ac:dyDescent="0.3">
      <c r="D97" s="23"/>
      <c r="E97" s="23"/>
      <c r="F97" s="23"/>
      <c r="G97" s="23"/>
      <c r="H97" s="23"/>
      <c r="I97" s="23"/>
      <c r="J97" s="23"/>
      <c r="K97" s="23"/>
      <c r="L97" s="23"/>
      <c r="AK97" s="3" t="s">
        <v>376</v>
      </c>
      <c r="AL97" s="1">
        <v>42915</v>
      </c>
      <c r="AM97" s="23" cm="1">
        <f t="array" aca="1" ref="AM97" ca="1">INDIRECT("'"&amp;$B31&amp;"'!"&amp;(D$5&amp;$P$16))</f>
        <v>1844789.187559</v>
      </c>
      <c r="AN97" s="23" cm="1">
        <f t="array" aca="1" ref="AN97" ca="1">INDIRECT("'"&amp;$B31&amp;"'!"&amp;(E$5&amp;$P$16))</f>
        <v>5596419.9587139999</v>
      </c>
      <c r="AO97" s="23" cm="1">
        <f t="array" aca="1" ref="AO97" ca="1">INDIRECT("'"&amp;$B31&amp;"'!"&amp;(F$5&amp;$P$16))</f>
        <v>421.45979499999999</v>
      </c>
      <c r="AP97" s="21">
        <f t="shared" ca="1" si="131"/>
        <v>5.5582561122518914E-2</v>
      </c>
      <c r="AQ97" s="21" cm="1">
        <f t="array" aca="1" ref="AQ97" ca="1">INDIRECT("'"&amp;AK97&amp;"'!"&amp;$H$5&amp;$P$16)+0.01</f>
        <v>4.5107000000000001E-2</v>
      </c>
      <c r="AR97" s="23">
        <f t="shared" ca="1" si="132"/>
        <v>3.5836999999958152E-2</v>
      </c>
      <c r="AS97" s="7">
        <f t="shared" ca="1" si="133"/>
        <v>6.6134043199667994E-2</v>
      </c>
      <c r="AT97" s="7">
        <f t="shared" ca="1" si="121"/>
        <v>0.23899926502850313</v>
      </c>
      <c r="AU97" s="23">
        <f ca="1">AU98+AS97</f>
        <v>0.45005256078275419</v>
      </c>
      <c r="AV97" s="23">
        <f t="shared" ca="1" si="130"/>
        <v>9.2492499999821121E-3</v>
      </c>
      <c r="BK97" s="21" t="s">
        <v>377</v>
      </c>
      <c r="BL97" s="1">
        <v>42814</v>
      </c>
      <c r="BM97" s="34" cm="1">
        <f t="array" aca="1" ref="BM97" ca="1">INDIRECT("'"&amp;$B32&amp;"'!"&amp;(D$5&amp;$P$27))</f>
        <v>1844523.297542</v>
      </c>
      <c r="BN97" s="34" cm="1">
        <f t="array" aca="1" ref="BN97" ca="1">INDIRECT("'"&amp;$B32&amp;"'!"&amp;(E$5&amp;$P$27))</f>
        <v>5595820.9569659997</v>
      </c>
      <c r="BO97" s="34" cm="1">
        <f t="array" aca="1" ref="BO97" ca="1">INDIRECT("'"&amp;$B32&amp;"'!"&amp;(F$5&amp;$P$27))</f>
        <v>368.66439600000001</v>
      </c>
      <c r="BP97" s="7">
        <f t="shared" ca="1" si="122"/>
        <v>0.62973256968372504</v>
      </c>
      <c r="BQ97" s="7" cm="1">
        <f t="array" aca="1" ref="BQ97" ca="1">INDIRECT("'"&amp;BK97&amp;"'!"&amp;$H$5&amp;$P$27)+0.01</f>
        <v>4.4747000000000002E-2</v>
      </c>
      <c r="BR97" s="23">
        <f t="shared" ca="1" si="123"/>
        <v>-9.131600000000617E-2</v>
      </c>
      <c r="BS97" s="7">
        <f t="shared" ca="1" si="124"/>
        <v>0.63631888324681107</v>
      </c>
      <c r="BT97" s="7">
        <f t="shared" ca="1" si="119"/>
        <v>0.20547797271511609</v>
      </c>
      <c r="BU97" s="23">
        <f t="shared" ca="1" si="125"/>
        <v>4.0300701830311123</v>
      </c>
      <c r="BV97" s="23">
        <f t="shared" ca="1" si="126"/>
        <v>-0.62417625000000498</v>
      </c>
    </row>
    <row r="98" spans="4:74" x14ac:dyDescent="0.3">
      <c r="D98" s="23"/>
      <c r="E98" s="23"/>
      <c r="F98" s="23"/>
      <c r="G98" s="23"/>
      <c r="H98" s="23"/>
      <c r="I98" s="23"/>
      <c r="J98" s="23"/>
      <c r="K98" s="23"/>
      <c r="L98" s="23"/>
      <c r="AK98" s="3" t="s">
        <v>377</v>
      </c>
      <c r="AL98" s="1">
        <v>42814</v>
      </c>
      <c r="AM98" s="23" cm="1">
        <f t="array" aca="1" ref="AM98" ca="1">INDIRECT("'"&amp;$B32&amp;"'!"&amp;(D$5&amp;$P$16))</f>
        <v>1844789.217645</v>
      </c>
      <c r="AN98" s="23" cm="1">
        <f t="array" aca="1" ref="AN98" ca="1">INDIRECT("'"&amp;$B32&amp;"'!"&amp;(E$5&amp;$P$16))</f>
        <v>5596420.0054500001</v>
      </c>
      <c r="AO98" s="23" cm="1">
        <f t="array" aca="1" ref="AO98" ca="1">INDIRECT("'"&amp;$B32&amp;"'!"&amp;(F$5&amp;$P$16))</f>
        <v>421.42395800000003</v>
      </c>
      <c r="AP98" s="21">
        <f t="shared" ca="1" si="131"/>
        <v>1.3067733117561998E-2</v>
      </c>
      <c r="AQ98" s="21" cm="1">
        <f t="array" aca="1" ref="AQ98" ca="1">INDIRECT("'"&amp;AK98&amp;"'!"&amp;$H$5&amp;$P$16)+0.01</f>
        <v>2.7666000000000003E-2</v>
      </c>
      <c r="AR98" s="23">
        <f t="shared" ca="1" si="132"/>
        <v>5.2560000000312357E-3</v>
      </c>
      <c r="AS98" s="7">
        <f t="shared" ca="1" si="133"/>
        <v>1.4085140568420145E-2</v>
      </c>
      <c r="AT98" s="7">
        <f t="shared" ca="1" si="121"/>
        <v>5.3552878202847425E-2</v>
      </c>
      <c r="AU98" s="23">
        <f t="shared" ref="AU98:AU103" ca="1" si="134">AU99+AS98</f>
        <v>0.38391851758308621</v>
      </c>
      <c r="AV98" s="23">
        <f t="shared" ca="1" si="130"/>
        <v>-2.658774999997604E-2</v>
      </c>
      <c r="BK98" s="21" t="s">
        <v>378</v>
      </c>
      <c r="BL98" s="1">
        <v>42718</v>
      </c>
      <c r="BM98" s="34" cm="1">
        <f t="array" aca="1" ref="BM98" ca="1">INDIRECT("'"&amp;$B33&amp;"'!"&amp;(D$5&amp;$P$27))</f>
        <v>1844523.3195179999</v>
      </c>
      <c r="BN98" s="34" cm="1">
        <f t="array" aca="1" ref="BN98" ca="1">INDIRECT("'"&amp;$B33&amp;"'!"&amp;(E$5&amp;$P$27))</f>
        <v>5595821.5863150004</v>
      </c>
      <c r="BO98" s="34" cm="1">
        <f t="array" aca="1" ref="BO98" ca="1">INDIRECT("'"&amp;$B33&amp;"'!"&amp;(F$5&amp;$P$27))</f>
        <v>368.75571200000002</v>
      </c>
      <c r="BP98" s="7">
        <f ca="1">SQRT(((BM98-BM100)^2)+((BN98-BN100)^2))</f>
        <v>2.0594339034788227</v>
      </c>
      <c r="BQ98" s="7" cm="1">
        <f t="array" aca="1" ref="BQ98" ca="1">INDIRECT("'"&amp;BK98&amp;"'!"&amp;$H$5&amp;$P$27)+0.01</f>
        <v>2.7307999999999999E-2</v>
      </c>
      <c r="BR98" s="23">
        <f ca="1">BO98-BO100</f>
        <v>-0.32867800000002489</v>
      </c>
      <c r="BS98" s="7">
        <f ca="1">SQRT((BP98^2)+(BR98^2))</f>
        <v>2.0854968785596486</v>
      </c>
      <c r="BT98" s="7">
        <f ca="1">(BS98/(BL98-BL100))*31</f>
        <v>0.41442566176505835</v>
      </c>
      <c r="BU98" s="23">
        <f ca="1">BU100+BS98</f>
        <v>3.3937512997843013</v>
      </c>
      <c r="BV98" s="23">
        <f ca="1">BV100+BR98</f>
        <v>-0.53286024999999881</v>
      </c>
    </row>
    <row r="99" spans="4:74" x14ac:dyDescent="0.3">
      <c r="D99" s="21"/>
      <c r="E99" s="21">
        <v>11</v>
      </c>
      <c r="F99" s="21">
        <v>12</v>
      </c>
      <c r="G99" s="21">
        <v>13</v>
      </c>
      <c r="H99" s="21">
        <v>14</v>
      </c>
      <c r="I99" s="21">
        <v>17</v>
      </c>
      <c r="J99" s="21">
        <v>18</v>
      </c>
      <c r="K99" s="21"/>
      <c r="L99" s="21"/>
      <c r="M99" s="21"/>
      <c r="N99" s="21"/>
      <c r="O99" s="21"/>
      <c r="P99" s="21">
        <v>11</v>
      </c>
      <c r="Q99" s="21">
        <v>12</v>
      </c>
      <c r="R99" s="21">
        <v>13</v>
      </c>
      <c r="S99" s="21">
        <v>14</v>
      </c>
      <c r="T99" s="21">
        <v>17</v>
      </c>
      <c r="U99" s="21">
        <v>18</v>
      </c>
      <c r="V99" s="21"/>
      <c r="W99" s="21"/>
      <c r="X99" s="21"/>
      <c r="AK99" s="3" t="s">
        <v>378</v>
      </c>
      <c r="AL99" s="1">
        <v>42718</v>
      </c>
      <c r="AM99" s="23" cm="1">
        <f t="array" aca="1" ref="AM99" ca="1">INDIRECT("'"&amp;$B33&amp;"'!"&amp;(D$5&amp;$P$16))</f>
        <v>1844789.2051230001</v>
      </c>
      <c r="AN99" s="23" cm="1">
        <f t="array" aca="1" ref="AN99" ca="1">INDIRECT("'"&amp;$B33&amp;"'!"&amp;(E$5&amp;$P$16))</f>
        <v>5596420.0017130002</v>
      </c>
      <c r="AO99" s="23" cm="1">
        <f t="array" aca="1" ref="AO99" ca="1">INDIRECT("'"&amp;$B33&amp;"'!"&amp;(F$5&amp;$P$16))</f>
        <v>421.418702</v>
      </c>
      <c r="AP99" s="21">
        <f t="shared" ca="1" si="131"/>
        <v>4.3488223925436012E-2</v>
      </c>
      <c r="AQ99" s="21" cm="1">
        <f t="array" aca="1" ref="AQ99" ca="1">INDIRECT("'"&amp;AK99&amp;"'!"&amp;$H$5&amp;$P$16)+0.01</f>
        <v>2.3644999999999999E-2</v>
      </c>
      <c r="AR99" s="23">
        <f t="shared" ca="1" si="132"/>
        <v>-2.730000000497057E-4</v>
      </c>
      <c r="AS99" s="7">
        <f t="shared" ca="1" si="133"/>
        <v>4.3489080804138554E-2</v>
      </c>
      <c r="AT99" s="7">
        <f t="shared" ca="1" si="121"/>
        <v>0.30525989410597254</v>
      </c>
      <c r="AU99" s="23">
        <f t="shared" ca="1" si="134"/>
        <v>0.36983337701466606</v>
      </c>
      <c r="AV99" s="23">
        <f t="shared" ca="1" si="130"/>
        <v>-3.1843750000007276E-2</v>
      </c>
      <c r="BK99" s="21" t="s">
        <v>379</v>
      </c>
      <c r="BL99" s="1"/>
      <c r="BM99" s="34"/>
      <c r="BN99" s="34"/>
      <c r="BO99" s="34"/>
      <c r="BP99" s="7"/>
      <c r="BR99" s="23"/>
      <c r="BS99" s="7"/>
      <c r="BT99" s="7"/>
      <c r="BU99" s="23"/>
      <c r="BV99" s="23"/>
    </row>
    <row r="100" spans="4:74" x14ac:dyDescent="0.3">
      <c r="D100" s="46">
        <v>43817</v>
      </c>
      <c r="E100" s="23">
        <f t="shared" ref="E100:E111" ca="1" si="135">BU10</f>
        <v>4.7020347896129557</v>
      </c>
      <c r="F100" s="23">
        <f t="shared" ref="F100:F112" ca="1" si="136">BU27</f>
        <v>3.9342536488857904</v>
      </c>
      <c r="G100" s="23">
        <f t="shared" ref="G100:G112" ca="1" si="137">BU44</f>
        <v>2.6074783706815556</v>
      </c>
      <c r="H100" s="23">
        <f t="shared" ref="H100:H112" ca="1" si="138">BU60</f>
        <v>11.301810814016338</v>
      </c>
      <c r="I100" s="23">
        <f t="shared" ref="I100:I110" ca="1" si="139">BU92</f>
        <v>16.029335382562415</v>
      </c>
      <c r="J100" s="23">
        <f t="shared" ref="J100:J112" ca="1" si="140">BU108</f>
        <v>2.375196806897665</v>
      </c>
      <c r="K100" s="23"/>
      <c r="L100" s="23"/>
      <c r="M100" s="23"/>
      <c r="N100" s="21"/>
      <c r="O100" s="46">
        <v>43817</v>
      </c>
      <c r="P100" s="23">
        <f ca="1">BT10</f>
        <v>8.17682091524536E-2</v>
      </c>
      <c r="Q100" s="23">
        <f t="shared" ref="Q100:Q112" ca="1" si="141">BT27</f>
        <v>7.1536967924220984E-2</v>
      </c>
      <c r="R100" s="23">
        <f t="shared" ref="R100:R112" ca="1" si="142">BT44</f>
        <v>4.5733288899394008E-2</v>
      </c>
      <c r="S100" s="23">
        <f t="shared" ref="S100:S112" ca="1" si="143">BT60</f>
        <v>0.17545970291007909</v>
      </c>
      <c r="T100" s="23">
        <f t="shared" ref="T100:T106" ca="1" si="144">BT92</f>
        <v>0.30703111720135157</v>
      </c>
      <c r="U100" s="23">
        <f t="shared" ref="U100:U106" ca="1" si="145">BT108</f>
        <v>4.2232593785539424E-2</v>
      </c>
      <c r="V100" s="23"/>
      <c r="W100" s="23"/>
      <c r="X100" s="23"/>
      <c r="AK100" s="3" t="s">
        <v>379</v>
      </c>
      <c r="AL100" s="1">
        <v>42666</v>
      </c>
      <c r="AM100" s="23" cm="1">
        <f t="array" aca="1" ref="AM100" ca="1">INDIRECT("'"&amp;$B34&amp;"'!"&amp;(D$5&amp;$P$16))</f>
        <v>1844789.2272689999</v>
      </c>
      <c r="AN100" s="23" cm="1">
        <f t="array" aca="1" ref="AN100" ca="1">INDIRECT("'"&amp;$B34&amp;"'!"&amp;(E$5&amp;$P$16))</f>
        <v>5596420.03914</v>
      </c>
      <c r="AO100" s="23" cm="1">
        <f t="array" aca="1" ref="AO100" ca="1">INDIRECT("'"&amp;$B34&amp;"'!"&amp;(F$5&amp;$P$16))</f>
        <v>421.41897500000005</v>
      </c>
      <c r="AP100" s="21">
        <f t="shared" ca="1" si="131"/>
        <v>8.2844532253635014E-2</v>
      </c>
      <c r="AQ100" s="21" cm="1">
        <f t="array" aca="1" ref="AQ100" ca="1">INDIRECT("'"&amp;AK100&amp;"'!"&amp;$H$5&amp;$P$16)+0.01</f>
        <v>3.4242000000000002E-2</v>
      </c>
      <c r="AR100" s="23">
        <f t="shared" ca="1" si="132"/>
        <v>-7.3869999999942593E-3</v>
      </c>
      <c r="AS100" s="7">
        <f t="shared" ca="1" si="133"/>
        <v>8.3173218606252625E-2</v>
      </c>
      <c r="AT100" s="7">
        <f t="shared" ca="1" si="121"/>
        <v>0.29190600760848279</v>
      </c>
      <c r="AU100" s="23">
        <f t="shared" ca="1" si="134"/>
        <v>0.32634429621052752</v>
      </c>
      <c r="AV100" s="23">
        <f t="shared" ca="1" si="130"/>
        <v>-3.157074999995757E-2</v>
      </c>
      <c r="BK100" s="21" t="s">
        <v>380</v>
      </c>
      <c r="BL100" s="1">
        <v>42562</v>
      </c>
      <c r="BM100" s="34" cm="1">
        <f t="array" aca="1" ref="BM100" ca="1">INDIRECT("'"&amp;$B35&amp;"'!"&amp;(D$5&amp;$P$27))</f>
        <v>1844523.3858310001</v>
      </c>
      <c r="BN100" s="34" cm="1">
        <f t="array" aca="1" ref="BN100" ca="1">INDIRECT("'"&amp;$B35&amp;"'!"&amp;(E$5&amp;$P$27))</f>
        <v>5595823.6446810002</v>
      </c>
      <c r="BO100" s="34" cm="1">
        <f t="array" aca="1" ref="BO100" ca="1">INDIRECT("'"&amp;$B35&amp;"'!"&amp;(F$5&amp;$P$27))</f>
        <v>369.08439000000004</v>
      </c>
      <c r="BP100" s="7">
        <f ca="1">SQRT(((BM100-BM101)^2)+((BN100-BN101)^2))</f>
        <v>0.68889945689801169</v>
      </c>
      <c r="BQ100" s="7" cm="1">
        <f t="array" aca="1" ref="BQ100" ca="1">INDIRECT("'"&amp;BK100&amp;"'!"&amp;$H$5&amp;$P$27)+0.01</f>
        <v>2.7964999999999997E-2</v>
      </c>
      <c r="BR100" s="23">
        <f ca="1">BO100-BO101</f>
        <v>-8.2113749999962238E-2</v>
      </c>
      <c r="BS100" s="7">
        <f ca="1">SQRT((BP100^2)+(BR100^2))</f>
        <v>0.69377599385783861</v>
      </c>
      <c r="BT100" s="7">
        <f ca="1">(BS100/(BL100-BL101))*31</f>
        <v>0.1854056535309741</v>
      </c>
      <c r="BU100" s="23">
        <f ca="1">BU101+BS100</f>
        <v>1.3082544212246527</v>
      </c>
      <c r="BV100" s="23">
        <f t="shared" ca="1" si="126"/>
        <v>-0.20418224999997392</v>
      </c>
    </row>
    <row r="101" spans="4:74" x14ac:dyDescent="0.3">
      <c r="D101" s="46">
        <v>43382</v>
      </c>
      <c r="E101" s="23">
        <f t="shared" ca="1" si="135"/>
        <v>3.5546421773123975</v>
      </c>
      <c r="F101" s="23">
        <f t="shared" ca="1" si="136"/>
        <v>2.9304284538201086</v>
      </c>
      <c r="G101" s="23">
        <f t="shared" ca="1" si="137"/>
        <v>1.9657370587061882</v>
      </c>
      <c r="H101" s="23">
        <f t="shared" ca="1" si="138"/>
        <v>8.8397149828587764</v>
      </c>
      <c r="I101" s="23">
        <f t="shared" ca="1" si="139"/>
        <v>11.720995512156351</v>
      </c>
      <c r="J101" s="23">
        <f t="shared" ca="1" si="140"/>
        <v>1.7825781521650954</v>
      </c>
      <c r="K101" s="23"/>
      <c r="L101" s="23"/>
      <c r="M101" s="23"/>
      <c r="N101" s="21"/>
      <c r="O101" s="46">
        <v>43382</v>
      </c>
      <c r="P101" s="23">
        <f t="shared" ref="P101:P105" ca="1" si="146">BT11</f>
        <v>0.12316263854008802</v>
      </c>
      <c r="Q101" s="23">
        <f t="shared" ca="1" si="141"/>
        <v>0.1056241982790431</v>
      </c>
      <c r="R101" s="23">
        <f t="shared" ca="1" si="142"/>
        <v>6.5097357314383431E-2</v>
      </c>
      <c r="S101" s="23">
        <f t="shared" ca="1" si="143"/>
        <v>0.29470624674002766</v>
      </c>
      <c r="T101" s="23">
        <f t="shared" ca="1" si="144"/>
        <v>0.44562737275192688</v>
      </c>
      <c r="U101" s="23">
        <f t="shared" ca="1" si="145"/>
        <v>5.9154756242871011E-2</v>
      </c>
      <c r="V101" s="23"/>
      <c r="W101" s="23"/>
      <c r="X101" s="23"/>
      <c r="AK101" s="3" t="s">
        <v>380</v>
      </c>
      <c r="AL101" s="1">
        <v>42562</v>
      </c>
      <c r="AM101" s="23" cm="1">
        <f t="array" aca="1" ref="AM101" ca="1">INDIRECT("'"&amp;$B35&amp;"'!"&amp;(D$5&amp;$P$16))</f>
        <v>1844789.251561</v>
      </c>
      <c r="AN101" s="23" cm="1">
        <f t="array" aca="1" ref="AN101" ca="1">INDIRECT("'"&amp;$B35&amp;"'!"&amp;(E$5&amp;$P$16))</f>
        <v>5596420.1183430003</v>
      </c>
      <c r="AO101" s="23" cm="1">
        <f t="array" aca="1" ref="AO101" ca="1">INDIRECT("'"&amp;$B35&amp;"'!"&amp;(F$5&amp;$P$16))</f>
        <v>421.42636200000004</v>
      </c>
      <c r="AP101" s="21">
        <f t="shared" ca="1" si="131"/>
        <v>3.9495405731489019E-2</v>
      </c>
      <c r="AQ101" s="21" cm="1">
        <f t="array" aca="1" ref="AQ101" ca="1">INDIRECT("'"&amp;AK101&amp;"'!"&amp;$H$5&amp;$P$16)+0.01</f>
        <v>4.6240000000000003E-2</v>
      </c>
      <c r="AR101" s="23">
        <f t="shared" ca="1" si="132"/>
        <v>-2.7886749999993299E-2</v>
      </c>
      <c r="AS101" s="7">
        <f t="shared" ca="1" si="133"/>
        <v>4.8348297792756491E-2</v>
      </c>
      <c r="AT101" s="7">
        <f t="shared" ca="1" si="121"/>
        <v>0.15213041977893205</v>
      </c>
      <c r="AU101" s="23">
        <f t="shared" ca="1" si="134"/>
        <v>0.24317107760427492</v>
      </c>
      <c r="AV101" s="23">
        <f t="shared" ca="1" si="130"/>
        <v>-2.4183749999963311E-2</v>
      </c>
      <c r="BK101" s="21" t="s">
        <v>381</v>
      </c>
      <c r="BL101" s="1">
        <v>42446</v>
      </c>
      <c r="BM101" s="34" cm="1">
        <f t="array" aca="1" ref="BM101" ca="1">INDIRECT("'"&amp;$B36&amp;"'!"&amp;(D$5&amp;$P$27))</f>
        <v>1844523.4051150002</v>
      </c>
      <c r="BN101" s="34" cm="1">
        <f t="array" aca="1" ref="BN101" ca="1">INDIRECT("'"&amp;$B36&amp;"'!"&amp;(E$5&amp;$P$27))</f>
        <v>5595824.3333105007</v>
      </c>
      <c r="BO101" s="34" cm="1">
        <f t="array" aca="1" ref="BO101" ca="1">INDIRECT("'"&amp;$B36&amp;"'!"&amp;(F$5&amp;$P$27))</f>
        <v>369.16650375</v>
      </c>
      <c r="BP101" s="7">
        <f ca="1">SQRT(((BM101-BM102)^2)+((BN101-BN102)^2))</f>
        <v>0.60223169877293914</v>
      </c>
      <c r="BQ101" s="7" cm="1">
        <f t="array" aca="1" ref="BQ101" ca="1">INDIRECT("'"&amp;BK101&amp;"'!"&amp;$H$5&amp;$P$27)+0.01</f>
        <v>3.0580000000000003E-2</v>
      </c>
      <c r="BR101" s="23">
        <f ca="1">BO101-BO102</f>
        <v>-0.12206850000001168</v>
      </c>
      <c r="BS101" s="7">
        <f ca="1">SQRT((BP101^2)+(BR101^2))</f>
        <v>0.61447842736681402</v>
      </c>
      <c r="BT101" s="7">
        <f ca="1">(BS101/(BL101-BL102))*31</f>
        <v>0.18860228958783401</v>
      </c>
      <c r="BU101" s="23">
        <f ca="1">BU102+BS101</f>
        <v>0.61447842736681402</v>
      </c>
      <c r="BV101" s="23">
        <f t="shared" ca="1" si="126"/>
        <v>-0.12206850000001168</v>
      </c>
    </row>
    <row r="102" spans="4:74" x14ac:dyDescent="0.3">
      <c r="D102" s="46">
        <v>43186</v>
      </c>
      <c r="E102" s="23">
        <f t="shared" ca="1" si="135"/>
        <v>2.775936462671841</v>
      </c>
      <c r="F102" s="23">
        <f t="shared" ca="1" si="136"/>
        <v>2.2626109421203524</v>
      </c>
      <c r="G102" s="23">
        <f t="shared" ca="1" si="137"/>
        <v>1.5541537672991188</v>
      </c>
      <c r="H102" s="23">
        <f t="shared" ca="1" si="138"/>
        <v>6.9764109712121503</v>
      </c>
      <c r="I102" s="23">
        <f t="shared" ca="1" si="139"/>
        <v>8.9034805102409429</v>
      </c>
      <c r="J102" s="23">
        <f t="shared" ca="1" si="140"/>
        <v>1.4085674352746851</v>
      </c>
      <c r="K102" s="23"/>
      <c r="L102" s="23"/>
      <c r="M102" s="23"/>
      <c r="N102" s="21"/>
      <c r="O102" s="46">
        <v>43186</v>
      </c>
      <c r="P102" s="23">
        <f t="shared" ca="1" si="146"/>
        <v>9.6082834972651437E-2</v>
      </c>
      <c r="Q102" s="23">
        <f t="shared" ca="1" si="141"/>
        <v>7.48738795697131E-2</v>
      </c>
      <c r="R102" s="23">
        <f t="shared" ca="1" si="142"/>
        <v>4.750409108184013E-2</v>
      </c>
      <c r="S102" s="23">
        <f t="shared" ca="1" si="143"/>
        <v>0.2456005456096321</v>
      </c>
      <c r="T102" s="23">
        <f t="shared" ca="1" si="144"/>
        <v>0.34698991625740605</v>
      </c>
      <c r="U102" s="23">
        <f t="shared" ca="1" si="145"/>
        <v>4.7551043310463101E-2</v>
      </c>
      <c r="V102" s="23"/>
      <c r="W102" s="23"/>
      <c r="X102" s="23"/>
      <c r="AK102" s="3" t="s">
        <v>381</v>
      </c>
      <c r="AL102" s="1">
        <v>42446</v>
      </c>
      <c r="AM102" s="23" cm="1">
        <f t="array" aca="1" ref="AM102" ca="1">INDIRECT("'"&amp;$B36&amp;"'!"&amp;(D$5&amp;$P$16))</f>
        <v>1844789.2651050002</v>
      </c>
      <c r="AN102" s="23" cm="1">
        <f t="array" aca="1" ref="AN102" ca="1">INDIRECT("'"&amp;$B36&amp;"'!"&amp;(E$5&amp;$P$16))</f>
        <v>5596420.1554435007</v>
      </c>
      <c r="AO102" s="23" cm="1">
        <f t="array" aca="1" ref="AO102" ca="1">INDIRECT("'"&amp;$B36&amp;"'!"&amp;(F$5&amp;$P$16))</f>
        <v>421.45424875000003</v>
      </c>
      <c r="AP102" s="21">
        <f t="shared" ca="1" si="131"/>
        <v>3.9220199828546264E-2</v>
      </c>
      <c r="AQ102" s="21" cm="1">
        <f t="array" aca="1" ref="AQ102" ca="1">INDIRECT("'"&amp;AK102&amp;"'!"&amp;$H$5&amp;$P$16)+0.01</f>
        <v>2.5814999999999998E-2</v>
      </c>
      <c r="AR102" s="23">
        <f t="shared" ca="1" si="132"/>
        <v>-1.3235000000122454E-3</v>
      </c>
      <c r="AS102" s="7">
        <f t="shared" ca="1" si="133"/>
        <v>3.9242524470797402E-2</v>
      </c>
      <c r="AT102" s="7">
        <f t="shared" ca="1" si="121"/>
        <v>0.14181704387961439</v>
      </c>
      <c r="AU102" s="23">
        <f t="shared" ca="1" si="134"/>
        <v>0.19482277981151844</v>
      </c>
      <c r="AV102" s="23">
        <f t="shared" ca="1" si="130"/>
        <v>3.7030000000299879E-3</v>
      </c>
      <c r="BK102" s="21" t="s">
        <v>382</v>
      </c>
      <c r="BL102" s="1">
        <v>42345</v>
      </c>
      <c r="BM102" s="34" cm="1">
        <f t="array" aca="1" ref="BM102" ca="1">INDIRECT("'"&amp;$B37&amp;"'!"&amp;(D$5&amp;$P$27))</f>
        <v>1844523.3976960001</v>
      </c>
      <c r="BN102" s="34" cm="1">
        <f t="array" aca="1" ref="BN102" ca="1">INDIRECT("'"&amp;$B37&amp;"'!"&amp;(E$5&amp;$P$27))</f>
        <v>5595824.9354964998</v>
      </c>
      <c r="BO102" s="34" cm="1">
        <f t="array" aca="1" ref="BO102" ca="1">INDIRECT("'"&amp;$B37&amp;"'!"&amp;(F$5&amp;$P$27))</f>
        <v>369.28857225000002</v>
      </c>
      <c r="BP102" s="7"/>
      <c r="BR102" s="23"/>
      <c r="BS102" s="7"/>
      <c r="BT102" s="7"/>
      <c r="BU102" s="23"/>
      <c r="BV102" s="23">
        <v>0</v>
      </c>
    </row>
    <row r="103" spans="4:74" x14ac:dyDescent="0.3">
      <c r="D103" s="46">
        <v>43019</v>
      </c>
      <c r="E103" s="23">
        <f t="shared" ca="1" si="135"/>
        <v>2.2583289323352993</v>
      </c>
      <c r="F103" s="23">
        <f t="shared" ca="1" si="136"/>
        <v>1.8592581070189949</v>
      </c>
      <c r="G103" s="23">
        <f t="shared" ca="1" si="137"/>
        <v>1.2982446314711413</v>
      </c>
      <c r="H103" s="23">
        <f t="shared" ca="1" si="138"/>
        <v>5.6533370642183254</v>
      </c>
      <c r="I103" s="23">
        <f t="shared" ca="1" si="139"/>
        <v>7.0342122516929821</v>
      </c>
      <c r="J103" s="23">
        <f t="shared" ca="1" si="140"/>
        <v>1.1524053632473517</v>
      </c>
      <c r="K103" s="23"/>
      <c r="L103" s="23"/>
      <c r="M103" s="23"/>
      <c r="N103" s="21"/>
      <c r="O103" s="46">
        <v>43019</v>
      </c>
      <c r="P103" s="23">
        <f t="shared" ca="1" si="146"/>
        <v>0.15922289565289147</v>
      </c>
      <c r="Q103" s="23">
        <f t="shared" ca="1" si="141"/>
        <v>0.12520145497829863</v>
      </c>
      <c r="R103" s="23">
        <f t="shared" ca="1" si="142"/>
        <v>6.9926985681126638E-2</v>
      </c>
      <c r="S103" s="23">
        <f t="shared" ca="1" si="143"/>
        <v>0.42020536538449405</v>
      </c>
      <c r="T103" s="23">
        <f t="shared" ca="1" si="144"/>
        <v>0.53417651904151831</v>
      </c>
      <c r="U103" s="23">
        <f t="shared" ca="1" si="145"/>
        <v>6.4856028435228516E-2</v>
      </c>
      <c r="V103" s="23"/>
      <c r="W103" s="23"/>
      <c r="X103" s="23"/>
      <c r="AK103" s="3" t="s">
        <v>382</v>
      </c>
      <c r="AL103" s="1">
        <v>42345</v>
      </c>
      <c r="AM103" s="23" cm="1">
        <f t="array" aca="1" ref="AM103" ca="1">INDIRECT("'"&amp;$B37&amp;"'!"&amp;(D$5&amp;$P$16))</f>
        <v>1844789.2376960001</v>
      </c>
      <c r="AN103" s="23" cm="1">
        <f t="array" aca="1" ref="AN103" ca="1">INDIRECT("'"&amp;$B37&amp;"'!"&amp;(E$5&amp;$P$16))</f>
        <v>5596420.1834965004</v>
      </c>
      <c r="AO103" s="23" cm="1">
        <f t="array" aca="1" ref="AO103" ca="1">INDIRECT("'"&amp;$B37&amp;"'!"&amp;(F$5&amp;$P$16))</f>
        <v>421.45557225000005</v>
      </c>
      <c r="AP103" s="21">
        <f t="shared" ca="1" si="131"/>
        <v>6.4266937541058999E-2</v>
      </c>
      <c r="AQ103" s="21" cm="1">
        <f t="array" aca="1" ref="AQ103" ca="1">INDIRECT("'"&amp;AK103&amp;"'!"&amp;$H$5&amp;$P$16)+0.01</f>
        <v>1.9E-2</v>
      </c>
      <c r="AR103" s="23">
        <f t="shared" ca="1" si="132"/>
        <v>3.4026500000038595E-2</v>
      </c>
      <c r="AS103" s="7">
        <f t="shared" ca="1" si="133"/>
        <v>7.2718924381202213E-2</v>
      </c>
      <c r="AT103" s="7">
        <f t="shared" ca="1" si="121"/>
        <v>0.39032952057557069</v>
      </c>
      <c r="AU103" s="23">
        <f t="shared" ca="1" si="134"/>
        <v>0.15558025534072104</v>
      </c>
      <c r="AV103" s="23">
        <f t="shared" ca="1" si="130"/>
        <v>5.0265000000422333E-3</v>
      </c>
      <c r="BK103" s="21" t="s">
        <v>383</v>
      </c>
      <c r="BL103" s="1">
        <v>42277</v>
      </c>
      <c r="BM103" s="34"/>
      <c r="BN103" s="34"/>
      <c r="BO103" s="34"/>
      <c r="BP103" s="7"/>
      <c r="BR103" s="23"/>
      <c r="BS103" s="7"/>
      <c r="BT103" s="7"/>
      <c r="BU103" s="23"/>
      <c r="BV103" s="23"/>
    </row>
    <row r="104" spans="4:74" x14ac:dyDescent="0.3">
      <c r="D104" s="46">
        <v>42915</v>
      </c>
      <c r="E104" s="23">
        <f t="shared" ca="1" si="135"/>
        <v>1.7241617985320503</v>
      </c>
      <c r="F104" s="23">
        <f t="shared" ca="1" si="136"/>
        <v>1.439227419349864</v>
      </c>
      <c r="G104" s="23">
        <f t="shared" ca="1" si="137"/>
        <v>1.0636508730570391</v>
      </c>
      <c r="H104" s="23">
        <f t="shared" ca="1" si="138"/>
        <v>4.2436158384122811</v>
      </c>
      <c r="I104" s="23">
        <f t="shared" ca="1" si="139"/>
        <v>5.2421361878117594</v>
      </c>
      <c r="J104" s="23">
        <f t="shared" ca="1" si="140"/>
        <v>0.93482384849690758</v>
      </c>
      <c r="K104" s="23"/>
      <c r="L104" s="23"/>
      <c r="M104" s="23"/>
      <c r="N104" s="21"/>
      <c r="O104" s="46">
        <v>42915</v>
      </c>
      <c r="P104" s="23">
        <f t="shared" ca="1" si="146"/>
        <v>8.6727425884232351E-2</v>
      </c>
      <c r="Q104" s="23">
        <f t="shared" ca="1" si="141"/>
        <v>8.0183161369191652E-2</v>
      </c>
      <c r="R104" s="23">
        <f t="shared" ca="1" si="142"/>
        <v>4.7465415844266341E-2</v>
      </c>
      <c r="S104" s="23">
        <f t="shared" ca="1" si="143"/>
        <v>0.2455066210421197</v>
      </c>
      <c r="T104" s="23">
        <f t="shared" ca="1" si="144"/>
        <v>0.37202025889306983</v>
      </c>
      <c r="U104" s="23">
        <f t="shared" ca="1" si="145"/>
        <v>4.5886634989954732E-2</v>
      </c>
      <c r="V104" s="23"/>
      <c r="W104" s="23"/>
      <c r="X104" s="23"/>
      <c r="AK104" s="3" t="s">
        <v>383</v>
      </c>
      <c r="AL104" s="1">
        <v>42277</v>
      </c>
      <c r="AM104" s="23" cm="1">
        <f t="array" aca="1" ref="AM104" ca="1">INDIRECT("'"&amp;$B38&amp;"'!"&amp;(D$5&amp;$P$16))</f>
        <v>1844789.2688300002</v>
      </c>
      <c r="AN104" s="23" cm="1">
        <f t="array" aca="1" ref="AN104" ca="1">INDIRECT("'"&amp;$B38&amp;"'!"&amp;(E$5&amp;$P$16))</f>
        <v>5596420.1272745002</v>
      </c>
      <c r="AO104" s="23" cm="1">
        <f t="array" aca="1" ref="AO104" ca="1">INDIRECT("'"&amp;$B38&amp;"'!"&amp;(F$5&amp;$P$16))</f>
        <v>421.42154575000001</v>
      </c>
      <c r="AP104" s="21">
        <f ca="1">SQRT(((AM104-AM105)^2)+((AN104-AN105)^2))</f>
        <v>7.7620874565951153E-2</v>
      </c>
      <c r="AQ104" s="21" cm="1">
        <f t="array" aca="1" ref="AQ104" ca="1">INDIRECT("'"&amp;AK104&amp;"'!"&amp;$H$5&amp;$P$16)+0.01</f>
        <v>1.9E-2</v>
      </c>
      <c r="AR104" s="23">
        <f ca="1">AO104-AO105</f>
        <v>-2.8999999999996362E-2</v>
      </c>
      <c r="AS104" s="7">
        <f ca="1">SQRT((AP104^2)+(AR104^2))</f>
        <v>8.2861330959518822E-2</v>
      </c>
      <c r="AT104" s="7">
        <f t="shared" ca="1" si="121"/>
        <v>0.33982455955308283</v>
      </c>
      <c r="AU104" s="23">
        <f ca="1">AU105+AS104</f>
        <v>8.2861330959518822E-2</v>
      </c>
      <c r="AV104" s="23">
        <f ca="1">AV105+AR104</f>
        <v>-2.8999999999996362E-2</v>
      </c>
      <c r="BK104" s="21" t="s">
        <v>384</v>
      </c>
      <c r="BL104" s="1">
        <v>42188</v>
      </c>
      <c r="BM104" s="34"/>
      <c r="BN104" s="34"/>
      <c r="BO104" s="34"/>
      <c r="BP104" s="7"/>
      <c r="BR104" s="21"/>
      <c r="BS104" s="21"/>
      <c r="BT104" s="21"/>
      <c r="BU104" s="21"/>
      <c r="BV104" s="21"/>
    </row>
    <row r="105" spans="4:74" x14ac:dyDescent="0.3">
      <c r="D105" s="46">
        <v>42814</v>
      </c>
      <c r="E105" s="23">
        <f t="shared" ca="1" si="135"/>
        <v>1.4415982496834223</v>
      </c>
      <c r="F105" s="23">
        <f t="shared" ca="1" si="136"/>
        <v>1.1779855065018525</v>
      </c>
      <c r="G105" s="23">
        <f t="shared" ca="1" si="137"/>
        <v>0.90900548595152619</v>
      </c>
      <c r="H105" s="23">
        <f t="shared" ca="1" si="138"/>
        <v>3.4437394279202134</v>
      </c>
      <c r="I105" s="23">
        <f t="shared" ca="1" si="139"/>
        <v>4.0300701830311123</v>
      </c>
      <c r="J105" s="23">
        <f t="shared" ca="1" si="140"/>
        <v>0.78532223127157119</v>
      </c>
      <c r="K105" s="23"/>
      <c r="L105" s="23"/>
      <c r="M105" s="23"/>
      <c r="N105" s="21"/>
      <c r="O105" s="46">
        <v>42814</v>
      </c>
      <c r="P105" s="23">
        <f t="shared" ca="1" si="146"/>
        <v>5.5627358195082001E-2</v>
      </c>
      <c r="Q105" s="23">
        <f t="shared" ca="1" si="141"/>
        <v>3.5949157509485602E-2</v>
      </c>
      <c r="R105" s="23">
        <f t="shared" ca="1" si="142"/>
        <v>2.4756439548203363E-2</v>
      </c>
      <c r="S105" s="23">
        <f t="shared" ca="1" si="143"/>
        <v>0.12437658475354715</v>
      </c>
      <c r="T105" s="23">
        <f t="shared" ca="1" si="144"/>
        <v>0.20547797271511609</v>
      </c>
      <c r="U105" s="23">
        <f t="shared" ca="1" si="145"/>
        <v>2.1629210647942328E-2</v>
      </c>
      <c r="V105" s="23"/>
      <c r="W105" s="23"/>
      <c r="X105" s="23"/>
      <c r="AK105" s="3" t="s">
        <v>384</v>
      </c>
      <c r="AL105" s="1">
        <v>42188</v>
      </c>
      <c r="AM105" s="23" cm="1">
        <f t="array" aca="1" ref="AM105" ca="1">INDIRECT("'"&amp;$B39&amp;"'!"&amp;(D$5&amp;$P$16))</f>
        <v>1844789.2888300002</v>
      </c>
      <c r="AN105" s="23" cm="1">
        <f t="array" aca="1" ref="AN105" ca="1">INDIRECT("'"&amp;$B39&amp;"'!"&amp;(E$5&amp;$P$16))</f>
        <v>5596420.2022745013</v>
      </c>
      <c r="AO105" s="23" cm="1">
        <f t="array" aca="1" ref="AO105" ca="1">INDIRECT("'"&amp;$B39&amp;"'!"&amp;(F$5&amp;$P$16))</f>
        <v>421.45054575</v>
      </c>
      <c r="AP105" s="21"/>
      <c r="AQ105" s="21"/>
      <c r="AR105" s="23"/>
      <c r="AS105" s="7"/>
      <c r="AT105" s="7"/>
      <c r="AU105" s="10"/>
      <c r="AV105" s="21">
        <v>0</v>
      </c>
      <c r="BP105" s="7"/>
    </row>
    <row r="106" spans="4:74" x14ac:dyDescent="0.3">
      <c r="D106" s="46">
        <v>42718</v>
      </c>
      <c r="E106" s="23"/>
      <c r="F106" s="23">
        <f t="shared" ca="1" si="136"/>
        <v>1.0666590832466714</v>
      </c>
      <c r="G106" s="23">
        <f t="shared" ca="1" si="137"/>
        <v>0.83234038283450928</v>
      </c>
      <c r="H106" s="23">
        <f t="shared" ca="1" si="138"/>
        <v>3.0585732299737449</v>
      </c>
      <c r="I106" s="23">
        <f t="shared" ca="1" si="139"/>
        <v>3.3937512997843013</v>
      </c>
      <c r="J106" s="23">
        <f t="shared" ca="1" si="140"/>
        <v>0.71834144991020144</v>
      </c>
      <c r="K106" s="23"/>
      <c r="L106" s="23"/>
      <c r="M106" s="23"/>
      <c r="N106" s="21"/>
      <c r="O106" s="46">
        <v>42718</v>
      </c>
      <c r="P106" s="23"/>
      <c r="Q106" s="23">
        <f t="shared" ca="1" si="141"/>
        <v>5.9465653249297402E-2</v>
      </c>
      <c r="R106" s="23">
        <f t="shared" ca="1" si="142"/>
        <v>5.0779916106282463E-2</v>
      </c>
      <c r="S106" s="23">
        <f t="shared" ca="1" si="143"/>
        <v>0.25028758904852011</v>
      </c>
      <c r="T106" s="23">
        <f t="shared" ca="1" si="144"/>
        <v>0.41442566176505835</v>
      </c>
      <c r="U106" s="23">
        <f t="shared" ca="1" si="145"/>
        <v>6.4499041702611767E-2</v>
      </c>
      <c r="V106" s="23"/>
      <c r="W106" s="23"/>
      <c r="X106" s="23"/>
      <c r="AL106" s="1"/>
      <c r="BP106" s="7"/>
    </row>
    <row r="107" spans="4:74" x14ac:dyDescent="0.3">
      <c r="D107" s="46">
        <v>42666</v>
      </c>
      <c r="E107" s="23">
        <f t="shared" ca="1" si="135"/>
        <v>1.1760224750746437</v>
      </c>
      <c r="F107" s="23">
        <f t="shared" ca="1" si="136"/>
        <v>0.96691024553817251</v>
      </c>
      <c r="G107" s="23">
        <f t="shared" ca="1" si="137"/>
        <v>0.74716116872074512</v>
      </c>
      <c r="H107" s="23">
        <f t="shared" ca="1" si="138"/>
        <v>2.6387359838278401</v>
      </c>
      <c r="I107" s="23"/>
      <c r="J107" s="23"/>
      <c r="K107" s="23"/>
      <c r="L107" s="23"/>
      <c r="M107" s="23"/>
      <c r="N107" s="21"/>
      <c r="O107" s="46">
        <v>42666</v>
      </c>
      <c r="P107" s="23">
        <f t="shared" ref="P107:P111" ca="1" si="147">BT17</f>
        <v>0.14429834604457084</v>
      </c>
      <c r="Q107" s="23">
        <f t="shared" ca="1" si="141"/>
        <v>0.12121286706649356</v>
      </c>
      <c r="R107" s="23">
        <f t="shared" ca="1" si="142"/>
        <v>6.8397372545338286E-2</v>
      </c>
      <c r="S107" s="23">
        <f t="shared" ca="1" si="143"/>
        <v>0.29835200717599342</v>
      </c>
      <c r="T107" s="23"/>
      <c r="U107" s="23"/>
      <c r="V107" s="23"/>
      <c r="W107" s="23"/>
      <c r="X107" s="23"/>
      <c r="AL107" s="1"/>
      <c r="AX107" t="s">
        <v>573</v>
      </c>
      <c r="BK107" s="21" t="s">
        <v>590</v>
      </c>
      <c r="BL107" s="1"/>
      <c r="BM107" s="21" t="s">
        <v>541</v>
      </c>
      <c r="BN107" s="21" t="s">
        <v>542</v>
      </c>
      <c r="BO107" s="21" t="s">
        <v>543</v>
      </c>
      <c r="BP107" s="7" t="s">
        <v>427</v>
      </c>
      <c r="BQ107" s="7" t="s">
        <v>525</v>
      </c>
      <c r="BR107" s="21" t="s">
        <v>428</v>
      </c>
      <c r="BS107" s="21" t="s">
        <v>429</v>
      </c>
      <c r="BT107" s="21" t="s">
        <v>606</v>
      </c>
      <c r="BU107" s="21" t="s">
        <v>430</v>
      </c>
      <c r="BV107" s="33" t="s">
        <v>582</v>
      </c>
    </row>
    <row r="108" spans="4:74" x14ac:dyDescent="0.3">
      <c r="D108" s="46">
        <v>42562</v>
      </c>
      <c r="E108" s="23">
        <f t="shared" ca="1" si="135"/>
        <v>0.69192479802188989</v>
      </c>
      <c r="F108" s="23">
        <f t="shared" ca="1" si="136"/>
        <v>0.56026062699251666</v>
      </c>
      <c r="G108" s="23">
        <f t="shared" ca="1" si="137"/>
        <v>0.51769901566541665</v>
      </c>
      <c r="H108" s="23">
        <f t="shared" ca="1" si="138"/>
        <v>1.6378131210438625</v>
      </c>
      <c r="I108" s="23">
        <f t="shared" ca="1" si="139"/>
        <v>1.3082544212246527</v>
      </c>
      <c r="J108" s="23">
        <f t="shared" ca="1" si="140"/>
        <v>0.3937656271486713</v>
      </c>
      <c r="K108" s="23"/>
      <c r="L108" s="23"/>
      <c r="M108" s="23"/>
      <c r="N108" s="21"/>
      <c r="O108" s="46">
        <v>42562</v>
      </c>
      <c r="P108" s="23">
        <f t="shared" ca="1" si="147"/>
        <v>5.8271167790074248E-2</v>
      </c>
      <c r="Q108" s="23">
        <f t="shared" ca="1" si="141"/>
        <v>3.7669449238394236E-2</v>
      </c>
      <c r="R108" s="23">
        <f t="shared" ca="1" si="142"/>
        <v>3.3456870822437791E-2</v>
      </c>
      <c r="S108" s="23">
        <f t="shared" ca="1" si="143"/>
        <v>9.8096239696534915E-2</v>
      </c>
      <c r="T108" s="23">
        <f ca="1">BT100</f>
        <v>0.1854056535309741</v>
      </c>
      <c r="U108" s="23">
        <f ca="1">BT116</f>
        <v>3.1099918631525565E-2</v>
      </c>
      <c r="V108" s="23"/>
      <c r="W108" s="23"/>
      <c r="X108" s="23"/>
      <c r="AK108" s="4" t="s">
        <v>572</v>
      </c>
      <c r="AL108" s="30"/>
      <c r="AM108" s="5" t="s">
        <v>541</v>
      </c>
      <c r="AN108" s="5" t="s">
        <v>542</v>
      </c>
      <c r="AO108" s="5" t="s">
        <v>543</v>
      </c>
      <c r="AP108" s="21" t="s">
        <v>427</v>
      </c>
      <c r="AQ108" s="21" t="s">
        <v>525</v>
      </c>
      <c r="AR108" s="21" t="s">
        <v>428</v>
      </c>
      <c r="AS108" s="21" t="s">
        <v>429</v>
      </c>
      <c r="AT108" s="21" t="s">
        <v>438</v>
      </c>
      <c r="AU108" s="21" t="s">
        <v>430</v>
      </c>
      <c r="AV108" s="33" t="s">
        <v>582</v>
      </c>
      <c r="BK108" s="21" t="s">
        <v>526</v>
      </c>
      <c r="BL108" s="1">
        <v>43817</v>
      </c>
      <c r="BM108" s="34" cm="1">
        <f t="array" aca="1" ref="BM108" ca="1">INDIRECT("'"&amp;$B27&amp;"'!"&amp;(D$5&amp;$P$28))</f>
        <v>1844707.4221389999</v>
      </c>
      <c r="BN108" s="34" cm="1">
        <f t="array" aca="1" ref="BN108" ca="1">INDIRECT("'"&amp;$B27&amp;"'!"&amp;(E$5&amp;$P$28))</f>
        <v>5595724.775467</v>
      </c>
      <c r="BO108" s="34" cm="1">
        <f t="array" aca="1" ref="BO108" ca="1">INDIRECT("'"&amp;$B27&amp;"'!"&amp;(F$5&amp;$P$28))</f>
        <v>375.66105900000002</v>
      </c>
      <c r="BP108" s="7">
        <f ca="1">SQRT(((BM108-BM109)^2)+((BN108-BN109)^2))</f>
        <v>0.58628005662912086</v>
      </c>
      <c r="BQ108" s="7" cm="1">
        <f t="array" aca="1" ref="BQ108" ca="1">INDIRECT("'"&amp;BK108&amp;"'!"&amp;$H$5&amp;$P$28)+0.01</f>
        <v>2.5836999999999999E-2</v>
      </c>
      <c r="BR108" s="23">
        <f ca="1">BO108-BO109</f>
        <v>-8.6443999999971766E-2</v>
      </c>
      <c r="BS108" s="7">
        <f ca="1">SQRT((BP108^2)+(BR108^2))</f>
        <v>0.59261865473256936</v>
      </c>
      <c r="BT108" s="7">
        <f t="shared" ref="BT108:BT113" ca="1" si="148">(BS108/(BL108-BL109))*31</f>
        <v>4.2232593785539424E-2</v>
      </c>
      <c r="BU108" s="23">
        <f ca="1">BU109+BS108</f>
        <v>2.375196806897665</v>
      </c>
      <c r="BV108" s="23">
        <f ca="1">BV109+BR108</f>
        <v>-0.44848674999997229</v>
      </c>
    </row>
    <row r="109" spans="4:74" x14ac:dyDescent="0.3">
      <c r="D109" s="46">
        <v>42446</v>
      </c>
      <c r="E109" s="23">
        <f t="shared" ca="1" si="135"/>
        <v>0.473877847581612</v>
      </c>
      <c r="F109" s="23">
        <f t="shared" ca="1" si="136"/>
        <v>0.41930397822949306</v>
      </c>
      <c r="G109" s="23">
        <f t="shared" ca="1" si="137"/>
        <v>0.39250556355564936</v>
      </c>
      <c r="H109" s="23">
        <f t="shared" ca="1" si="138"/>
        <v>1.2707433208890866</v>
      </c>
      <c r="I109" s="23">
        <f t="shared" ca="1" si="139"/>
        <v>0.61447842736681402</v>
      </c>
      <c r="J109" s="23">
        <f t="shared" ca="1" si="140"/>
        <v>0.27739173807586598</v>
      </c>
      <c r="K109" s="23"/>
      <c r="L109" s="23"/>
      <c r="M109" s="23"/>
      <c r="N109" s="21"/>
      <c r="O109" s="46">
        <v>42446</v>
      </c>
      <c r="P109" s="23">
        <f t="shared" ca="1" si="147"/>
        <v>3.8439545406681548E-2</v>
      </c>
      <c r="Q109" s="23">
        <f t="shared" ca="1" si="141"/>
        <v>3.8703725893127275E-2</v>
      </c>
      <c r="R109" s="23">
        <f t="shared" ca="1" si="142"/>
        <v>2.0935876792479262E-2</v>
      </c>
      <c r="S109" s="23">
        <f t="shared" ca="1" si="143"/>
        <v>0.10380195381835802</v>
      </c>
      <c r="T109" s="23">
        <f ca="1">BT101</f>
        <v>0.18860228958783401</v>
      </c>
      <c r="U109" s="23">
        <f ca="1">BT117</f>
        <v>1.71767993055633E-2</v>
      </c>
      <c r="V109" s="23"/>
      <c r="W109" s="23"/>
      <c r="X109" s="23"/>
      <c r="AK109" s="3" t="s">
        <v>526</v>
      </c>
      <c r="AL109" s="1">
        <v>43817</v>
      </c>
      <c r="AM109" s="23" cm="1">
        <f t="array" aca="1" ref="AM109" ca="1">INDIRECT("'"&amp;$B27&amp;"'!"&amp;(D$5&amp;$P$17))</f>
        <v>1844897.302599</v>
      </c>
      <c r="AN109" s="23" cm="1">
        <f t="array" aca="1" ref="AN109" ca="1">INDIRECT("'"&amp;$B27&amp;"'!"&amp;(E$5&amp;$P$17))</f>
        <v>5596315.2713759998</v>
      </c>
      <c r="AO109" s="23" cm="1">
        <f t="array" aca="1" ref="AO109" ca="1">INDIRECT("'"&amp;$B27&amp;"'!"&amp;(F$5&amp;$P$17))</f>
        <v>399.038813</v>
      </c>
      <c r="AP109" s="21">
        <f ca="1">SQRT(((AM109-AM110)^2)+((AN109-AN110)^2))</f>
        <v>5.2437026626473149E-2</v>
      </c>
      <c r="AQ109" s="21" cm="1">
        <f t="array" aca="1" ref="AQ109" ca="1">INDIRECT("'"&amp;AK109&amp;"'!"&amp;$H$5&amp;$P$17)+0.01</f>
        <v>2.2630999999999998E-2</v>
      </c>
      <c r="AR109" s="23">
        <f ca="1">AO109-AO110</f>
        <v>-1.882000000023254E-3</v>
      </c>
      <c r="AS109" s="7">
        <f ca="1">SQRT((AP109^2)+(AR109^2))</f>
        <v>5.2470788877484409E-2</v>
      </c>
      <c r="AT109" s="7">
        <f t="shared" ref="AT109:AT118" ca="1" si="149">(AS109/(AL109-AL110))*365</f>
        <v>4.4027213655820248E-2</v>
      </c>
      <c r="AU109" s="23">
        <f ca="1">AU110+AS109</f>
        <v>0.51961711958323553</v>
      </c>
      <c r="AV109" s="23">
        <f ca="1">AV110+AR109</f>
        <v>-8.5759250000023712E-2</v>
      </c>
      <c r="BK109" s="21" t="s">
        <v>373</v>
      </c>
      <c r="BL109" s="1">
        <v>43382</v>
      </c>
      <c r="BM109" s="34" cm="1">
        <f t="array" aca="1" ref="BM109" ca="1">INDIRECT("'"&amp;$B28&amp;"'!"&amp;(D$5&amp;$P$28))</f>
        <v>1844707.5853579999</v>
      </c>
      <c r="BN109" s="34" cm="1">
        <f t="array" aca="1" ref="BN109" ca="1">INDIRECT("'"&amp;$B28&amp;"'!"&amp;(E$5&amp;$P$28))</f>
        <v>5595725.3385690004</v>
      </c>
      <c r="BO109" s="34" cm="1">
        <f t="array" aca="1" ref="BO109" ca="1">INDIRECT("'"&amp;$B28&amp;"'!"&amp;(F$5&amp;$P$28))</f>
        <v>375.74750299999999</v>
      </c>
      <c r="BP109" s="7">
        <f t="shared" ref="BP109:BP119" ca="1" si="150">SQRT(((BM109-BM110)^2)+((BN109-BN110)^2))</f>
        <v>0.36370389762123595</v>
      </c>
      <c r="BQ109" s="7" cm="1">
        <f t="array" aca="1" ref="BQ109" ca="1">INDIRECT("'"&amp;BK109&amp;"'!"&amp;$H$5&amp;$P$28)+0.01</f>
        <v>3.2149999999999998E-2</v>
      </c>
      <c r="BR109" s="23">
        <f t="shared" ref="BR109:BR119" ca="1" si="151">BO109-BO110</f>
        <v>-8.7198000000000775E-2</v>
      </c>
      <c r="BS109" s="7">
        <f t="shared" ref="BS109:BS119" ca="1" si="152">SQRT((BP109^2)+(BR109^2))</f>
        <v>0.37401071689041027</v>
      </c>
      <c r="BT109" s="7">
        <f t="shared" ca="1" si="148"/>
        <v>5.9154756242871011E-2</v>
      </c>
      <c r="BU109" s="23">
        <f t="shared" ref="BU109:BU119" ca="1" si="153">BU110+BS109</f>
        <v>1.7825781521650954</v>
      </c>
      <c r="BV109" s="23">
        <f t="shared" ref="BV109:BV119" ca="1" si="154">BV110+BR109</f>
        <v>-0.36204275000000052</v>
      </c>
    </row>
    <row r="110" spans="4:74" x14ac:dyDescent="0.3">
      <c r="D110" s="46">
        <v>42345</v>
      </c>
      <c r="E110" s="23">
        <f t="shared" ca="1" si="135"/>
        <v>0.34863932867597214</v>
      </c>
      <c r="F110" s="23">
        <f t="shared" ca="1" si="136"/>
        <v>0.29320474225511062</v>
      </c>
      <c r="G110" s="23">
        <f t="shared" ca="1" si="137"/>
        <v>0.32429512626402335</v>
      </c>
      <c r="H110" s="23">
        <f t="shared" ca="1" si="138"/>
        <v>0.93254985844862981</v>
      </c>
      <c r="I110" s="23">
        <f t="shared" si="139"/>
        <v>0</v>
      </c>
      <c r="J110" s="23">
        <f t="shared" ca="1" si="140"/>
        <v>0.22142861775774039</v>
      </c>
      <c r="K110" s="23"/>
      <c r="L110" s="23"/>
      <c r="M110" s="23"/>
      <c r="N110" s="21"/>
      <c r="O110" s="46">
        <v>42345</v>
      </c>
      <c r="P110" s="23">
        <f t="shared" ca="1" si="147"/>
        <v>0.15893851748463436</v>
      </c>
      <c r="Q110" s="23">
        <f t="shared" ca="1" si="141"/>
        <v>3.2987027364936743E-2</v>
      </c>
      <c r="R110" s="23">
        <f t="shared" ca="1" si="142"/>
        <v>2.3175979827025704E-2</v>
      </c>
      <c r="S110" s="23">
        <f t="shared" ca="1" si="143"/>
        <v>0.15098658718704344</v>
      </c>
      <c r="T110" s="23">
        <f>BT102</f>
        <v>0</v>
      </c>
      <c r="U110" s="23">
        <f ca="1">BT118</f>
        <v>1.8516372991413677E-2</v>
      </c>
      <c r="V110" s="23"/>
      <c r="W110" s="23"/>
      <c r="X110" s="23"/>
      <c r="AK110" s="3" t="s">
        <v>373</v>
      </c>
      <c r="AL110" s="1">
        <v>43382</v>
      </c>
      <c r="AM110" s="23" cm="1">
        <f t="array" aca="1" ref="AM110" ca="1">INDIRECT("'"&amp;$B28&amp;"'!"&amp;(D$5&amp;$P$17))</f>
        <v>1844897.3165829999</v>
      </c>
      <c r="AN110" s="23" cm="1">
        <f t="array" aca="1" ref="AN110" ca="1">INDIRECT("'"&amp;$B28&amp;"'!"&amp;(E$5&amp;$P$17))</f>
        <v>5596315.3219140004</v>
      </c>
      <c r="AO110" s="23" cm="1">
        <f t="array" aca="1" ref="AO110" ca="1">INDIRECT("'"&amp;$B28&amp;"'!"&amp;(F$5&amp;$P$17))</f>
        <v>399.04069500000003</v>
      </c>
      <c r="AP110" s="21">
        <f ca="1">SQRT(((AM110-AM111)^2)+((AN110-AN111)^2))</f>
        <v>9.0786883126380599E-2</v>
      </c>
      <c r="AQ110" s="21" cm="1">
        <f t="array" aca="1" ref="AQ110" ca="1">INDIRECT("'"&amp;AK110&amp;"'!"&amp;$H$5&amp;$P$17)+0.01</f>
        <v>2.6872E-2</v>
      </c>
      <c r="AR110" s="23">
        <f ca="1">AO110-AO111</f>
        <v>-2.3824999999987995E-2</v>
      </c>
      <c r="AS110" s="7">
        <f t="shared" ref="AS110" ca="1" si="155">SQRT((AP110^2)+(AR110^2))</f>
        <v>9.3861007733789636E-2</v>
      </c>
      <c r="AT110" s="7">
        <f t="shared" ca="1" si="149"/>
        <v>0.17479218276955724</v>
      </c>
      <c r="AU110" s="23">
        <f t="shared" ref="AU110:AU112" ca="1" si="156">AU111+AS110</f>
        <v>0.46714633070575107</v>
      </c>
      <c r="AV110" s="23">
        <f t="shared" ref="AV110:AV119" ca="1" si="157">AV111+AR110</f>
        <v>-8.3877250000000458E-2</v>
      </c>
      <c r="BK110" s="21" t="s">
        <v>375</v>
      </c>
      <c r="BL110" s="1">
        <v>43186</v>
      </c>
      <c r="BM110" s="34" cm="1">
        <f t="array" aca="1" ref="BM110" ca="1">INDIRECT("'"&amp;$B29&amp;"'!"&amp;(D$5&amp;$P$28))</f>
        <v>1844707.7045750001</v>
      </c>
      <c r="BN110" s="34" cm="1">
        <f t="array" aca="1" ref="BN110" ca="1">INDIRECT("'"&amp;$B29&amp;"'!"&amp;(E$5&amp;$P$28))</f>
        <v>5595725.6821790002</v>
      </c>
      <c r="BO110" s="34" cm="1">
        <f t="array" aca="1" ref="BO110" ca="1">INDIRECT("'"&amp;$B29&amp;"'!"&amp;(F$5&amp;$P$28))</f>
        <v>375.834701</v>
      </c>
      <c r="BP110" s="7">
        <f t="shared" ca="1" si="150"/>
        <v>0.24621349014490868</v>
      </c>
      <c r="BQ110" s="7" cm="1">
        <f t="array" aca="1" ref="BQ110" ca="1">INDIRECT("'"&amp;BK110&amp;"'!"&amp;$H$5&amp;$P$28)+0.01</f>
        <v>3.7137999999999997E-2</v>
      </c>
      <c r="BR110" s="23">
        <f t="shared" ca="1" si="151"/>
        <v>-7.0695999999998094E-2</v>
      </c>
      <c r="BS110" s="7">
        <f t="shared" ca="1" si="152"/>
        <v>0.25616207202733349</v>
      </c>
      <c r="BT110" s="7">
        <f t="shared" ca="1" si="148"/>
        <v>4.7551043310463101E-2</v>
      </c>
      <c r="BU110" s="23">
        <f t="shared" ca="1" si="153"/>
        <v>1.4085674352746851</v>
      </c>
      <c r="BV110" s="23">
        <f t="shared" ca="1" si="154"/>
        <v>-0.27484474999999975</v>
      </c>
    </row>
    <row r="111" spans="4:74" x14ac:dyDescent="0.3">
      <c r="D111" s="46">
        <v>42277</v>
      </c>
      <c r="E111" s="23">
        <f t="shared" si="135"/>
        <v>0</v>
      </c>
      <c r="F111" s="23">
        <f t="shared" ca="1" si="136"/>
        <v>0.22084610158363646</v>
      </c>
      <c r="G111" s="23">
        <f t="shared" ca="1" si="137"/>
        <v>0.27345749309506373</v>
      </c>
      <c r="H111" s="23">
        <f t="shared" ca="1" si="138"/>
        <v>0.60135347365124425</v>
      </c>
      <c r="I111" s="23"/>
      <c r="J111" s="23">
        <f t="shared" ca="1" si="140"/>
        <v>0.18081205764754266</v>
      </c>
      <c r="K111" s="23"/>
      <c r="L111" s="23"/>
      <c r="M111" s="23"/>
      <c r="N111" s="21"/>
      <c r="O111" s="46">
        <v>42277</v>
      </c>
      <c r="P111" s="23">
        <f t="shared" si="147"/>
        <v>0</v>
      </c>
      <c r="Q111" s="23">
        <f t="shared" ca="1" si="141"/>
        <v>7.6923923023513835E-2</v>
      </c>
      <c r="R111" s="23">
        <f t="shared" ca="1" si="142"/>
        <v>9.5249239167943547E-2</v>
      </c>
      <c r="S111" s="23">
        <f t="shared" ca="1" si="143"/>
        <v>0.20946019868751203</v>
      </c>
      <c r="T111" s="23"/>
      <c r="U111" s="23">
        <f ca="1">BT119</f>
        <v>6.2979480753638448E-2</v>
      </c>
      <c r="V111" s="23"/>
      <c r="W111" s="23"/>
      <c r="X111" s="23"/>
      <c r="AK111" s="22" t="s">
        <v>375</v>
      </c>
      <c r="AL111" s="1">
        <v>43186</v>
      </c>
      <c r="AM111" s="23" cm="1">
        <f t="array" aca="1" ref="AM111" ca="1">INDIRECT("'"&amp;$B29&amp;"'!"&amp;(D$5&amp;$P$17))</f>
        <v>1844897.331548</v>
      </c>
      <c r="AN111" s="23" cm="1">
        <f t="array" aca="1" ref="AN111" ca="1">INDIRECT("'"&amp;$B29&amp;"'!"&amp;(E$5&amp;$P$17))</f>
        <v>5596315.4114589998</v>
      </c>
      <c r="AO111" s="23" cm="1">
        <f t="array" aca="1" ref="AO111" ca="1">INDIRECT("'"&amp;$B29&amp;"'!"&amp;(F$5&amp;$P$17))</f>
        <v>399.06452000000002</v>
      </c>
      <c r="AP111" s="21">
        <f t="shared" ref="AP111:AP118" ca="1" si="158">SQRT(((AM111-AM112)^2)+((AN111-AN112)^2))</f>
        <v>3.8027746571070095E-2</v>
      </c>
      <c r="AQ111" s="21" cm="1">
        <f t="array" aca="1" ref="AQ111" ca="1">INDIRECT("'"&amp;AK111&amp;"'!"&amp;$H$5&amp;$P$17)+0.01</f>
        <v>3.0286E-2</v>
      </c>
      <c r="AR111" s="23">
        <f t="shared" ref="AR111:AR118" ca="1" si="159">AO111-AO112</f>
        <v>-2.724799999998595E-2</v>
      </c>
      <c r="AS111" s="7">
        <f ca="1">SQRT((AP111^2)+(AR111^2))</f>
        <v>4.678208004431577E-2</v>
      </c>
      <c r="AT111" s="7">
        <f t="shared" ca="1" si="149"/>
        <v>0.10224825877949256</v>
      </c>
      <c r="AU111" s="23">
        <f t="shared" ca="1" si="156"/>
        <v>0.37328532297196143</v>
      </c>
      <c r="AV111" s="23">
        <f t="shared" ca="1" si="157"/>
        <v>-6.0052250000012464E-2</v>
      </c>
      <c r="BK111" s="21" t="s">
        <v>374</v>
      </c>
      <c r="BL111" s="1">
        <v>43019</v>
      </c>
      <c r="BM111" s="34" cm="1">
        <f t="array" aca="1" ref="BM111" ca="1">INDIRECT("'"&amp;$B30&amp;"'!"&amp;(D$5&amp;$P$28))</f>
        <v>1844707.7777219999</v>
      </c>
      <c r="BN111" s="34" cm="1">
        <f t="array" aca="1" ref="BN111" ca="1">INDIRECT("'"&amp;$B30&amp;"'!"&amp;(E$5&amp;$P$28))</f>
        <v>5595725.9172759997</v>
      </c>
      <c r="BO111" s="34" cm="1">
        <f t="array" aca="1" ref="BO111" ca="1">INDIRECT("'"&amp;$B30&amp;"'!"&amp;(F$5&amp;$P$28))</f>
        <v>375.90539699999999</v>
      </c>
      <c r="BP111" s="7">
        <f t="shared" ca="1" si="150"/>
        <v>0.18410152218842449</v>
      </c>
      <c r="BQ111" s="7" cm="1">
        <f t="array" aca="1" ref="BQ111" ca="1">INDIRECT("'"&amp;BK111&amp;"'!"&amp;$H$5&amp;$P$28)+0.01</f>
        <v>3.8832999999999999E-2</v>
      </c>
      <c r="BR111" s="23">
        <f t="shared" ca="1" si="151"/>
        <v>-0.11596700000001192</v>
      </c>
      <c r="BS111" s="7">
        <f t="shared" ca="1" si="152"/>
        <v>0.21758151475044407</v>
      </c>
      <c r="BT111" s="7">
        <f t="shared" ca="1" si="148"/>
        <v>6.4856028435228516E-2</v>
      </c>
      <c r="BU111" s="23">
        <f t="shared" ca="1" si="153"/>
        <v>1.1524053632473517</v>
      </c>
      <c r="BV111" s="23">
        <f t="shared" ca="1" si="154"/>
        <v>-0.20414875000000166</v>
      </c>
    </row>
    <row r="112" spans="4:74" x14ac:dyDescent="0.3">
      <c r="D112" s="46">
        <v>42188</v>
      </c>
      <c r="E112" s="23"/>
      <c r="F112" s="23">
        <f t="shared" si="136"/>
        <v>0</v>
      </c>
      <c r="G112" s="23">
        <f t="shared" si="137"/>
        <v>0</v>
      </c>
      <c r="H112" s="23">
        <f t="shared" si="138"/>
        <v>0</v>
      </c>
      <c r="I112" s="23"/>
      <c r="J112" s="23">
        <f t="shared" si="140"/>
        <v>0</v>
      </c>
      <c r="K112" s="23"/>
      <c r="L112" s="23"/>
      <c r="M112" s="23"/>
      <c r="N112" s="21"/>
      <c r="O112" s="46">
        <v>42188</v>
      </c>
      <c r="P112" s="23"/>
      <c r="Q112" s="23">
        <f t="shared" si="141"/>
        <v>0</v>
      </c>
      <c r="R112" s="23">
        <f t="shared" si="142"/>
        <v>0</v>
      </c>
      <c r="S112" s="23">
        <f t="shared" si="143"/>
        <v>0</v>
      </c>
      <c r="T112" s="23"/>
      <c r="U112" s="23">
        <f>BT120</f>
        <v>0</v>
      </c>
      <c r="V112" s="23"/>
      <c r="W112" s="23"/>
      <c r="X112" s="23"/>
      <c r="AK112" s="3" t="s">
        <v>374</v>
      </c>
      <c r="AL112" s="1">
        <v>43019</v>
      </c>
      <c r="AM112" s="23" cm="1">
        <f t="array" aca="1" ref="AM112" ca="1">INDIRECT("'"&amp;$B30&amp;"'!"&amp;(D$5&amp;$P$17))</f>
        <v>1844897.3512500001</v>
      </c>
      <c r="AN112" s="23" cm="1">
        <f t="array" aca="1" ref="AN112" ca="1">INDIRECT("'"&amp;$B30&amp;"'!"&amp;(E$5&amp;$P$17))</f>
        <v>5596315.4439850003</v>
      </c>
      <c r="AO112" s="23" cm="1">
        <f t="array" aca="1" ref="AO112" ca="1">INDIRECT("'"&amp;$B30&amp;"'!"&amp;(F$5&amp;$P$17))</f>
        <v>399.091768</v>
      </c>
      <c r="AP112" s="21">
        <f t="shared" ca="1" si="158"/>
        <v>3.4442069207321388E-2</v>
      </c>
      <c r="AQ112" s="21" cm="1">
        <f t="array" aca="1" ref="AQ112" ca="1">INDIRECT("'"&amp;AK112&amp;"'!"&amp;$H$5&amp;$P$17)+0.01</f>
        <v>2.8762000000000003E-2</v>
      </c>
      <c r="AR112" s="23">
        <f t="shared" ca="1" si="159"/>
        <v>-4.6492000000000644E-2</v>
      </c>
      <c r="AS112" s="7">
        <f t="shared" ref="AS112:AS118" ca="1" si="160">SQRT((AP112^2)+(AR112^2))</f>
        <v>5.7859849596088447E-2</v>
      </c>
      <c r="AT112" s="7">
        <f t="shared" ca="1" si="149"/>
        <v>0.20306581829396428</v>
      </c>
      <c r="AU112" s="23">
        <f t="shared" ca="1" si="156"/>
        <v>0.32650324292764565</v>
      </c>
      <c r="AV112" s="23">
        <f t="shared" ca="1" si="157"/>
        <v>-3.2804250000026514E-2</v>
      </c>
      <c r="BK112" s="21" t="s">
        <v>376</v>
      </c>
      <c r="BL112" s="1">
        <v>42915</v>
      </c>
      <c r="BM112" s="34" cm="1">
        <f t="array" aca="1" ref="BM112" ca="1">INDIRECT("'"&amp;$B31&amp;"'!"&amp;(D$5&amp;$P$28))</f>
        <v>1844707.844576</v>
      </c>
      <c r="BN112" s="34" cm="1">
        <f t="array" aca="1" ref="BN112" ca="1">INDIRECT("'"&amp;$B31&amp;"'!"&amp;(E$5&amp;$P$28))</f>
        <v>5595726.0888099996</v>
      </c>
      <c r="BO112" s="34" cm="1">
        <f t="array" aca="1" ref="BO112" ca="1">INDIRECT("'"&amp;$B31&amp;"'!"&amp;(F$5&amp;$P$28))</f>
        <v>376.02136400000001</v>
      </c>
      <c r="BP112" s="7">
        <f t="shared" ca="1" si="150"/>
        <v>0.1426639447687891</v>
      </c>
      <c r="BQ112" s="7" cm="1">
        <f t="array" aca="1" ref="BQ112" ca="1">INDIRECT("'"&amp;BK112&amp;"'!"&amp;$H$5&amp;$P$28)+0.01</f>
        <v>4.9981999999999999E-2</v>
      </c>
      <c r="BR112" s="23">
        <f t="shared" ca="1" si="151"/>
        <v>4.4695999999987635E-2</v>
      </c>
      <c r="BS112" s="7">
        <f t="shared" ca="1" si="152"/>
        <v>0.14950161722533639</v>
      </c>
      <c r="BT112" s="7">
        <f t="shared" ca="1" si="148"/>
        <v>4.5886634989954732E-2</v>
      </c>
      <c r="BU112" s="23">
        <f t="shared" ca="1" si="153"/>
        <v>0.93482384849690758</v>
      </c>
      <c r="BV112" s="23">
        <f t="shared" ca="1" si="154"/>
        <v>-8.8181749999989734E-2</v>
      </c>
    </row>
    <row r="113" spans="4:74" x14ac:dyDescent="0.3">
      <c r="D113" s="21"/>
      <c r="E113" s="21"/>
      <c r="F113" s="21"/>
      <c r="G113" s="21"/>
      <c r="H113" s="21"/>
      <c r="I113" s="21"/>
      <c r="J113" s="21"/>
      <c r="K113" s="21"/>
      <c r="L113" s="21"/>
      <c r="M113" s="21"/>
      <c r="N113" s="21"/>
      <c r="O113" s="21"/>
      <c r="P113" s="4"/>
      <c r="Q113" s="32"/>
      <c r="R113" s="33"/>
      <c r="S113" s="4"/>
      <c r="T113" s="4"/>
      <c r="U113" s="4"/>
      <c r="V113" s="4"/>
      <c r="W113" s="4"/>
      <c r="X113" s="4"/>
      <c r="AK113" s="3" t="s">
        <v>376</v>
      </c>
      <c r="AL113" s="1">
        <v>42915</v>
      </c>
      <c r="AM113" s="23" cm="1">
        <f t="array" aca="1" ref="AM113" ca="1">INDIRECT("'"&amp;$B31&amp;"'!"&amp;(D$5&amp;$P$17))</f>
        <v>1844897.351181</v>
      </c>
      <c r="AN113" s="23" cm="1">
        <f t="array" aca="1" ref="AN113" ca="1">INDIRECT("'"&amp;$B31&amp;"'!"&amp;(E$5&amp;$P$17))</f>
        <v>5596315.4784270003</v>
      </c>
      <c r="AO113" s="23" cm="1">
        <f t="array" aca="1" ref="AO113" ca="1">INDIRECT("'"&amp;$B31&amp;"'!"&amp;(F$5&amp;$P$17))</f>
        <v>399.13826</v>
      </c>
      <c r="AP113" s="21">
        <f t="shared" ca="1" si="158"/>
        <v>3.5627375344534327E-2</v>
      </c>
      <c r="AQ113" s="21" cm="1">
        <f t="array" aca="1" ref="AQ113" ca="1">INDIRECT("'"&amp;AK113&amp;"'!"&amp;$H$5&amp;$P$17)+0.01</f>
        <v>3.5730999999999999E-2</v>
      </c>
      <c r="AR113" s="23">
        <f t="shared" ca="1" si="159"/>
        <v>5.9938999999985754E-2</v>
      </c>
      <c r="AS113" s="7">
        <f t="shared" ca="1" si="160"/>
        <v>6.9727997210149564E-2</v>
      </c>
      <c r="AT113" s="7">
        <f t="shared" ca="1" si="149"/>
        <v>0.25198731665054053</v>
      </c>
      <c r="AU113" s="23">
        <f ca="1">AU114+AS113</f>
        <v>0.26864339333155723</v>
      </c>
      <c r="AV113" s="23">
        <f t="shared" ca="1" si="157"/>
        <v>1.368774999997413E-2</v>
      </c>
      <c r="BK113" s="21" t="s">
        <v>377</v>
      </c>
      <c r="BL113" s="1">
        <v>42814</v>
      </c>
      <c r="BM113" s="34" cm="1">
        <f t="array" aca="1" ref="BM113" ca="1">INDIRECT("'"&amp;$B32&amp;"'!"&amp;(D$5&amp;$P$28))</f>
        <v>1844707.8820400001</v>
      </c>
      <c r="BN113" s="34" cm="1">
        <f t="array" aca="1" ref="BN113" ca="1">INDIRECT("'"&amp;$B32&amp;"'!"&amp;(E$5&amp;$P$28))</f>
        <v>5595726.2264670003</v>
      </c>
      <c r="BO113" s="34" cm="1">
        <f t="array" aca="1" ref="BO113" ca="1">INDIRECT("'"&amp;$B32&amp;"'!"&amp;(F$5&amp;$P$28))</f>
        <v>375.97666800000002</v>
      </c>
      <c r="BP113" s="7">
        <f t="shared" ca="1" si="150"/>
        <v>5.8014210222836482E-2</v>
      </c>
      <c r="BQ113" s="7" cm="1">
        <f t="array" aca="1" ref="BQ113" ca="1">INDIRECT("'"&amp;BK113&amp;"'!"&amp;$H$5&amp;$P$28)+0.01</f>
        <v>3.5750999999999998E-2</v>
      </c>
      <c r="BR113" s="23">
        <f t="shared" ca="1" si="151"/>
        <v>-3.3478000000002339E-2</v>
      </c>
      <c r="BS113" s="7">
        <f t="shared" ca="1" si="152"/>
        <v>6.6980781361369784E-2</v>
      </c>
      <c r="BT113" s="7">
        <f t="shared" ca="1" si="148"/>
        <v>2.1629210647942328E-2</v>
      </c>
      <c r="BU113" s="23">
        <f t="shared" ca="1" si="153"/>
        <v>0.78532223127157119</v>
      </c>
      <c r="BV113" s="23">
        <f t="shared" ca="1" si="154"/>
        <v>-0.13287774999997737</v>
      </c>
    </row>
    <row r="114" spans="4:74" x14ac:dyDescent="0.3">
      <c r="D114" s="21"/>
      <c r="E114" s="23">
        <f t="shared" ref="E114:E126" ca="1" si="161">BQ10</f>
        <v>2.9894999999999998E-2</v>
      </c>
      <c r="F114" s="23">
        <f t="shared" ref="F114:F126" ca="1" si="162">BQ27</f>
        <v>2.7560000000000001E-2</v>
      </c>
      <c r="G114" s="23">
        <f t="shared" ref="G114:G126" ca="1" si="163">BQ44</f>
        <v>2.7511000000000001E-2</v>
      </c>
      <c r="H114" s="23">
        <f t="shared" ref="H114:H126" ca="1" si="164">BQ60</f>
        <v>2.6578999999999998E-2</v>
      </c>
      <c r="I114" s="23">
        <f t="shared" ref="I114:I126" ca="1" si="165">BQ92</f>
        <v>2.8281000000000001E-2</v>
      </c>
      <c r="J114" s="23">
        <f t="shared" ref="J114:J126" ca="1" si="166">BQ108</f>
        <v>2.5836999999999999E-2</v>
      </c>
      <c r="K114" s="23"/>
      <c r="L114" s="23"/>
      <c r="M114" s="23"/>
      <c r="N114" s="21"/>
      <c r="O114" s="21" t="s">
        <v>667</v>
      </c>
      <c r="P114" s="4">
        <f ca="1">P103/P102</f>
        <v>1.6571419410991768</v>
      </c>
      <c r="Q114" s="4">
        <f t="shared" ref="Q114:U114" ca="1" si="167">Q103/Q102</f>
        <v>1.6721646547208342</v>
      </c>
      <c r="R114" s="4">
        <f t="shared" ca="1" si="167"/>
        <v>1.4720202847509767</v>
      </c>
      <c r="S114" s="4">
        <f t="shared" ca="1" si="167"/>
        <v>1.7109300972498092</v>
      </c>
      <c r="T114" s="4">
        <f t="shared" ca="1" si="167"/>
        <v>1.5394583358591101</v>
      </c>
      <c r="U114" s="4">
        <f t="shared" ca="1" si="167"/>
        <v>1.3639244045978196</v>
      </c>
      <c r="V114" s="4"/>
      <c r="W114" s="4"/>
      <c r="X114" s="4"/>
      <c r="AK114" s="3" t="s">
        <v>377</v>
      </c>
      <c r="AL114" s="1">
        <v>42814</v>
      </c>
      <c r="AM114" s="23" cm="1">
        <f t="array" aca="1" ref="AM114" ca="1">INDIRECT("'"&amp;$B32&amp;"'!"&amp;(D$5&amp;$P$17))</f>
        <v>1844897.3810729999</v>
      </c>
      <c r="AN114" s="23" cm="1">
        <f t="array" aca="1" ref="AN114" ca="1">INDIRECT("'"&amp;$B32&amp;"'!"&amp;(E$5&amp;$P$17))</f>
        <v>5596315.4978120001</v>
      </c>
      <c r="AO114" s="23" cm="1">
        <f t="array" aca="1" ref="AO114" ca="1">INDIRECT("'"&amp;$B32&amp;"'!"&amp;(F$5&amp;$P$17))</f>
        <v>399.07832100000002</v>
      </c>
      <c r="AP114" s="21">
        <f t="shared" ca="1" si="158"/>
        <v>2.7341241656030035E-2</v>
      </c>
      <c r="AQ114" s="21" cm="1">
        <f t="array" aca="1" ref="AQ114" ca="1">INDIRECT("'"&amp;AK114&amp;"'!"&amp;$H$5&amp;$P$17)+0.01</f>
        <v>3.1948999999999998E-2</v>
      </c>
      <c r="AR114" s="23">
        <f t="shared" ca="1" si="159"/>
        <v>-5.7199999999966167E-3</v>
      </c>
      <c r="AS114" s="7">
        <f t="shared" ca="1" si="160"/>
        <v>2.7933168371908568E-2</v>
      </c>
      <c r="AT114" s="7">
        <f t="shared" ca="1" si="149"/>
        <v>0.10620423391402736</v>
      </c>
      <c r="AU114" s="23">
        <f t="shared" ref="AU114:AU118" ca="1" si="168">AU115+AS114</f>
        <v>0.19891539612140766</v>
      </c>
      <c r="AV114" s="23">
        <f t="shared" ca="1" si="157"/>
        <v>-4.6251250000011623E-2</v>
      </c>
      <c r="BK114" s="21" t="s">
        <v>378</v>
      </c>
      <c r="BL114" s="1">
        <v>42718</v>
      </c>
      <c r="BM114" s="34" cm="1">
        <f t="array" aca="1" ref="BM114" ca="1">INDIRECT("'"&amp;$B33&amp;"'!"&amp;(D$5&amp;$P$28))</f>
        <v>1844707.912062</v>
      </c>
      <c r="BN114" s="34" cm="1">
        <f t="array" aca="1" ref="BN114" ca="1">INDIRECT("'"&amp;$B33&amp;"'!"&amp;(E$5&amp;$P$28))</f>
        <v>5595726.2761089997</v>
      </c>
      <c r="BO114" s="34" cm="1">
        <f t="array" aca="1" ref="BO114" ca="1">INDIRECT("'"&amp;$B33&amp;"'!"&amp;(F$5&amp;$P$28))</f>
        <v>376.01014600000002</v>
      </c>
      <c r="BP114" s="7">
        <f ca="1">SQRT(((BM114-BM116)^2)+((BN114-BN116)^2))</f>
        <v>0.31794542270855936</v>
      </c>
      <c r="BQ114" s="7" cm="1">
        <f t="array" aca="1" ref="BQ114" ca="1">INDIRECT("'"&amp;BK114&amp;"'!"&amp;$H$5&amp;$P$28)+0.01</f>
        <v>3.5298999999999997E-2</v>
      </c>
      <c r="BR114" s="23">
        <f ca="1">BO114-BO116</f>
        <v>-6.5269999999998163E-2</v>
      </c>
      <c r="BS114" s="7">
        <f t="shared" ca="1" si="152"/>
        <v>0.32457582276153019</v>
      </c>
      <c r="BT114" s="7">
        <f ca="1">(BS114/(BL114-BL116))*31</f>
        <v>6.4499041702611767E-2</v>
      </c>
      <c r="BU114" s="23">
        <f ca="1">BU116+BS114</f>
        <v>0.71834144991020144</v>
      </c>
      <c r="BV114" s="23">
        <f ca="1">BV116+BR114</f>
        <v>-9.9399749999975029E-2</v>
      </c>
    </row>
    <row r="115" spans="4:74" x14ac:dyDescent="0.3">
      <c r="D115" s="21"/>
      <c r="E115" s="23">
        <f t="shared" ca="1" si="161"/>
        <v>4.19E-2</v>
      </c>
      <c r="F115" s="23">
        <f t="shared" ca="1" si="162"/>
        <v>3.0290999999999998E-2</v>
      </c>
      <c r="G115" s="23">
        <f t="shared" ca="1" si="163"/>
        <v>3.0723E-2</v>
      </c>
      <c r="H115" s="23">
        <f t="shared" ca="1" si="164"/>
        <v>3.2063000000000001E-2</v>
      </c>
      <c r="I115" s="23">
        <f t="shared" ca="1" si="165"/>
        <v>3.8584E-2</v>
      </c>
      <c r="J115" s="23">
        <f t="shared" ca="1" si="166"/>
        <v>3.2149999999999998E-2</v>
      </c>
      <c r="K115" s="23"/>
      <c r="L115" s="23"/>
      <c r="M115" s="23"/>
      <c r="N115" s="21"/>
      <c r="O115" s="21" t="s">
        <v>665</v>
      </c>
      <c r="P115" s="4">
        <f ca="1">Q106/Q105</f>
        <v>1.6541598571150575</v>
      </c>
      <c r="Q115" s="4">
        <f t="shared" ref="Q115:T115" ca="1" si="169">R106/R105</f>
        <v>2.0511800983097221</v>
      </c>
      <c r="R115" s="4">
        <f t="shared" ca="1" si="169"/>
        <v>2.0123368843457654</v>
      </c>
      <c r="S115" s="4">
        <f t="shared" ca="1" si="169"/>
        <v>2.0168860743999879</v>
      </c>
      <c r="T115" s="4">
        <f t="shared" ca="1" si="169"/>
        <v>2.982034007271912</v>
      </c>
      <c r="U115" s="4"/>
      <c r="V115" s="4"/>
      <c r="W115" s="4"/>
      <c r="X115" s="4"/>
      <c r="AK115" s="3" t="s">
        <v>378</v>
      </c>
      <c r="AL115" s="1">
        <v>42718</v>
      </c>
      <c r="AM115" s="23" cm="1">
        <f t="array" aca="1" ref="AM115" ca="1">INDIRECT("'"&amp;$B33&amp;"'!"&amp;(D$5&amp;$P$17))</f>
        <v>1844897.380958</v>
      </c>
      <c r="AN115" s="23" cm="1">
        <f t="array" aca="1" ref="AN115" ca="1">INDIRECT("'"&amp;$B33&amp;"'!"&amp;(E$5&amp;$P$17))</f>
        <v>5596315.5251529999</v>
      </c>
      <c r="AO115" s="23" cm="1">
        <f t="array" aca="1" ref="AO115" ca="1">INDIRECT("'"&amp;$B33&amp;"'!"&amp;(F$5&amp;$P$17))</f>
        <v>399.08404100000001</v>
      </c>
      <c r="AP115" s="21">
        <f t="shared" ca="1" si="158"/>
        <v>3.9368877413554437E-2</v>
      </c>
      <c r="AQ115" s="21" cm="1">
        <f t="array" aca="1" ref="AQ115" ca="1">INDIRECT("'"&amp;AK115&amp;"'!"&amp;$H$5&amp;$P$17)+0.01</f>
        <v>2.6006000000000001E-2</v>
      </c>
      <c r="AR115" s="23">
        <f t="shared" ca="1" si="159"/>
        <v>-1.7715000000009695E-2</v>
      </c>
      <c r="AS115" s="7">
        <f t="shared" ca="1" si="160"/>
        <v>4.3170936216438721E-2</v>
      </c>
      <c r="AT115" s="7">
        <f t="shared" ca="1" si="149"/>
        <v>0.30302676382692567</v>
      </c>
      <c r="AU115" s="23">
        <f t="shared" ca="1" si="168"/>
        <v>0.17098222774949909</v>
      </c>
      <c r="AV115" s="23">
        <f t="shared" ca="1" si="157"/>
        <v>-4.0531250000015007E-2</v>
      </c>
      <c r="BK115" s="21" t="s">
        <v>379</v>
      </c>
      <c r="BL115" s="1"/>
      <c r="BM115" s="34"/>
      <c r="BN115" s="34"/>
      <c r="BO115" s="34"/>
      <c r="BP115" s="7"/>
      <c r="BR115" s="23"/>
      <c r="BS115" s="7"/>
      <c r="BT115" s="7"/>
      <c r="BU115" s="23"/>
      <c r="BV115" s="23"/>
    </row>
    <row r="116" spans="4:74" x14ac:dyDescent="0.3">
      <c r="D116" s="21"/>
      <c r="E116" s="23">
        <f t="shared" ca="1" si="161"/>
        <v>5.0751000000000004E-2</v>
      </c>
      <c r="F116" s="23">
        <f t="shared" ca="1" si="162"/>
        <v>4.1902000000000002E-2</v>
      </c>
      <c r="G116" s="23">
        <f t="shared" ca="1" si="163"/>
        <v>2.9777999999999999E-2</v>
      </c>
      <c r="H116" s="23">
        <f t="shared" ca="1" si="164"/>
        <v>2.5013000000000001E-2</v>
      </c>
      <c r="I116" s="23">
        <f t="shared" ca="1" si="165"/>
        <v>3.3484E-2</v>
      </c>
      <c r="J116" s="23">
        <f t="shared" ca="1" si="166"/>
        <v>3.7137999999999997E-2</v>
      </c>
      <c r="K116" s="23"/>
      <c r="L116" s="23"/>
      <c r="M116" s="23"/>
      <c r="N116" s="21"/>
      <c r="O116" s="21" t="s">
        <v>666</v>
      </c>
      <c r="P116" s="4">
        <f ca="1">P110/P109</f>
        <v>4.1347657940046219</v>
      </c>
      <c r="Q116" s="4">
        <f ca="1">Q110/Q109</f>
        <v>0.85229591218230327</v>
      </c>
      <c r="R116" s="4">
        <f t="shared" ref="R116:U116" ca="1" si="170">R110/R109</f>
        <v>1.1069982908645675</v>
      </c>
      <c r="S116" s="4">
        <f t="shared" ca="1" si="170"/>
        <v>1.4545640195872742</v>
      </c>
      <c r="T116" s="4"/>
      <c r="U116" s="4">
        <f t="shared" ca="1" si="170"/>
        <v>1.077987386475227</v>
      </c>
      <c r="V116" s="4"/>
      <c r="W116" s="4"/>
      <c r="X116" s="4"/>
      <c r="AK116" s="3" t="s">
        <v>379</v>
      </c>
      <c r="AL116" s="1">
        <v>42666</v>
      </c>
      <c r="AM116" s="23" cm="1">
        <f t="array" aca="1" ref="AM116" ca="1">INDIRECT("'"&amp;$B34&amp;"'!"&amp;(D$5&amp;$P$17))</f>
        <v>1844897.3904800001</v>
      </c>
      <c r="AN116" s="23" cm="1">
        <f t="array" aca="1" ref="AN116" ca="1">INDIRECT("'"&amp;$B34&amp;"'!"&amp;(E$5&amp;$P$17))</f>
        <v>5596315.5633530002</v>
      </c>
      <c r="AO116" s="23" cm="1">
        <f t="array" aca="1" ref="AO116" ca="1">INDIRECT("'"&amp;$B34&amp;"'!"&amp;(F$5&amp;$P$17))</f>
        <v>399.10175600000002</v>
      </c>
      <c r="AP116" s="21">
        <f t="shared" ca="1" si="158"/>
        <v>3.9629486995586764E-2</v>
      </c>
      <c r="AQ116" s="21" cm="1">
        <f t="array" aca="1" ref="AQ116" ca="1">INDIRECT("'"&amp;AK116&amp;"'!"&amp;$H$5&amp;$P$17)+0.01</f>
        <v>4.2099000000000004E-2</v>
      </c>
      <c r="AR116" s="23">
        <f t="shared" ca="1" si="159"/>
        <v>5.2830000000199107E-3</v>
      </c>
      <c r="AS116" s="7">
        <f t="shared" ca="1" si="160"/>
        <v>3.9980074143673008E-2</v>
      </c>
      <c r="AT116" s="7">
        <f t="shared" ca="1" si="149"/>
        <v>0.14031468329269853</v>
      </c>
      <c r="AU116" s="23">
        <f t="shared" ca="1" si="168"/>
        <v>0.12781129153306037</v>
      </c>
      <c r="AV116" s="23">
        <f t="shared" ca="1" si="157"/>
        <v>-2.2816250000005311E-2</v>
      </c>
      <c r="BK116" s="21" t="s">
        <v>380</v>
      </c>
      <c r="BL116" s="1">
        <v>42562</v>
      </c>
      <c r="BM116" s="34" cm="1">
        <f t="array" aca="1" ref="BM116" ca="1">INDIRECT("'"&amp;$B35&amp;"'!"&amp;(D$5&amp;$P$28))</f>
        <v>1844708.006604</v>
      </c>
      <c r="BN116" s="34" cm="1">
        <f t="array" aca="1" ref="BN116" ca="1">INDIRECT("'"&amp;$B35&amp;"'!"&amp;(E$5&amp;$P$28))</f>
        <v>5595726.5796729997</v>
      </c>
      <c r="BO116" s="34" cm="1">
        <f t="array" aca="1" ref="BO116" ca="1">INDIRECT("'"&amp;$B35&amp;"'!"&amp;(F$5&amp;$P$28))</f>
        <v>376.07541600000002</v>
      </c>
      <c r="BP116" s="7">
        <f t="shared" ca="1" si="150"/>
        <v>0.11621454882185372</v>
      </c>
      <c r="BQ116" s="7" cm="1">
        <f t="array" aca="1" ref="BQ116" ca="1">INDIRECT("'"&amp;BK116&amp;"'!"&amp;$H$5&amp;$P$28)+0.01</f>
        <v>2.5862000000000003E-2</v>
      </c>
      <c r="BR116" s="23">
        <f t="shared" ca="1" si="151"/>
        <v>-6.0877500000060536E-3</v>
      </c>
      <c r="BS116" s="7">
        <f t="shared" ca="1" si="152"/>
        <v>0.11637388907280533</v>
      </c>
      <c r="BT116" s="7">
        <f ca="1">(BS116/(BL116-BL117))*31</f>
        <v>3.1099918631525565E-2</v>
      </c>
      <c r="BU116" s="23">
        <f t="shared" ca="1" si="153"/>
        <v>0.3937656271486713</v>
      </c>
      <c r="BV116" s="23">
        <f t="shared" ca="1" si="154"/>
        <v>-3.4129749999976866E-2</v>
      </c>
    </row>
    <row r="117" spans="4:74" x14ac:dyDescent="0.3">
      <c r="D117" s="21"/>
      <c r="E117" s="23">
        <f t="shared" ca="1" si="161"/>
        <v>3.8013999999999999E-2</v>
      </c>
      <c r="F117" s="23">
        <f t="shared" ca="1" si="162"/>
        <v>3.4409000000000002E-2</v>
      </c>
      <c r="G117" s="23">
        <f t="shared" ca="1" si="163"/>
        <v>3.5833999999999998E-2</v>
      </c>
      <c r="H117" s="23">
        <f t="shared" ca="1" si="164"/>
        <v>3.3628999999999999E-2</v>
      </c>
      <c r="I117" s="23">
        <f t="shared" ca="1" si="165"/>
        <v>3.5540000000000002E-2</v>
      </c>
      <c r="J117" s="23">
        <f t="shared" ca="1" si="166"/>
        <v>3.8832999999999999E-2</v>
      </c>
      <c r="K117" s="23"/>
      <c r="L117" s="23"/>
      <c r="M117" s="23"/>
      <c r="N117" s="21"/>
      <c r="O117" s="21"/>
      <c r="P117" s="4"/>
      <c r="Q117" s="32"/>
      <c r="R117" s="33"/>
      <c r="S117" s="4"/>
      <c r="T117" s="4"/>
      <c r="U117" s="4"/>
      <c r="V117" s="4"/>
      <c r="W117" s="4"/>
      <c r="X117" s="4"/>
      <c r="AK117" s="3" t="s">
        <v>380</v>
      </c>
      <c r="AL117" s="1">
        <v>42562</v>
      </c>
      <c r="AM117" s="23" cm="1">
        <f t="array" aca="1" ref="AM117" ca="1">INDIRECT("'"&amp;$B35&amp;"'!"&amp;(D$5&amp;$P$17))</f>
        <v>1844897.413124</v>
      </c>
      <c r="AN117" s="23" cm="1">
        <f t="array" aca="1" ref="AN117" ca="1">INDIRECT("'"&amp;$B35&amp;"'!"&amp;(E$5&amp;$P$17))</f>
        <v>5596315.5958759999</v>
      </c>
      <c r="AO117" s="23" cm="1">
        <f t="array" aca="1" ref="AO117" ca="1">INDIRECT("'"&amp;$B35&amp;"'!"&amp;(F$5&amp;$P$17))</f>
        <v>399.096473</v>
      </c>
      <c r="AP117" s="21">
        <f t="shared" ca="1" si="158"/>
        <v>3.3387178172189759E-2</v>
      </c>
      <c r="AQ117" s="21" cm="1">
        <f t="array" aca="1" ref="AQ117" ca="1">INDIRECT("'"&amp;AK117&amp;"'!"&amp;$H$5&amp;$P$17)+0.01</f>
        <v>2.8642000000000001E-2</v>
      </c>
      <c r="AR117" s="23">
        <f t="shared" ca="1" si="159"/>
        <v>-4.4125750000034714E-2</v>
      </c>
      <c r="AS117" s="7">
        <f t="shared" ca="1" si="160"/>
        <v>5.533340292596424E-2</v>
      </c>
      <c r="AT117" s="7">
        <f t="shared" ca="1" si="149"/>
        <v>0.17410941437911162</v>
      </c>
      <c r="AU117" s="23">
        <f t="shared" ca="1" si="168"/>
        <v>8.7831217389387345E-2</v>
      </c>
      <c r="AV117" s="23">
        <f t="shared" ca="1" si="157"/>
        <v>-2.8099250000025222E-2</v>
      </c>
      <c r="BK117" s="21" t="s">
        <v>381</v>
      </c>
      <c r="BL117" s="1">
        <v>42446</v>
      </c>
      <c r="BM117" s="34" cm="1">
        <f t="array" aca="1" ref="BM117" ca="1">INDIRECT("'"&amp;$B36&amp;"'!"&amp;(D$5&amp;$P$28))</f>
        <v>1844708.0420110002</v>
      </c>
      <c r="BN117" s="34" cm="1">
        <f t="array" aca="1" ref="BN117" ca="1">INDIRECT("'"&amp;$B36&amp;"'!"&amp;(E$5&amp;$P$28))</f>
        <v>5595726.690362501</v>
      </c>
      <c r="BO117" s="34" cm="1">
        <f t="array" aca="1" ref="BO117" ca="1">INDIRECT("'"&amp;$B36&amp;"'!"&amp;(F$5&amp;$P$28))</f>
        <v>376.08150375000002</v>
      </c>
      <c r="BP117" s="7">
        <f t="shared" ca="1" si="150"/>
        <v>3.3176816355548401E-2</v>
      </c>
      <c r="BQ117" s="7" cm="1">
        <f t="array" aca="1" ref="BQ117" ca="1">INDIRECT("'"&amp;BK117&amp;"'!"&amp;$H$5&amp;$P$28)+0.01</f>
        <v>3.0407999999999998E-2</v>
      </c>
      <c r="BR117" s="23">
        <f t="shared" ca="1" si="151"/>
        <v>-4.5068500000013501E-2</v>
      </c>
      <c r="BS117" s="7">
        <f t="shared" ca="1" si="152"/>
        <v>5.5963120318125587E-2</v>
      </c>
      <c r="BT117" s="7">
        <f ca="1">(BS117/(BL117-BL118))*31</f>
        <v>1.71767993055633E-2</v>
      </c>
      <c r="BU117" s="23">
        <f t="shared" ca="1" si="153"/>
        <v>0.27739173807586598</v>
      </c>
      <c r="BV117" s="23">
        <f t="shared" ca="1" si="154"/>
        <v>-2.8041999999970812E-2</v>
      </c>
    </row>
    <row r="118" spans="4:74" x14ac:dyDescent="0.3">
      <c r="D118" s="21"/>
      <c r="E118" s="23">
        <f t="shared" ca="1" si="161"/>
        <v>4.0737000000000002E-2</v>
      </c>
      <c r="F118" s="23">
        <f t="shared" ca="1" si="162"/>
        <v>5.2274000000000001E-2</v>
      </c>
      <c r="G118" s="23">
        <f t="shared" ca="1" si="163"/>
        <v>3.6048000000000004E-2</v>
      </c>
      <c r="H118" s="23">
        <f t="shared" ca="1" si="164"/>
        <v>3.4044999999999999E-2</v>
      </c>
      <c r="I118" s="23">
        <f t="shared" ca="1" si="165"/>
        <v>4.3723999999999999E-2</v>
      </c>
      <c r="J118" s="23">
        <f t="shared" ca="1" si="166"/>
        <v>4.9981999999999999E-2</v>
      </c>
      <c r="K118" s="23"/>
      <c r="L118" s="23"/>
      <c r="M118" s="23"/>
      <c r="N118" s="21"/>
      <c r="O118" s="21"/>
      <c r="P118" s="4"/>
      <c r="Q118" s="32"/>
      <c r="R118" s="33"/>
      <c r="S118" s="4"/>
      <c r="T118" s="4"/>
      <c r="U118" s="4"/>
      <c r="V118" s="4"/>
      <c r="W118" s="4"/>
      <c r="X118" s="4"/>
      <c r="AK118" s="3" t="s">
        <v>381</v>
      </c>
      <c r="AL118" s="1">
        <v>42446</v>
      </c>
      <c r="AM118" s="23" cm="1">
        <f t="array" aca="1" ref="AM118" ca="1">INDIRECT("'"&amp;$B36&amp;"'!"&amp;(D$5&amp;$P$17))</f>
        <v>1844897.3855620001</v>
      </c>
      <c r="AN118" s="23" cm="1">
        <f t="array" aca="1" ref="AN118" ca="1">INDIRECT("'"&amp;$B36&amp;"'!"&amp;(E$5&amp;$P$17))</f>
        <v>5596315.6147185005</v>
      </c>
      <c r="AO118" s="23" cm="1">
        <f t="array" aca="1" ref="AO118" ca="1">INDIRECT("'"&amp;$B36&amp;"'!"&amp;(F$5&amp;$P$17))</f>
        <v>399.14059875000004</v>
      </c>
      <c r="AP118" s="21">
        <f t="shared" ca="1" si="158"/>
        <v>2.8271173351114516E-2</v>
      </c>
      <c r="AQ118" s="21" cm="1">
        <f t="array" aca="1" ref="AQ118" ca="1">INDIRECT("'"&amp;AK118&amp;"'!"&amp;$H$5&amp;$P$17)+0.01</f>
        <v>3.5199000000000001E-2</v>
      </c>
      <c r="AR118" s="23">
        <f t="shared" ca="1" si="159"/>
        <v>1.6026500000009491E-2</v>
      </c>
      <c r="AS118" s="7">
        <f t="shared" ca="1" si="160"/>
        <v>3.2497814463423105E-2</v>
      </c>
      <c r="AT118" s="7">
        <f t="shared" ca="1" si="149"/>
        <v>0.11744259682326172</v>
      </c>
      <c r="AU118" s="23">
        <f t="shared" ca="1" si="168"/>
        <v>3.2497814463423105E-2</v>
      </c>
      <c r="AV118" s="23">
        <f t="shared" ca="1" si="157"/>
        <v>1.6026500000009491E-2</v>
      </c>
      <c r="BK118" s="21" t="s">
        <v>382</v>
      </c>
      <c r="BL118" s="1">
        <v>42345</v>
      </c>
      <c r="BM118" s="34" cm="1">
        <f t="array" aca="1" ref="BM118" ca="1">INDIRECT("'"&amp;$B37&amp;"'!"&amp;(D$5&amp;$P$28))</f>
        <v>1844708.043696</v>
      </c>
      <c r="BN118" s="34" cm="1">
        <f t="array" aca="1" ref="BN118" ca="1">INDIRECT("'"&amp;$B37&amp;"'!"&amp;(E$5&amp;$P$28))</f>
        <v>5595726.7234965004</v>
      </c>
      <c r="BO118" s="34" cm="1">
        <f t="array" aca="1" ref="BO118" ca="1">INDIRECT("'"&amp;$B37&amp;"'!"&amp;(F$5&amp;$P$28))</f>
        <v>376.12657225000004</v>
      </c>
      <c r="BP118" s="7">
        <f t="shared" ca="1" si="150"/>
        <v>3.4750413708833722E-2</v>
      </c>
      <c r="BQ118" s="7" cm="1">
        <f t="array" aca="1" ref="BQ118" ca="1">INDIRECT("'"&amp;BK118&amp;"'!"&amp;$H$5&amp;$P$28)+0.01</f>
        <v>1.7000000000000001E-2</v>
      </c>
      <c r="BR118" s="23">
        <f t="shared" ca="1" si="151"/>
        <v>2.1026500000004944E-2</v>
      </c>
      <c r="BS118" s="7">
        <f t="shared" ca="1" si="152"/>
        <v>4.0616560110197743E-2</v>
      </c>
      <c r="BT118" s="7">
        <f ca="1">(BS118/(BL118-BL119))*31</f>
        <v>1.8516372991413677E-2</v>
      </c>
      <c r="BU118" s="23">
        <f t="shared" ca="1" si="153"/>
        <v>0.22142861775774039</v>
      </c>
      <c r="BV118" s="23">
        <f t="shared" ca="1" si="154"/>
        <v>1.7026500000042688E-2</v>
      </c>
    </row>
    <row r="119" spans="4:74" x14ac:dyDescent="0.3">
      <c r="D119" s="21"/>
      <c r="E119" s="23">
        <f t="shared" ca="1" si="161"/>
        <v>4.2842000000000005E-2</v>
      </c>
      <c r="F119" s="23">
        <f t="shared" ca="1" si="162"/>
        <v>3.5612999999999999E-2</v>
      </c>
      <c r="G119" s="23">
        <f t="shared" ca="1" si="163"/>
        <v>3.7173999999999999E-2</v>
      </c>
      <c r="H119" s="23">
        <f t="shared" ca="1" si="164"/>
        <v>3.2266999999999997E-2</v>
      </c>
      <c r="I119" s="23">
        <f t="shared" ca="1" si="165"/>
        <v>4.4747000000000002E-2</v>
      </c>
      <c r="J119" s="23">
        <f t="shared" ca="1" si="166"/>
        <v>3.5750999999999998E-2</v>
      </c>
      <c r="K119" s="23"/>
      <c r="L119" s="23"/>
      <c r="M119" s="23"/>
      <c r="N119" s="21"/>
      <c r="O119" s="21"/>
      <c r="P119" s="4"/>
      <c r="Q119" s="32"/>
      <c r="R119" s="33"/>
      <c r="S119" s="4"/>
      <c r="T119" s="4"/>
      <c r="U119" s="4"/>
      <c r="V119" s="4"/>
      <c r="W119" s="4"/>
      <c r="X119" s="4"/>
      <c r="AK119" s="3" t="s">
        <v>382</v>
      </c>
      <c r="AL119" s="1">
        <v>42345</v>
      </c>
      <c r="AM119" s="23" cm="1">
        <f t="array" aca="1" ref="AM119" ca="1">INDIRECT("'"&amp;$B37&amp;"'!"&amp;(D$5&amp;$P$17))</f>
        <v>1844897.4066960001</v>
      </c>
      <c r="AN119" s="23" cm="1">
        <f t="array" aca="1" ref="AN119" ca="1">INDIRECT("'"&amp;$B37&amp;"'!"&amp;(E$5&amp;$P$17))</f>
        <v>5596315.6334965006</v>
      </c>
      <c r="AO119" s="23" cm="1">
        <f t="array" aca="1" ref="AO119" ca="1">INDIRECT("'"&amp;$B37&amp;"'!"&amp;(F$5&amp;$P$17))</f>
        <v>399.12457225000003</v>
      </c>
      <c r="AP119" s="21"/>
      <c r="AQ119" s="21"/>
      <c r="AR119" s="23"/>
      <c r="AS119" s="7"/>
      <c r="AT119" s="7"/>
      <c r="AU119" s="23"/>
      <c r="AV119" s="23">
        <f t="shared" si="157"/>
        <v>0</v>
      </c>
      <c r="BK119" s="21" t="s">
        <v>383</v>
      </c>
      <c r="BL119" s="1">
        <v>42277</v>
      </c>
      <c r="BM119" s="34" cm="1">
        <f t="array" aca="1" ref="BM119" ca="1">INDIRECT("'"&amp;$B38&amp;"'!"&amp;(D$5&amp;$P$28))</f>
        <v>1844708.0598300002</v>
      </c>
      <c r="BN119" s="34" cm="1">
        <f t="array" aca="1" ref="BN119" ca="1">INDIRECT("'"&amp;$B38&amp;"'!"&amp;(E$5&amp;$P$28))</f>
        <v>5595726.7542745005</v>
      </c>
      <c r="BO119" s="34" cm="1">
        <f t="array" aca="1" ref="BO119" ca="1">INDIRECT("'"&amp;$B38&amp;"'!"&amp;(F$5&amp;$P$28))</f>
        <v>376.10554575000003</v>
      </c>
      <c r="BP119" s="7">
        <f t="shared" ca="1" si="150"/>
        <v>0.18076780739594811</v>
      </c>
      <c r="BQ119" s="7" cm="1">
        <f t="array" aca="1" ref="BQ119" ca="1">INDIRECT("'"&amp;BK119&amp;"'!"&amp;$H$5&amp;$P$28)+0.01</f>
        <v>1.6E-2</v>
      </c>
      <c r="BR119" s="23">
        <f t="shared" ca="1" si="151"/>
        <v>-3.999999999962256E-3</v>
      </c>
      <c r="BS119" s="7">
        <f t="shared" ca="1" si="152"/>
        <v>0.18081205764754266</v>
      </c>
      <c r="BT119" s="7">
        <f ca="1">(BS119/(BL119-BL120))*31</f>
        <v>6.2979480753638448E-2</v>
      </c>
      <c r="BU119" s="23">
        <f t="shared" ca="1" si="153"/>
        <v>0.18081205764754266</v>
      </c>
      <c r="BV119" s="23">
        <f t="shared" ca="1" si="154"/>
        <v>-3.999999999962256E-3</v>
      </c>
    </row>
    <row r="120" spans="4:74" x14ac:dyDescent="0.3">
      <c r="D120" s="21"/>
      <c r="E120" s="23">
        <f t="shared" si="161"/>
        <v>0</v>
      </c>
      <c r="F120" s="23">
        <f t="shared" ca="1" si="162"/>
        <v>2.6123E-2</v>
      </c>
      <c r="G120" s="23">
        <f t="shared" ca="1" si="163"/>
        <v>3.007E-2</v>
      </c>
      <c r="H120" s="23">
        <f t="shared" ca="1" si="164"/>
        <v>3.1373999999999999E-2</v>
      </c>
      <c r="I120" s="23">
        <f t="shared" ca="1" si="165"/>
        <v>2.7307999999999999E-2</v>
      </c>
      <c r="J120" s="23">
        <f t="shared" ca="1" si="166"/>
        <v>3.5298999999999997E-2</v>
      </c>
      <c r="K120" s="23"/>
      <c r="L120" s="23"/>
      <c r="M120" s="23"/>
      <c r="N120" s="21"/>
      <c r="O120" s="21"/>
      <c r="P120" s="4"/>
      <c r="Q120" s="32"/>
      <c r="R120" s="33"/>
      <c r="S120" s="4"/>
      <c r="T120" s="4"/>
      <c r="U120" s="4"/>
      <c r="V120" s="4"/>
      <c r="W120" s="4"/>
      <c r="X120" s="4"/>
      <c r="AK120" s="3" t="s">
        <v>383</v>
      </c>
      <c r="AL120" s="1">
        <v>42277</v>
      </c>
      <c r="AM120" s="23" cm="1">
        <f t="array" aca="1" ref="AM120" ca="1">INDIRECT("'"&amp;$B38&amp;"'!"&amp;(D$5&amp;$P$17))</f>
        <v>1844897.8618300001</v>
      </c>
      <c r="AN120" s="23" cm="1">
        <f t="array" aca="1" ref="AN120" ca="1">INDIRECT("'"&amp;$B38&amp;"'!"&amp;(E$5&amp;$P$17))</f>
        <v>5596315.4352745004</v>
      </c>
      <c r="AO120" s="23" cm="1">
        <f t="array" aca="1" ref="AO120" ca="1">INDIRECT("'"&amp;$B38&amp;"'!"&amp;(F$5&amp;$P$17))</f>
        <v>398.82654575000004</v>
      </c>
      <c r="AP120" s="21"/>
      <c r="AQ120" s="21"/>
      <c r="AR120" s="23"/>
      <c r="AS120" s="7"/>
      <c r="AT120" s="7"/>
      <c r="AU120" s="23"/>
      <c r="AV120" s="23">
        <f>AV121+AR120</f>
        <v>0</v>
      </c>
      <c r="BK120" s="21" t="s">
        <v>384</v>
      </c>
      <c r="BL120" s="1">
        <v>42188</v>
      </c>
      <c r="BM120" s="34" cm="1">
        <f t="array" aca="1" ref="BM120" ca="1">INDIRECT("'"&amp;$B39&amp;"'!"&amp;(D$5&amp;$P$28))</f>
        <v>1844708.10883</v>
      </c>
      <c r="BN120" s="34" cm="1">
        <f t="array" aca="1" ref="BN120" ca="1">INDIRECT("'"&amp;$B39&amp;"'!"&amp;(E$5&amp;$P$28))</f>
        <v>5595726.9282745011</v>
      </c>
      <c r="BO120" s="34" cm="1">
        <f t="array" aca="1" ref="BO120" ca="1">INDIRECT("'"&amp;$B39&amp;"'!"&amp;(F$5&amp;$P$28))</f>
        <v>376.10954575</v>
      </c>
      <c r="BP120" s="7"/>
      <c r="BR120" s="21"/>
      <c r="BS120" s="21"/>
      <c r="BT120" s="21"/>
      <c r="BU120" s="21"/>
      <c r="BV120" s="21">
        <v>0</v>
      </c>
    </row>
    <row r="121" spans="4:74" x14ac:dyDescent="0.3">
      <c r="D121" s="21"/>
      <c r="E121" s="23">
        <f t="shared" ca="1" si="161"/>
        <v>3.2912999999999998E-2</v>
      </c>
      <c r="F121" s="23">
        <f t="shared" ca="1" si="162"/>
        <v>2.9122000000000002E-2</v>
      </c>
      <c r="G121" s="23">
        <f t="shared" ca="1" si="163"/>
        <v>3.2440000000000004E-2</v>
      </c>
      <c r="H121" s="23">
        <f t="shared" ca="1" si="164"/>
        <v>5.0748000000000001E-2</v>
      </c>
      <c r="I121" s="23">
        <f t="shared" si="165"/>
        <v>0</v>
      </c>
      <c r="J121" s="23">
        <f t="shared" si="166"/>
        <v>0</v>
      </c>
      <c r="K121" s="23"/>
      <c r="L121" s="23"/>
      <c r="M121" s="23"/>
      <c r="N121" s="21"/>
      <c r="O121" s="21">
        <f ca="1">AVERAGE(P114:U116)</f>
        <v>1.7974280026771352</v>
      </c>
      <c r="P121" s="4"/>
      <c r="Q121" s="32"/>
      <c r="R121" s="33"/>
      <c r="S121" s="4"/>
      <c r="T121" s="4"/>
      <c r="U121" s="4"/>
      <c r="V121" s="4"/>
      <c r="W121" s="4"/>
      <c r="X121" s="4"/>
      <c r="AK121" s="3" t="s">
        <v>384</v>
      </c>
      <c r="AL121" s="1">
        <v>42188</v>
      </c>
      <c r="AM121" s="23" cm="1">
        <f t="array" aca="1" ref="AM121" ca="1">INDIRECT("'"&amp;$B39&amp;"'!"&amp;(D$5&amp;$P$17))</f>
        <v>1844897.4278300002</v>
      </c>
      <c r="AN121" s="23" cm="1">
        <f t="array" aca="1" ref="AN121" ca="1">INDIRECT("'"&amp;$B39&amp;"'!"&amp;(E$5&amp;$P$17))</f>
        <v>5596315.6522745006</v>
      </c>
      <c r="AO121" s="23" cm="1">
        <f t="array" aca="1" ref="AO121" ca="1">INDIRECT("'"&amp;$B39&amp;"'!"&amp;(F$5&amp;$P$17))</f>
        <v>399.10854575000002</v>
      </c>
      <c r="AP121" s="21"/>
      <c r="AQ121" s="21"/>
      <c r="AR121" s="23"/>
      <c r="AS121" s="7"/>
      <c r="AT121" s="7"/>
      <c r="AU121" s="10"/>
      <c r="AV121" s="21">
        <v>0</v>
      </c>
      <c r="BP121" s="7"/>
    </row>
    <row r="122" spans="4:74" x14ac:dyDescent="0.3">
      <c r="D122" s="21"/>
      <c r="E122" s="23">
        <f t="shared" ca="1" si="161"/>
        <v>3.5075000000000002E-2</v>
      </c>
      <c r="F122" s="23">
        <f t="shared" ca="1" si="162"/>
        <v>3.5379000000000001E-2</v>
      </c>
      <c r="G122" s="23">
        <f t="shared" ca="1" si="163"/>
        <v>2.5585999999999998E-2</v>
      </c>
      <c r="H122" s="23">
        <f t="shared" ca="1" si="164"/>
        <v>5.1277000000000003E-2</v>
      </c>
      <c r="I122" s="23">
        <f t="shared" ca="1" si="165"/>
        <v>2.7964999999999997E-2</v>
      </c>
      <c r="J122" s="23">
        <f t="shared" ca="1" si="166"/>
        <v>2.5862000000000003E-2</v>
      </c>
      <c r="K122" s="23"/>
      <c r="L122" s="23"/>
      <c r="M122" s="23"/>
      <c r="N122" s="21"/>
      <c r="O122" s="21"/>
      <c r="P122" s="4"/>
      <c r="Q122" s="32"/>
      <c r="R122" s="33"/>
      <c r="S122" s="4"/>
      <c r="T122" s="4"/>
      <c r="U122" s="4"/>
      <c r="V122" s="4"/>
      <c r="W122" s="4"/>
      <c r="X122" s="4"/>
      <c r="AL122" s="1"/>
      <c r="BP122" s="7"/>
    </row>
    <row r="123" spans="4:74" x14ac:dyDescent="0.3">
      <c r="D123" s="21"/>
      <c r="E123" s="23">
        <f t="shared" ca="1" si="161"/>
        <v>6.8406999999999996E-2</v>
      </c>
      <c r="F123" s="23">
        <f t="shared" ca="1" si="162"/>
        <v>4.3326000000000003E-2</v>
      </c>
      <c r="G123" s="23">
        <f t="shared" ca="1" si="163"/>
        <v>2.9602999999999997E-2</v>
      </c>
      <c r="H123" s="23">
        <f t="shared" ca="1" si="164"/>
        <v>2.7366000000000001E-2</v>
      </c>
      <c r="I123" s="23">
        <f t="shared" ca="1" si="165"/>
        <v>3.0580000000000003E-2</v>
      </c>
      <c r="J123" s="23">
        <f t="shared" ca="1" si="166"/>
        <v>3.0407999999999998E-2</v>
      </c>
      <c r="K123" s="23"/>
      <c r="L123" s="23"/>
      <c r="M123" s="23"/>
      <c r="N123" s="21"/>
      <c r="O123" s="21"/>
      <c r="P123" s="4"/>
      <c r="Q123" s="32"/>
      <c r="R123" s="33"/>
      <c r="S123" s="4"/>
      <c r="T123" s="4"/>
      <c r="U123" s="4"/>
      <c r="V123" s="4"/>
      <c r="W123" s="4"/>
      <c r="X123" s="4"/>
      <c r="AL123" s="1"/>
      <c r="BK123" s="21" t="s">
        <v>591</v>
      </c>
      <c r="BL123" s="1"/>
      <c r="BM123" s="21" t="s">
        <v>541</v>
      </c>
      <c r="BN123" s="21" t="s">
        <v>542</v>
      </c>
      <c r="BO123" s="21" t="s">
        <v>543</v>
      </c>
      <c r="BP123" s="7" t="s">
        <v>427</v>
      </c>
      <c r="BQ123" s="7" t="s">
        <v>525</v>
      </c>
      <c r="BR123" s="21" t="s">
        <v>428</v>
      </c>
      <c r="BS123" s="21" t="s">
        <v>429</v>
      </c>
      <c r="BT123" s="21" t="s">
        <v>606</v>
      </c>
      <c r="BU123" s="21" t="s">
        <v>430</v>
      </c>
      <c r="BV123" s="33" t="s">
        <v>582</v>
      </c>
    </row>
    <row r="124" spans="4:74" x14ac:dyDescent="0.3">
      <c r="D124" s="21"/>
      <c r="E124" s="23">
        <f t="shared" ca="1" si="161"/>
        <v>2.3E-2</v>
      </c>
      <c r="F124" s="23">
        <f t="shared" ca="1" si="162"/>
        <v>1.6E-2</v>
      </c>
      <c r="G124" s="23">
        <f t="shared" ca="1" si="163"/>
        <v>1.6E-2</v>
      </c>
      <c r="H124" s="23">
        <f t="shared" ca="1" si="164"/>
        <v>1.4999999999999999E-2</v>
      </c>
      <c r="I124" s="23">
        <f t="shared" si="165"/>
        <v>0</v>
      </c>
      <c r="J124" s="23">
        <f t="shared" ca="1" si="166"/>
        <v>1.7000000000000001E-2</v>
      </c>
      <c r="K124" s="23"/>
      <c r="L124" s="23"/>
      <c r="M124" s="23"/>
      <c r="N124" s="21"/>
      <c r="O124" s="21"/>
      <c r="P124" s="4"/>
      <c r="Q124" s="32"/>
      <c r="R124" s="33"/>
      <c r="S124" s="4"/>
      <c r="T124" s="4"/>
      <c r="U124" s="4"/>
      <c r="V124" s="4"/>
      <c r="W124" s="4"/>
      <c r="X124" s="4"/>
      <c r="AK124" s="4" t="s">
        <v>574</v>
      </c>
      <c r="AL124" s="30"/>
      <c r="AM124" s="5" t="s">
        <v>541</v>
      </c>
      <c r="AN124" s="5" t="s">
        <v>542</v>
      </c>
      <c r="AO124" s="5" t="s">
        <v>543</v>
      </c>
      <c r="AP124" s="21" t="s">
        <v>427</v>
      </c>
      <c r="AQ124" s="21" t="s">
        <v>525</v>
      </c>
      <c r="AR124" s="21" t="s">
        <v>428</v>
      </c>
      <c r="AS124" s="21" t="s">
        <v>429</v>
      </c>
      <c r="AT124" s="21" t="s">
        <v>438</v>
      </c>
      <c r="AU124" s="21" t="s">
        <v>430</v>
      </c>
      <c r="AV124" s="33" t="s">
        <v>582</v>
      </c>
      <c r="BK124" s="21" t="s">
        <v>526</v>
      </c>
      <c r="BL124" s="1">
        <v>43817</v>
      </c>
      <c r="BM124" s="34" cm="1">
        <f t="array" aca="1" ref="BM124" ca="1">INDIRECT("'"&amp;$B27&amp;"'!"&amp;(D$5&amp;$P$29))</f>
        <v>1844642.5206200001</v>
      </c>
      <c r="BN124" s="34" cm="1">
        <f t="array" aca="1" ref="BN124" ca="1">INDIRECT("'"&amp;$B27&amp;"'!"&amp;(E$5&amp;$P$29))</f>
        <v>5595684.7471629996</v>
      </c>
      <c r="BO124" s="34" cm="1">
        <f t="array" aca="1" ref="BO124" ca="1">INDIRECT("'"&amp;$B27&amp;"'!"&amp;(F$5&amp;$P$29))</f>
        <v>357.65443900000002</v>
      </c>
      <c r="BP124" s="7">
        <f ca="1">SQRT(((BM124-BM125)^2)+((BN124-BN125)^2))</f>
        <v>1.713702776907654</v>
      </c>
      <c r="BQ124" s="7" cm="1">
        <f t="array" aca="1" ref="BQ124" ca="1">INDIRECT("'"&amp;BK124&amp;"'!"&amp;$H$5&amp;$P$29)+0.01</f>
        <v>2.9786E-2</v>
      </c>
      <c r="BR124" s="23">
        <f ca="1">BO124-BO125</f>
        <v>-0.6992689999999584</v>
      </c>
      <c r="BS124" s="7">
        <f ca="1">SQRT((BP124^2)+(BR124^2))</f>
        <v>1.8508793428913584</v>
      </c>
      <c r="BT124" s="7">
        <f t="shared" ref="BT124:BT129" ca="1" si="171">(BS124/(BL124-BL125))*31</f>
        <v>0.13190174627501636</v>
      </c>
      <c r="BU124" s="23">
        <f ca="1">BU125+BS124</f>
        <v>7.8405091506071987</v>
      </c>
      <c r="BV124" s="23">
        <f ca="1">BV125+BR124</f>
        <v>-3.3191067500000031</v>
      </c>
    </row>
    <row r="125" spans="4:74" x14ac:dyDescent="0.3">
      <c r="D125" s="21"/>
      <c r="E125" s="23">
        <f t="shared" si="161"/>
        <v>0</v>
      </c>
      <c r="F125" s="23">
        <f t="shared" ca="1" si="162"/>
        <v>1.3000000000000001E-2</v>
      </c>
      <c r="G125" s="23">
        <f t="shared" ca="1" si="163"/>
        <v>1.6E-2</v>
      </c>
      <c r="H125" s="23">
        <f t="shared" ca="1" si="164"/>
        <v>1.7000000000000001E-2</v>
      </c>
      <c r="I125" s="23">
        <f t="shared" si="165"/>
        <v>0</v>
      </c>
      <c r="J125" s="23">
        <f t="shared" ca="1" si="166"/>
        <v>1.6E-2</v>
      </c>
      <c r="K125" s="23"/>
      <c r="L125" s="23"/>
      <c r="M125" s="23"/>
      <c r="N125" s="21"/>
      <c r="O125" s="21"/>
      <c r="P125" s="4"/>
      <c r="Q125" s="32"/>
      <c r="R125" s="33"/>
      <c r="S125" s="4"/>
      <c r="T125" s="4"/>
      <c r="U125" s="4"/>
      <c r="V125" s="4"/>
      <c r="W125" s="4"/>
      <c r="X125" s="4"/>
      <c r="AK125" s="3"/>
      <c r="AL125" s="1"/>
      <c r="AM125" s="23"/>
      <c r="AN125" s="23"/>
      <c r="AO125" s="23"/>
      <c r="AP125" s="21"/>
      <c r="AQ125" s="21"/>
      <c r="AR125" s="23"/>
      <c r="AS125" s="7"/>
      <c r="AT125" s="7"/>
      <c r="AU125" s="23"/>
      <c r="AV125" s="23"/>
      <c r="BK125" s="21" t="s">
        <v>373</v>
      </c>
      <c r="BL125" s="1">
        <v>43382</v>
      </c>
      <c r="BM125" s="34" cm="1">
        <f t="array" aca="1" ref="BM125" ca="1">INDIRECT("'"&amp;$B28&amp;"'!"&amp;(D$5&amp;$P$29))</f>
        <v>1844643.5233690001</v>
      </c>
      <c r="BN125" s="34" cm="1">
        <f t="array" aca="1" ref="BN125" ca="1">INDIRECT("'"&amp;$B28&amp;"'!"&amp;(E$5&amp;$P$29))</f>
        <v>5595686.1368650002</v>
      </c>
      <c r="BO125" s="34" cm="1">
        <f t="array" aca="1" ref="BO125" ca="1">INDIRECT("'"&amp;$B28&amp;"'!"&amp;(F$5&amp;$P$29))</f>
        <v>358.35370799999998</v>
      </c>
      <c r="BP125" s="7">
        <f t="shared" ref="BP125:BP135" ca="1" si="172">SQRT(((BM125-BM126)^2)+((BN125-BN126)^2))</f>
        <v>1.1256680632562228</v>
      </c>
      <c r="BQ125" s="7" cm="1">
        <f t="array" aca="1" ref="BQ125" ca="1">INDIRECT("'"&amp;BK125&amp;"'!"&amp;$H$5&amp;$P$29)+0.01</f>
        <v>3.5550999999999999E-2</v>
      </c>
      <c r="BR125" s="23">
        <f t="shared" ref="BR125:BR135" ca="1" si="173">BO125-BO126</f>
        <v>-0.44359700000001112</v>
      </c>
      <c r="BS125" s="7">
        <f t="shared" ref="BS125:BS135" ca="1" si="174">SQRT((BP125^2)+(BR125^2))</f>
        <v>1.2099201986263497</v>
      </c>
      <c r="BT125" s="7">
        <f t="shared" ca="1" si="171"/>
        <v>0.19136492937457572</v>
      </c>
      <c r="BU125" s="23">
        <f t="shared" ref="BU125:BU135" ca="1" si="175">BU126+BS125</f>
        <v>5.9896298077158399</v>
      </c>
      <c r="BV125" s="23">
        <f t="shared" ref="BV125:BV135" ca="1" si="176">BV126+BR125</f>
        <v>-2.6198377500000447</v>
      </c>
    </row>
    <row r="126" spans="4:74" x14ac:dyDescent="0.3">
      <c r="D126" s="21"/>
      <c r="E126" s="23">
        <f t="shared" si="161"/>
        <v>0</v>
      </c>
      <c r="F126" s="23">
        <f t="shared" si="162"/>
        <v>0</v>
      </c>
      <c r="G126" s="23">
        <f t="shared" si="163"/>
        <v>0</v>
      </c>
      <c r="H126" s="23">
        <f t="shared" si="164"/>
        <v>0</v>
      </c>
      <c r="I126" s="23">
        <f t="shared" si="165"/>
        <v>0</v>
      </c>
      <c r="J126" s="23">
        <f t="shared" si="166"/>
        <v>0</v>
      </c>
      <c r="K126" s="23"/>
      <c r="L126" s="23"/>
      <c r="M126" s="23"/>
      <c r="N126" s="21"/>
      <c r="O126" s="21"/>
      <c r="P126" s="4"/>
      <c r="Q126" s="32"/>
      <c r="R126" s="33"/>
      <c r="S126" s="4"/>
      <c r="T126" s="4"/>
      <c r="U126" s="4"/>
      <c r="V126" s="4"/>
      <c r="W126" s="4"/>
      <c r="X126" s="4"/>
      <c r="AK126" s="3"/>
      <c r="AL126" s="1"/>
      <c r="AM126" s="23"/>
      <c r="AN126" s="23"/>
      <c r="AO126" s="23"/>
      <c r="AP126" s="21"/>
      <c r="AQ126" s="21"/>
      <c r="AR126" s="23"/>
      <c r="AS126" s="7"/>
      <c r="AT126" s="7"/>
      <c r="AU126" s="23"/>
      <c r="AV126" s="23"/>
      <c r="BK126" s="21" t="s">
        <v>375</v>
      </c>
      <c r="BL126" s="1">
        <v>43186</v>
      </c>
      <c r="BM126" s="34" cm="1">
        <f t="array" aca="1" ref="BM126" ca="1">INDIRECT("'"&amp;$B29&amp;"'!"&amp;(D$5&amp;$P$29))</f>
        <v>1844644.2037180001</v>
      </c>
      <c r="BN126" s="34" cm="1">
        <f t="array" aca="1" ref="BN126" ca="1">INDIRECT("'"&amp;$B29&amp;"'!"&amp;(E$5&amp;$P$29))</f>
        <v>5595687.033667</v>
      </c>
      <c r="BO126" s="34" cm="1">
        <f t="array" aca="1" ref="BO126" ca="1">INDIRECT("'"&amp;$B29&amp;"'!"&amp;(F$5&amp;$P$29))</f>
        <v>358.79730499999999</v>
      </c>
      <c r="BP126" s="7">
        <f t="shared" ca="1" si="172"/>
        <v>0.69005317525088228</v>
      </c>
      <c r="BQ126" s="7" cm="1">
        <f t="array" aca="1" ref="BQ126" ca="1">INDIRECT("'"&amp;BK126&amp;"'!"&amp;$H$5&amp;$P$29)+0.01</f>
        <v>4.1085000000000003E-2</v>
      </c>
      <c r="BR126" s="23">
        <f t="shared" ca="1" si="173"/>
        <v>-0.31725299999999379</v>
      </c>
      <c r="BS126" s="7">
        <f t="shared" ca="1" si="174"/>
        <v>0.75948854545860067</v>
      </c>
      <c r="BT126" s="7">
        <f t="shared" ca="1" si="171"/>
        <v>0.14098290364800373</v>
      </c>
      <c r="BU126" s="23">
        <f t="shared" ca="1" si="175"/>
        <v>4.7797096090894904</v>
      </c>
      <c r="BV126" s="23">
        <f t="shared" ca="1" si="176"/>
        <v>-2.1762407500000336</v>
      </c>
    </row>
    <row r="127" spans="4:74" x14ac:dyDescent="0.3">
      <c r="D127" s="21"/>
      <c r="E127" s="23">
        <f ca="1">E114</f>
        <v>2.9894999999999998E-2</v>
      </c>
      <c r="F127" s="23">
        <f t="shared" ref="F127:J127" ca="1" si="177">F114</f>
        <v>2.7560000000000001E-2</v>
      </c>
      <c r="G127" s="23">
        <f t="shared" ca="1" si="177"/>
        <v>2.7511000000000001E-2</v>
      </c>
      <c r="H127" s="23">
        <f t="shared" ca="1" si="177"/>
        <v>2.6578999999999998E-2</v>
      </c>
      <c r="I127" s="23">
        <f t="shared" ca="1" si="177"/>
        <v>2.8281000000000001E-2</v>
      </c>
      <c r="J127" s="23">
        <f t="shared" ca="1" si="177"/>
        <v>2.5836999999999999E-2</v>
      </c>
      <c r="K127" s="23"/>
      <c r="L127" s="23"/>
      <c r="M127" s="23"/>
      <c r="N127" s="21"/>
      <c r="O127" s="21"/>
      <c r="P127" s="4"/>
      <c r="Q127" s="32"/>
      <c r="R127" s="33"/>
      <c r="S127" s="4"/>
      <c r="T127" s="4"/>
      <c r="U127" s="4"/>
      <c r="V127" s="4"/>
      <c r="W127" s="4"/>
      <c r="X127" s="4"/>
      <c r="AK127" s="22"/>
      <c r="AL127" s="1"/>
      <c r="AM127" s="23"/>
      <c r="AN127" s="23"/>
      <c r="AO127" s="23"/>
      <c r="AP127" s="21"/>
      <c r="AQ127" s="21"/>
      <c r="AR127" s="23"/>
      <c r="AS127" s="7"/>
      <c r="AT127" s="7"/>
      <c r="AU127" s="23"/>
      <c r="AV127" s="23"/>
      <c r="BK127" s="21" t="s">
        <v>374</v>
      </c>
      <c r="BL127" s="1">
        <v>43019</v>
      </c>
      <c r="BM127" s="34" cm="1">
        <f t="array" aca="1" ref="BM127" ca="1">INDIRECT("'"&amp;$B30&amp;"'!"&amp;(D$5&amp;$P$29))</f>
        <v>1844644.628706</v>
      </c>
      <c r="BN127" s="34" cm="1">
        <f t="array" aca="1" ref="BN127" ca="1">INDIRECT("'"&amp;$B30&amp;"'!"&amp;(E$5&amp;$P$29))</f>
        <v>5595687.5773200002</v>
      </c>
      <c r="BO127" s="34" cm="1">
        <f t="array" aca="1" ref="BO127" ca="1">INDIRECT("'"&amp;$B30&amp;"'!"&amp;(F$5&amp;$P$29))</f>
        <v>359.11455799999999</v>
      </c>
      <c r="BP127" s="7">
        <f t="shared" ca="1" si="172"/>
        <v>0.68293855555487415</v>
      </c>
      <c r="BQ127" s="7" cm="1">
        <f t="array" aca="1" ref="BQ127" ca="1">INDIRECT("'"&amp;BK127&amp;"'!"&amp;$H$5&amp;$P$29)+0.01</f>
        <v>4.0024999999999998E-2</v>
      </c>
      <c r="BR127" s="23">
        <f t="shared" ca="1" si="173"/>
        <v>-0.41763800000001083</v>
      </c>
      <c r="BS127" s="7">
        <f t="shared" ca="1" si="174"/>
        <v>0.80051643937360017</v>
      </c>
      <c r="BT127" s="7">
        <f t="shared" ca="1" si="171"/>
        <v>0.23861547712097697</v>
      </c>
      <c r="BU127" s="23">
        <f t="shared" ca="1" si="175"/>
        <v>4.0202210636308902</v>
      </c>
      <c r="BV127" s="23">
        <f t="shared" ca="1" si="176"/>
        <v>-1.8589877500000398</v>
      </c>
    </row>
    <row r="128" spans="4:74" x14ac:dyDescent="0.3">
      <c r="D128" s="21"/>
      <c r="E128" s="23">
        <f t="shared" ref="E128:J139" ca="1" si="178">E115</f>
        <v>4.19E-2</v>
      </c>
      <c r="F128" s="23">
        <f t="shared" ca="1" si="178"/>
        <v>3.0290999999999998E-2</v>
      </c>
      <c r="G128" s="23">
        <f t="shared" ca="1" si="178"/>
        <v>3.0723E-2</v>
      </c>
      <c r="H128" s="23">
        <f t="shared" ca="1" si="178"/>
        <v>3.2063000000000001E-2</v>
      </c>
      <c r="I128" s="23">
        <f t="shared" ca="1" si="178"/>
        <v>3.8584E-2</v>
      </c>
      <c r="J128" s="23">
        <f t="shared" ca="1" si="178"/>
        <v>3.2149999999999998E-2</v>
      </c>
      <c r="K128" s="23"/>
      <c r="L128" s="23"/>
      <c r="M128" s="23"/>
      <c r="N128" s="21"/>
      <c r="O128" s="21"/>
      <c r="P128" s="4"/>
      <c r="Q128" s="32"/>
      <c r="R128" s="33"/>
      <c r="S128" s="4"/>
      <c r="T128" s="4"/>
      <c r="U128" s="4"/>
      <c r="V128" s="4"/>
      <c r="W128" s="4"/>
      <c r="X128" s="4"/>
      <c r="AK128" s="3" t="s">
        <v>374</v>
      </c>
      <c r="AL128" s="1">
        <v>43019</v>
      </c>
      <c r="AM128" s="23" cm="1">
        <f t="array" aca="1" ref="AM128" ca="1">INDIRECT("'"&amp;$B30&amp;"'!"&amp;(D$5&amp;$P$18))</f>
        <v>1844684.8533950001</v>
      </c>
      <c r="AN128" s="23" cm="1">
        <f t="array" aca="1" ref="AN128" ca="1">INDIRECT("'"&amp;$B30&amp;"'!"&amp;(E$5&amp;$P$18))</f>
        <v>5596191.5718029998</v>
      </c>
      <c r="AO128" s="23" cm="1">
        <f t="array" aca="1" ref="AO128" ca="1">INDIRECT("'"&amp;$B30&amp;"'!"&amp;(F$5&amp;$P$18))</f>
        <v>402.94071200000002</v>
      </c>
      <c r="AP128" s="21">
        <f t="shared" ref="AP128:AP135" ca="1" si="179">SQRT(((AM128-AM129)^2)+((AN128-AN129)^2))</f>
        <v>0.11424381227416983</v>
      </c>
      <c r="AQ128" s="21" cm="1">
        <f t="array" aca="1" ref="AQ128" ca="1">INDIRECT("'"&amp;AK128&amp;"'!"&amp;$H$5&amp;$P$18)+0.01</f>
        <v>3.3951000000000002E-2</v>
      </c>
      <c r="AR128" s="23">
        <f t="shared" ref="AR128:AR135" ca="1" si="180">AO128-AO129</f>
        <v>-7.8052999999954409E-2</v>
      </c>
      <c r="AS128" s="7">
        <f t="shared" ref="AS128:AS135" ca="1" si="181">SQRT((AP128^2)+(AR128^2))</f>
        <v>0.1383615533735027</v>
      </c>
      <c r="AT128" s="7">
        <f ca="1">(AS128/(AL128-AL129))*365</f>
        <v>0.48559583635892772</v>
      </c>
      <c r="AU128" s="23">
        <f t="shared" ref="AU128" ca="1" si="182">AU129+AS128</f>
        <v>0.73445931038216594</v>
      </c>
      <c r="AV128" s="23">
        <f t="shared" ref="AV128:AV135" ca="1" si="183">AV129+AR128</f>
        <v>-0.14183374999998932</v>
      </c>
      <c r="BK128" s="21" t="s">
        <v>376</v>
      </c>
      <c r="BL128" s="1">
        <v>42915</v>
      </c>
      <c r="BM128" s="34" cm="1">
        <f t="array" aca="1" ref="BM128" ca="1">INDIRECT("'"&amp;$B31&amp;"'!"&amp;(D$5&amp;$P$29))</f>
        <v>1844645.048919</v>
      </c>
      <c r="BN128" s="34" cm="1">
        <f t="array" aca="1" ref="BN128" ca="1">INDIRECT("'"&amp;$B31&amp;"'!"&amp;(E$5&amp;$P$29))</f>
        <v>5595688.1156749995</v>
      </c>
      <c r="BO128" s="34" cm="1">
        <f t="array" aca="1" ref="BO128" ca="1">INDIRECT("'"&amp;$B31&amp;"'!"&amp;(F$5&amp;$P$29))</f>
        <v>359.532196</v>
      </c>
      <c r="BP128" s="7">
        <f t="shared" ca="1" si="172"/>
        <v>0.43455454791258546</v>
      </c>
      <c r="BQ128" s="7" cm="1">
        <f t="array" aca="1" ref="BQ128" ca="1">INDIRECT("'"&amp;BK128&amp;"'!"&amp;$H$5&amp;$P$29)+0.01</f>
        <v>4.8127000000000003E-2</v>
      </c>
      <c r="BR128" s="23">
        <f t="shared" ca="1" si="173"/>
        <v>-0.13784500000002708</v>
      </c>
      <c r="BS128" s="7">
        <f t="shared" ca="1" si="174"/>
        <v>0.45589351732232275</v>
      </c>
      <c r="BT128" s="7">
        <f t="shared" ca="1" si="171"/>
        <v>0.1399277132375446</v>
      </c>
      <c r="BU128" s="23">
        <f t="shared" ca="1" si="175"/>
        <v>3.2197046242572895</v>
      </c>
      <c r="BV128" s="23">
        <f t="shared" ca="1" si="176"/>
        <v>-1.441349750000029</v>
      </c>
    </row>
    <row r="129" spans="4:74" x14ac:dyDescent="0.3">
      <c r="D129" s="21"/>
      <c r="E129" s="23">
        <f t="shared" ca="1" si="178"/>
        <v>5.0751000000000004E-2</v>
      </c>
      <c r="F129" s="23">
        <f t="shared" ca="1" si="178"/>
        <v>4.1902000000000002E-2</v>
      </c>
      <c r="G129" s="23">
        <f t="shared" ca="1" si="178"/>
        <v>2.9777999999999999E-2</v>
      </c>
      <c r="H129" s="23">
        <f t="shared" ca="1" si="178"/>
        <v>2.5013000000000001E-2</v>
      </c>
      <c r="I129" s="23">
        <f t="shared" ca="1" si="178"/>
        <v>3.3484E-2</v>
      </c>
      <c r="J129" s="23">
        <f t="shared" ca="1" si="178"/>
        <v>3.7137999999999997E-2</v>
      </c>
      <c r="K129" s="23"/>
      <c r="L129" s="23"/>
      <c r="M129" s="23"/>
      <c r="N129" s="21"/>
      <c r="O129" s="21"/>
      <c r="P129" s="4"/>
      <c r="Q129" s="32"/>
      <c r="R129" s="33"/>
      <c r="S129" s="4"/>
      <c r="T129" s="4"/>
      <c r="U129" s="4"/>
      <c r="V129" s="4"/>
      <c r="W129" s="4"/>
      <c r="X129" s="4"/>
      <c r="AK129" s="3" t="s">
        <v>376</v>
      </c>
      <c r="AL129" s="1">
        <v>42915</v>
      </c>
      <c r="AM129" s="23" cm="1">
        <f t="array" aca="1" ref="AM129" ca="1">INDIRECT("'"&amp;$B31&amp;"'!"&amp;(D$5&amp;$P$18))</f>
        <v>1844684.8673930001</v>
      </c>
      <c r="AN129" s="23" cm="1">
        <f t="array" aca="1" ref="AN129" ca="1">INDIRECT("'"&amp;$B31&amp;"'!"&amp;(E$5&amp;$P$18))</f>
        <v>5596191.6851859996</v>
      </c>
      <c r="AO129" s="23" cm="1">
        <f t="array" aca="1" ref="AO129" ca="1">INDIRECT("'"&amp;$B31&amp;"'!"&amp;(F$5&amp;$P$18))</f>
        <v>403.01876499999997</v>
      </c>
      <c r="AP129" s="21">
        <f t="shared" ca="1" si="179"/>
        <v>7.2487490091168783E-2</v>
      </c>
      <c r="AQ129" s="21" cm="1">
        <f t="array" aca="1" ref="AQ129" ca="1">INDIRECT("'"&amp;AK129&amp;"'!"&amp;$H$5&amp;$P$18)+0.01</f>
        <v>3.5339000000000002E-2</v>
      </c>
      <c r="AR129" s="23">
        <f t="shared" ca="1" si="180"/>
        <v>6.159900000000107E-2</v>
      </c>
      <c r="AS129" s="7">
        <f t="shared" ca="1" si="181"/>
        <v>9.5125564496182743E-2</v>
      </c>
      <c r="AT129" s="7">
        <f ca="1">(AS129/(AL129-AL130))*365</f>
        <v>0.3437706043673931</v>
      </c>
      <c r="AU129" s="23">
        <f ca="1">AU130+AS129</f>
        <v>0.5960977570086633</v>
      </c>
      <c r="AV129" s="23">
        <f t="shared" ca="1" si="183"/>
        <v>-6.3780750000034914E-2</v>
      </c>
      <c r="BK129" s="21" t="s">
        <v>377</v>
      </c>
      <c r="BL129" s="1">
        <v>42814</v>
      </c>
      <c r="BM129" s="34" cm="1">
        <f t="array" aca="1" ref="BM129" ca="1">INDIRECT("'"&amp;$B32&amp;"'!"&amp;(D$5&amp;$P$29))</f>
        <v>1844645.3717990001</v>
      </c>
      <c r="BN129" s="34" cm="1">
        <f t="array" aca="1" ref="BN129" ca="1">INDIRECT("'"&amp;$B32&amp;"'!"&amp;(E$5&amp;$P$29))</f>
        <v>5595688.4065119997</v>
      </c>
      <c r="BO129" s="34" cm="1">
        <f t="array" aca="1" ref="BO129" ca="1">INDIRECT("'"&amp;$B32&amp;"'!"&amp;(F$5&amp;$P$29))</f>
        <v>359.67004100000003</v>
      </c>
      <c r="BP129" s="7">
        <f t="shared" ca="1" si="172"/>
        <v>0.1982689382362838</v>
      </c>
      <c r="BQ129" s="7" cm="1">
        <f t="array" aca="1" ref="BQ129" ca="1">INDIRECT("'"&amp;BK129&amp;"'!"&amp;$H$5&amp;$P$29)+0.01</f>
        <v>3.8238000000000001E-2</v>
      </c>
      <c r="BR129" s="23">
        <f t="shared" ca="1" si="173"/>
        <v>-0.10509899999999561</v>
      </c>
      <c r="BS129" s="7">
        <f t="shared" ca="1" si="174"/>
        <v>0.22440225415610782</v>
      </c>
      <c r="BT129" s="7">
        <f t="shared" ca="1" si="171"/>
        <v>7.2463227904576488E-2</v>
      </c>
      <c r="BU129" s="23">
        <f t="shared" ca="1" si="175"/>
        <v>2.7638111069349667</v>
      </c>
      <c r="BV129" s="23">
        <f t="shared" ca="1" si="176"/>
        <v>-1.3035047500000019</v>
      </c>
    </row>
    <row r="130" spans="4:74" x14ac:dyDescent="0.3">
      <c r="D130" s="21"/>
      <c r="E130" s="23">
        <f t="shared" ca="1" si="178"/>
        <v>3.8013999999999999E-2</v>
      </c>
      <c r="F130" s="23">
        <f t="shared" ca="1" si="178"/>
        <v>3.4409000000000002E-2</v>
      </c>
      <c r="G130" s="23">
        <f t="shared" ca="1" si="178"/>
        <v>3.5833999999999998E-2</v>
      </c>
      <c r="H130" s="23">
        <f t="shared" ca="1" si="178"/>
        <v>3.3628999999999999E-2</v>
      </c>
      <c r="I130" s="23">
        <f t="shared" ca="1" si="178"/>
        <v>3.5540000000000002E-2</v>
      </c>
      <c r="J130" s="23">
        <f t="shared" ca="1" si="178"/>
        <v>3.8832999999999999E-2</v>
      </c>
      <c r="K130" s="23"/>
      <c r="L130" s="23"/>
      <c r="M130" s="23"/>
      <c r="N130" s="21"/>
      <c r="O130" s="21"/>
      <c r="P130" s="4"/>
      <c r="Q130" s="32"/>
      <c r="R130" s="33"/>
      <c r="S130" s="4"/>
      <c r="T130" s="4"/>
      <c r="U130" s="4"/>
      <c r="V130" s="4"/>
      <c r="W130" s="4"/>
      <c r="X130" s="4"/>
      <c r="AK130" s="3" t="s">
        <v>377</v>
      </c>
      <c r="AL130" s="1">
        <v>42814</v>
      </c>
      <c r="AM130" s="23" cm="1">
        <f t="array" aca="1" ref="AM130" ca="1">INDIRECT("'"&amp;$B32&amp;"'!"&amp;(D$5&amp;$P$18))</f>
        <v>1844684.8855059999</v>
      </c>
      <c r="AN130" s="23" cm="1">
        <f t="array" aca="1" ref="AN130" ca="1">INDIRECT("'"&amp;$B32&amp;"'!"&amp;(E$5&amp;$P$18))</f>
        <v>5596191.7553740004</v>
      </c>
      <c r="AO130" s="23" cm="1">
        <f t="array" aca="1" ref="AO130" ca="1">INDIRECT("'"&amp;$B32&amp;"'!"&amp;(F$5&amp;$P$18))</f>
        <v>402.95716599999997</v>
      </c>
      <c r="AP130" s="21">
        <f t="shared" ca="1" si="179"/>
        <v>2.0821375909940588E-2</v>
      </c>
      <c r="AQ130" s="21" cm="1">
        <f t="array" aca="1" ref="AQ130" ca="1">INDIRECT("'"&amp;AK130&amp;"'!"&amp;$H$5&amp;$P$18)+0.01</f>
        <v>3.2107999999999998E-2</v>
      </c>
      <c r="AR130" s="23">
        <f t="shared" ca="1" si="180"/>
        <v>-3.4402000000000044E-2</v>
      </c>
      <c r="AS130" s="7">
        <f t="shared" ca="1" si="181"/>
        <v>4.0212277960631093E-2</v>
      </c>
      <c r="AT130" s="7">
        <f ca="1">(AS130/(AL130-AL1365))*365</f>
        <v>3.4281967243495934E-4</v>
      </c>
      <c r="AU130" s="23">
        <f t="shared" ref="AU130:AU135" ca="1" si="184">AU131+AS130</f>
        <v>0.5009721925124806</v>
      </c>
      <c r="AV130" s="23">
        <f t="shared" ca="1" si="183"/>
        <v>-0.12537975000003598</v>
      </c>
      <c r="BK130" s="21" t="s">
        <v>378</v>
      </c>
      <c r="BL130" s="1">
        <v>42718</v>
      </c>
      <c r="BM130" s="34" cm="1">
        <f t="array" aca="1" ref="BM130" ca="1">INDIRECT("'"&amp;$B33&amp;"'!"&amp;(D$5&amp;$P$29))</f>
        <v>1844645.4794960001</v>
      </c>
      <c r="BN130" s="34" cm="1">
        <f t="array" aca="1" ref="BN130" ca="1">INDIRECT("'"&amp;$B33&amp;"'!"&amp;(E$5&amp;$P$29))</f>
        <v>5595688.5729809999</v>
      </c>
      <c r="BO130" s="34" cm="1">
        <f t="array" aca="1" ref="BO130" ca="1">INDIRECT("'"&amp;$B33&amp;"'!"&amp;(F$5&amp;$P$29))</f>
        <v>359.77514000000002</v>
      </c>
      <c r="BP130" s="7">
        <f ca="1">SQRT(((BM130-BM132)^2)+((BN130-BN132)^2))</f>
        <v>0.86479374990821478</v>
      </c>
      <c r="BQ130" s="7" cm="1">
        <f t="array" aca="1" ref="BQ130" ca="1">INDIRECT("'"&amp;BK130&amp;"'!"&amp;$H$5&amp;$P$29)+0.01</f>
        <v>4.1454000000000005E-2</v>
      </c>
      <c r="BR130" s="23">
        <f ca="1">BO130-BO132</f>
        <v>-0.43224600000002056</v>
      </c>
      <c r="BS130" s="7">
        <f t="shared" ca="1" si="174"/>
        <v>0.96680134174313692</v>
      </c>
      <c r="BT130" s="7">
        <f ca="1">(BS130/(BL130-BL132))*31</f>
        <v>0.1921207794489567</v>
      </c>
      <c r="BU130" s="23">
        <f ca="1">BU132+BS130</f>
        <v>2.539408852778859</v>
      </c>
      <c r="BV130" s="23">
        <f ca="1">BV132+BR130</f>
        <v>-1.1984057500000063</v>
      </c>
    </row>
    <row r="131" spans="4:74" x14ac:dyDescent="0.3">
      <c r="D131" s="21"/>
      <c r="E131" s="23">
        <f t="shared" ca="1" si="178"/>
        <v>4.0737000000000002E-2</v>
      </c>
      <c r="F131" s="23">
        <f t="shared" ca="1" si="178"/>
        <v>5.2274000000000001E-2</v>
      </c>
      <c r="G131" s="23">
        <f t="shared" ca="1" si="178"/>
        <v>3.6048000000000004E-2</v>
      </c>
      <c r="H131" s="23">
        <f t="shared" ca="1" si="178"/>
        <v>3.4044999999999999E-2</v>
      </c>
      <c r="I131" s="23">
        <f t="shared" ca="1" si="178"/>
        <v>4.3723999999999999E-2</v>
      </c>
      <c r="J131" s="23">
        <f t="shared" ca="1" si="178"/>
        <v>4.9981999999999999E-2</v>
      </c>
      <c r="K131" s="23"/>
      <c r="L131" s="23"/>
      <c r="M131" s="23"/>
      <c r="N131" s="21"/>
      <c r="O131" s="21"/>
      <c r="P131" s="4"/>
      <c r="Q131" s="32"/>
      <c r="R131" s="33"/>
      <c r="S131" s="4"/>
      <c r="T131" s="4"/>
      <c r="U131" s="4"/>
      <c r="V131" s="4"/>
      <c r="W131" s="4"/>
      <c r="X131" s="4"/>
      <c r="AK131" s="3" t="s">
        <v>378</v>
      </c>
      <c r="AL131" s="1">
        <v>42718</v>
      </c>
      <c r="AM131" s="23" cm="1">
        <f t="array" aca="1" ref="AM131" ca="1">INDIRECT("'"&amp;$B33&amp;"'!"&amp;(D$5&amp;$P$18))</f>
        <v>1844684.8765189999</v>
      </c>
      <c r="AN131" s="23" cm="1">
        <f t="array" aca="1" ref="AN131" ca="1">INDIRECT("'"&amp;$B33&amp;"'!"&amp;(E$5&amp;$P$18))</f>
        <v>5596191.7741560005</v>
      </c>
      <c r="AO131" s="23" cm="1">
        <f t="array" aca="1" ref="AO131" ca="1">INDIRECT("'"&amp;$B33&amp;"'!"&amp;(F$5&amp;$P$18))</f>
        <v>402.99156799999997</v>
      </c>
      <c r="AP131" s="21">
        <f t="shared" ca="1" si="179"/>
        <v>7.5497167364885556E-2</v>
      </c>
      <c r="AQ131" s="21" cm="1">
        <f t="array" aca="1" ref="AQ131" ca="1">INDIRECT("'"&amp;AK131&amp;"'!"&amp;$H$5&amp;$P$18)+0.01</f>
        <v>2.3733000000000001E-2</v>
      </c>
      <c r="AR131" s="23">
        <f t="shared" ca="1" si="180"/>
        <v>8.9669999999273386E-3</v>
      </c>
      <c r="AS131" s="7">
        <f t="shared" ca="1" si="181"/>
        <v>7.6027819705159483E-2</v>
      </c>
      <c r="AT131" s="7">
        <f>(AS1365/(AL1365-AL132))*365</f>
        <v>0</v>
      </c>
      <c r="AU131" s="23">
        <f t="shared" ca="1" si="184"/>
        <v>0.46075991455184945</v>
      </c>
      <c r="AV131" s="23">
        <f t="shared" ca="1" si="183"/>
        <v>-9.097775000003594E-2</v>
      </c>
      <c r="BK131" s="21" t="s">
        <v>379</v>
      </c>
      <c r="BL131" s="1"/>
      <c r="BM131" s="34"/>
      <c r="BN131" s="34"/>
      <c r="BO131" s="34"/>
      <c r="BP131" s="7"/>
      <c r="BR131" s="23"/>
      <c r="BS131" s="7"/>
      <c r="BT131" s="7"/>
      <c r="BU131" s="23"/>
      <c r="BV131" s="23"/>
    </row>
    <row r="132" spans="4:74" x14ac:dyDescent="0.3">
      <c r="D132" s="21"/>
      <c r="E132" s="23">
        <f t="shared" ca="1" si="178"/>
        <v>4.2842000000000005E-2</v>
      </c>
      <c r="F132" s="23">
        <f t="shared" ca="1" si="178"/>
        <v>3.5612999999999999E-2</v>
      </c>
      <c r="G132" s="23">
        <f t="shared" ca="1" si="178"/>
        <v>3.7173999999999999E-2</v>
      </c>
      <c r="H132" s="23">
        <f t="shared" ca="1" si="178"/>
        <v>3.2266999999999997E-2</v>
      </c>
      <c r="I132" s="23">
        <f t="shared" ca="1" si="178"/>
        <v>4.4747000000000002E-2</v>
      </c>
      <c r="J132" s="23">
        <f t="shared" ca="1" si="178"/>
        <v>3.5750999999999998E-2</v>
      </c>
      <c r="K132" s="23"/>
      <c r="L132" s="23"/>
      <c r="M132" s="23"/>
      <c r="N132" s="21"/>
      <c r="O132" s="21"/>
      <c r="P132" s="4"/>
      <c r="Q132" s="32"/>
      <c r="R132" s="33"/>
      <c r="S132" s="4"/>
      <c r="T132" s="4"/>
      <c r="U132" s="4"/>
      <c r="V132" s="4"/>
      <c r="W132" s="4"/>
      <c r="X132" s="4"/>
      <c r="AK132" s="3" t="s">
        <v>379</v>
      </c>
      <c r="AL132" s="1">
        <v>42666</v>
      </c>
      <c r="AM132" s="23" cm="1">
        <f t="array" aca="1" ref="AM132" ca="1">INDIRECT("'"&amp;$B34&amp;"'!"&amp;(D$5&amp;$P$18))</f>
        <v>1844684.87528</v>
      </c>
      <c r="AN132" s="23" cm="1">
        <f t="array" aca="1" ref="AN132" ca="1">INDIRECT("'"&amp;$B34&amp;"'!"&amp;(E$5&amp;$P$18))</f>
        <v>5596191.8496430004</v>
      </c>
      <c r="AO132" s="23" cm="1">
        <f t="array" aca="1" ref="AO132" ca="1">INDIRECT("'"&amp;$B34&amp;"'!"&amp;(F$5&amp;$P$18))</f>
        <v>402.98260100000005</v>
      </c>
      <c r="AP132" s="21">
        <f t="shared" ca="1" si="179"/>
        <v>0.13783974344652206</v>
      </c>
      <c r="AQ132" s="21" cm="1">
        <f t="array" aca="1" ref="AQ132" ca="1">INDIRECT("'"&amp;AK132&amp;"'!"&amp;$H$5&amp;$P$18)+0.01</f>
        <v>3.6854999999999999E-2</v>
      </c>
      <c r="AR132" s="23">
        <f t="shared" ca="1" si="180"/>
        <v>-3.5754999999994652E-2</v>
      </c>
      <c r="AS132" s="7">
        <f t="shared" ca="1" si="181"/>
        <v>0.1424015972466694</v>
      </c>
      <c r="AT132" s="7">
        <f ca="1">(AS132/(AL132-AL133))*365</f>
        <v>0.49977483649071475</v>
      </c>
      <c r="AU132" s="23">
        <f t="shared" ca="1" si="184"/>
        <v>0.38473209484668996</v>
      </c>
      <c r="AV132" s="23">
        <f t="shared" ca="1" si="183"/>
        <v>-9.9944749999963278E-2</v>
      </c>
      <c r="BK132" s="21" t="s">
        <v>380</v>
      </c>
      <c r="BL132" s="1">
        <v>42562</v>
      </c>
      <c r="BM132" s="34" cm="1">
        <f t="array" aca="1" ref="BM132" ca="1">INDIRECT("'"&amp;$B35&amp;"'!"&amp;(D$5&amp;$P$29))</f>
        <v>1844646.0412860001</v>
      </c>
      <c r="BN132" s="34" cm="1">
        <f t="array" aca="1" ref="BN132" ca="1">INDIRECT("'"&amp;$B35&amp;"'!"&amp;(E$5&amp;$P$29))</f>
        <v>5595689.2304459997</v>
      </c>
      <c r="BO132" s="34" cm="1">
        <f t="array" aca="1" ref="BO132" ca="1">INDIRECT("'"&amp;$B35&amp;"'!"&amp;(F$5&amp;$P$29))</f>
        <v>360.20738600000004</v>
      </c>
      <c r="BP132" s="7">
        <f t="shared" ca="1" si="172"/>
        <v>0.30048988082211264</v>
      </c>
      <c r="BQ132" s="7" cm="1">
        <f t="array" aca="1" ref="BQ132" ca="1">INDIRECT("'"&amp;BK132&amp;"'!"&amp;$H$5&amp;$P$29)+0.01</f>
        <v>2.2419000000000001E-2</v>
      </c>
      <c r="BR132" s="23">
        <f t="shared" ca="1" si="173"/>
        <v>-0.15468674999999621</v>
      </c>
      <c r="BS132" s="7">
        <f t="shared" ca="1" si="174"/>
        <v>0.33796768943502392</v>
      </c>
      <c r="BT132" s="7">
        <f ca="1">(BS132/(BL132-BL133))*31</f>
        <v>9.0318951486946047E-2</v>
      </c>
      <c r="BU132" s="23">
        <f t="shared" ca="1" si="175"/>
        <v>1.5726075110357223</v>
      </c>
      <c r="BV132" s="23">
        <f t="shared" ca="1" si="176"/>
        <v>-0.76615974999998571</v>
      </c>
    </row>
    <row r="133" spans="4:74" x14ac:dyDescent="0.3">
      <c r="D133" s="21"/>
      <c r="E133" s="23">
        <f t="shared" si="178"/>
        <v>0</v>
      </c>
      <c r="F133" s="23">
        <f t="shared" ca="1" si="178"/>
        <v>2.6123E-2</v>
      </c>
      <c r="G133" s="23">
        <f t="shared" ca="1" si="178"/>
        <v>3.007E-2</v>
      </c>
      <c r="H133" s="23">
        <f t="shared" ca="1" si="178"/>
        <v>3.1373999999999999E-2</v>
      </c>
      <c r="I133" s="23">
        <f t="shared" ca="1" si="178"/>
        <v>2.7307999999999999E-2</v>
      </c>
      <c r="J133" s="23">
        <f t="shared" ca="1" si="178"/>
        <v>3.5298999999999997E-2</v>
      </c>
      <c r="K133" s="23"/>
      <c r="L133" s="23"/>
      <c r="M133" s="23"/>
      <c r="N133" s="21"/>
      <c r="O133" s="21"/>
      <c r="P133" s="4"/>
      <c r="Q133" s="32"/>
      <c r="R133" s="33"/>
      <c r="S133" s="4"/>
      <c r="T133" s="4"/>
      <c r="U133" s="4"/>
      <c r="V133" s="4"/>
      <c r="W133" s="4"/>
      <c r="X133" s="4"/>
      <c r="AK133" s="3" t="s">
        <v>380</v>
      </c>
      <c r="AL133" s="1">
        <v>42562</v>
      </c>
      <c r="AM133" s="23" cm="1">
        <f t="array" aca="1" ref="AM133" ca="1">INDIRECT("'"&amp;$B35&amp;"'!"&amp;(D$5&amp;$P$18))</f>
        <v>1844684.930802</v>
      </c>
      <c r="AN133" s="23" cm="1">
        <f t="array" aca="1" ref="AN133" ca="1">INDIRECT("'"&amp;$B35&amp;"'!"&amp;(E$5&amp;$P$18))</f>
        <v>5596191.9758059997</v>
      </c>
      <c r="AO133" s="23" cm="1">
        <f t="array" aca="1" ref="AO133" ca="1">INDIRECT("'"&amp;$B35&amp;"'!"&amp;(F$5&amp;$P$18))</f>
        <v>403.01835600000004</v>
      </c>
      <c r="AP133" s="21">
        <f t="shared" ca="1" si="179"/>
        <v>8.3665136461955433E-2</v>
      </c>
      <c r="AQ133" s="21" cm="1">
        <f t="array" aca="1" ref="AQ133" ca="1">INDIRECT("'"&amp;AK133&amp;"'!"&amp;$H$5&amp;$P$18)+0.01</f>
        <v>2.8644999999999997E-2</v>
      </c>
      <c r="AR133" s="23">
        <f t="shared" ca="1" si="180"/>
        <v>-2.7446749999967324E-2</v>
      </c>
      <c r="AS133" s="7">
        <f t="shared" ca="1" si="181"/>
        <v>8.8052138785825809E-2</v>
      </c>
      <c r="AT133" s="7">
        <f ca="1">(AS133/(AL133-AL134))*365</f>
        <v>0.27706060911057256</v>
      </c>
      <c r="AU133" s="23">
        <f t="shared" ca="1" si="184"/>
        <v>0.24233049760002057</v>
      </c>
      <c r="AV133" s="23">
        <f t="shared" ca="1" si="183"/>
        <v>-6.4189749999968626E-2</v>
      </c>
      <c r="BK133" s="21" t="s">
        <v>381</v>
      </c>
      <c r="BL133" s="1">
        <v>42446</v>
      </c>
      <c r="BM133" s="34" cm="1">
        <f t="array" aca="1" ref="BM133" ca="1">INDIRECT("'"&amp;$B36&amp;"'!"&amp;(D$5&amp;$P$29))</f>
        <v>1844646.2553790002</v>
      </c>
      <c r="BN133" s="34" cm="1">
        <f t="array" aca="1" ref="BN133" ca="1">INDIRECT("'"&amp;$B36&amp;"'!"&amp;(E$5&amp;$P$29))</f>
        <v>5595689.4412975013</v>
      </c>
      <c r="BO133" s="34" cm="1">
        <f t="array" aca="1" ref="BO133" ca="1">INDIRECT("'"&amp;$B36&amp;"'!"&amp;(F$5&amp;$P$29))</f>
        <v>360.36207275000004</v>
      </c>
      <c r="BP133" s="7">
        <f t="shared" ca="1" si="172"/>
        <v>0.24726420971705043</v>
      </c>
      <c r="BQ133" s="7" cm="1">
        <f t="array" aca="1" ref="BQ133" ca="1">INDIRECT("'"&amp;BK133&amp;"'!"&amp;$H$5&amp;$P$29)+0.01</f>
        <v>2.9137999999999997E-2</v>
      </c>
      <c r="BR133" s="23">
        <f t="shared" ca="1" si="173"/>
        <v>-0.11649949999997489</v>
      </c>
      <c r="BS133" s="7">
        <f t="shared" ca="1" si="174"/>
        <v>0.27333445247030541</v>
      </c>
      <c r="BT133" s="7">
        <f ca="1">(BS133/(BL133-BL134))*31</f>
        <v>8.3894732936430377E-2</v>
      </c>
      <c r="BU133" s="23">
        <f t="shared" ca="1" si="175"/>
        <v>1.2346398216006984</v>
      </c>
      <c r="BV133" s="23">
        <f t="shared" ca="1" si="176"/>
        <v>-0.6114729999999895</v>
      </c>
    </row>
    <row r="134" spans="4:74" x14ac:dyDescent="0.3">
      <c r="D134" s="21"/>
      <c r="E134" s="23">
        <f t="shared" ca="1" si="178"/>
        <v>3.2912999999999998E-2</v>
      </c>
      <c r="F134" s="23">
        <f t="shared" ca="1" si="178"/>
        <v>2.9122000000000002E-2</v>
      </c>
      <c r="G134" s="23">
        <f t="shared" ca="1" si="178"/>
        <v>3.2440000000000004E-2</v>
      </c>
      <c r="H134" s="23">
        <f t="shared" ca="1" si="178"/>
        <v>5.0748000000000001E-2</v>
      </c>
      <c r="I134" s="23">
        <f t="shared" si="178"/>
        <v>0</v>
      </c>
      <c r="J134" s="23">
        <f t="shared" si="178"/>
        <v>0</v>
      </c>
      <c r="K134" s="23"/>
      <c r="L134" s="23"/>
      <c r="M134" s="23"/>
      <c r="N134" s="21"/>
      <c r="O134" s="21"/>
      <c r="P134" s="4"/>
      <c r="Q134" s="4"/>
      <c r="R134" s="4"/>
      <c r="S134" s="4"/>
      <c r="T134" s="4"/>
      <c r="U134" s="4"/>
      <c r="V134" s="4"/>
      <c r="W134" s="4"/>
      <c r="X134" s="4"/>
      <c r="AK134" s="3" t="s">
        <v>381</v>
      </c>
      <c r="AL134" s="1">
        <v>42446</v>
      </c>
      <c r="AM134" s="23" cm="1">
        <f t="array" aca="1" ref="AM134" ca="1">INDIRECT("'"&amp;$B36&amp;"'!"&amp;(D$5&amp;$P$18))</f>
        <v>1844684.9259530001</v>
      </c>
      <c r="AN134" s="23" cm="1">
        <f t="array" aca="1" ref="AN134" ca="1">INDIRECT("'"&amp;$B36&amp;"'!"&amp;(E$5&amp;$P$18))</f>
        <v>5596192.0593305007</v>
      </c>
      <c r="AO134" s="23" cm="1">
        <f t="array" aca="1" ref="AO134" ca="1">INDIRECT("'"&amp;$B36&amp;"'!"&amp;(F$5&amp;$P$18))</f>
        <v>403.04580275000001</v>
      </c>
      <c r="AP134" s="21">
        <f t="shared" ca="1" si="179"/>
        <v>3.6187837054944584E-2</v>
      </c>
      <c r="AQ134" s="21" cm="1">
        <f t="array" aca="1" ref="AQ134" ca="1">INDIRECT("'"&amp;AK134&amp;"'!"&amp;$H$5&amp;$P$18)+0.01</f>
        <v>3.6247000000000001E-2</v>
      </c>
      <c r="AR134" s="23">
        <f t="shared" ca="1" si="180"/>
        <v>-1.0769500000037624E-2</v>
      </c>
      <c r="AS134" s="7">
        <f t="shared" ca="1" si="181"/>
        <v>3.7756346234322391E-2</v>
      </c>
      <c r="AT134" s="7">
        <f ca="1">(AS134/(AL134-AL135))*365</f>
        <v>0.13644620173789776</v>
      </c>
      <c r="AU134" s="23">
        <f t="shared" ca="1" si="184"/>
        <v>0.15427835881419477</v>
      </c>
      <c r="AV134" s="23">
        <f t="shared" ca="1" si="183"/>
        <v>-3.6743000000001302E-2</v>
      </c>
      <c r="BK134" s="21" t="s">
        <v>382</v>
      </c>
      <c r="BL134" s="1">
        <v>42345</v>
      </c>
      <c r="BM134" s="34" cm="1">
        <f t="array" aca="1" ref="BM134" ca="1">INDIRECT("'"&amp;$B37&amp;"'!"&amp;(D$5&amp;$P$29))</f>
        <v>1844646.4096959999</v>
      </c>
      <c r="BN134" s="34" cm="1">
        <f t="array" aca="1" ref="BN134" ca="1">INDIRECT("'"&amp;$B37&amp;"'!"&amp;(E$5&amp;$P$29))</f>
        <v>5595689.6344964998</v>
      </c>
      <c r="BO134" s="34" cm="1">
        <f t="array" aca="1" ref="BO134" ca="1">INDIRECT("'"&amp;$B37&amp;"'!"&amp;(F$5&amp;$P$29))</f>
        <v>360.47857225000001</v>
      </c>
      <c r="BP134" s="7">
        <f t="shared" ca="1" si="172"/>
        <v>0.26796599682379296</v>
      </c>
      <c r="BQ134" s="7" cm="1">
        <f t="array" aca="1" ref="BQ134" ca="1">INDIRECT("'"&amp;BK134&amp;"'!"&amp;$H$5&amp;$P$29)+0.01</f>
        <v>0.02</v>
      </c>
      <c r="BR134" s="23">
        <f t="shared" ca="1" si="173"/>
        <v>-0.21797349999997095</v>
      </c>
      <c r="BS134" s="7">
        <f t="shared" ca="1" si="174"/>
        <v>0.34542469824262184</v>
      </c>
      <c r="BT134" s="7">
        <f ca="1">(BS134/(BL134-BL135))*31</f>
        <v>0.15747302419884229</v>
      </c>
      <c r="BU134" s="23">
        <f t="shared" ca="1" si="175"/>
        <v>0.96130536913039299</v>
      </c>
      <c r="BV134" s="23">
        <f t="shared" ca="1" si="176"/>
        <v>-0.49497350000001461</v>
      </c>
    </row>
    <row r="135" spans="4:74" x14ac:dyDescent="0.3">
      <c r="D135" s="21"/>
      <c r="E135" s="23">
        <f t="shared" ca="1" si="178"/>
        <v>3.5075000000000002E-2</v>
      </c>
      <c r="F135" s="23">
        <f t="shared" ca="1" si="178"/>
        <v>3.5379000000000001E-2</v>
      </c>
      <c r="G135" s="23">
        <f t="shared" ca="1" si="178"/>
        <v>2.5585999999999998E-2</v>
      </c>
      <c r="H135" s="23">
        <f t="shared" ca="1" si="178"/>
        <v>5.1277000000000003E-2</v>
      </c>
      <c r="I135" s="23">
        <f t="shared" ca="1" si="178"/>
        <v>2.7964999999999997E-2</v>
      </c>
      <c r="J135" s="23">
        <f t="shared" ca="1" si="178"/>
        <v>2.5862000000000003E-2</v>
      </c>
      <c r="K135" s="23"/>
      <c r="L135" s="23"/>
      <c r="M135" s="23"/>
      <c r="N135" s="21"/>
      <c r="O135" s="21"/>
      <c r="P135" s="21"/>
      <c r="Q135" s="21"/>
      <c r="R135" s="21"/>
      <c r="S135" s="21"/>
      <c r="T135" s="21"/>
      <c r="U135" s="21"/>
      <c r="V135" s="21"/>
      <c r="W135" s="21"/>
      <c r="X135" s="21"/>
      <c r="AK135" s="3" t="s">
        <v>382</v>
      </c>
      <c r="AL135" s="1">
        <v>42345</v>
      </c>
      <c r="AM135" s="23" cm="1">
        <f t="array" aca="1" ref="AM135" ca="1">INDIRECT("'"&amp;$B37&amp;"'!"&amp;(D$5&amp;$P$18))</f>
        <v>1844684.9246960001</v>
      </c>
      <c r="AN135" s="23" cm="1">
        <f t="array" aca="1" ref="AN135" ca="1">INDIRECT("'"&amp;$B37&amp;"'!"&amp;(E$5&amp;$P$18))</f>
        <v>5596192.0954964999</v>
      </c>
      <c r="AO135" s="23" cm="1">
        <f t="array" aca="1" ref="AO135" ca="1">INDIRECT("'"&amp;$B37&amp;"'!"&amp;(F$5&amp;$P$18))</f>
        <v>403.05657225000004</v>
      </c>
      <c r="AP135" s="21">
        <f t="shared" ca="1" si="179"/>
        <v>2.1455163719140886E-3</v>
      </c>
      <c r="AQ135" s="21" cm="1">
        <f t="array" aca="1" ref="AQ135" ca="1">INDIRECT("'"&amp;AK135&amp;"'!"&amp;$H$5&amp;$P$18)+0.01</f>
        <v>1.6E-2</v>
      </c>
      <c r="AR135" s="23">
        <f t="shared" ca="1" si="180"/>
        <v>1.0026500000037686E-2</v>
      </c>
      <c r="AS135" s="7">
        <f t="shared" ca="1" si="181"/>
        <v>1.0253484420084088E-2</v>
      </c>
      <c r="AT135" s="7">
        <f ca="1">(AS135/(AL135-AL136))*365</f>
        <v>5.5037085490157234E-2</v>
      </c>
      <c r="AU135" s="23">
        <f t="shared" ca="1" si="184"/>
        <v>0.11652201257987237</v>
      </c>
      <c r="AV135" s="23">
        <f t="shared" ca="1" si="183"/>
        <v>-2.5973499999963678E-2</v>
      </c>
      <c r="BK135" s="21" t="s">
        <v>383</v>
      </c>
      <c r="BL135" s="1">
        <v>42277</v>
      </c>
      <c r="BM135" s="34" cm="1">
        <f t="array" aca="1" ref="BM135" ca="1">INDIRECT("'"&amp;$B38&amp;"'!"&amp;(D$5&amp;$P$29))</f>
        <v>1844646.6178300001</v>
      </c>
      <c r="BN135" s="34" cm="1">
        <f t="array" aca="1" ref="BN135" ca="1">INDIRECT("'"&amp;$B38&amp;"'!"&amp;(E$5&amp;$P$29))</f>
        <v>5595689.8032745002</v>
      </c>
      <c r="BO135" s="34" cm="1">
        <f t="array" aca="1" ref="BO135" ca="1">INDIRECT("'"&amp;$B38&amp;"'!"&amp;(F$5&amp;$P$29))</f>
        <v>360.69654574999998</v>
      </c>
      <c r="BP135" s="7">
        <f t="shared" ca="1" si="172"/>
        <v>0.55007272316771605</v>
      </c>
      <c r="BQ135" s="7" cm="1">
        <f t="array" aca="1" ref="BQ135" ca="1">INDIRECT("'"&amp;BK135&amp;"'!"&amp;$H$5&amp;$P$29)+0.01</f>
        <v>1.7000000000000001E-2</v>
      </c>
      <c r="BR135" s="23">
        <f t="shared" ca="1" si="173"/>
        <v>-0.27700000000004366</v>
      </c>
      <c r="BS135" s="7">
        <f t="shared" ca="1" si="174"/>
        <v>0.6158806708877711</v>
      </c>
      <c r="BT135" s="7">
        <f ca="1">(BS135/(BL135-BL136))*31</f>
        <v>0.21452023368001016</v>
      </c>
      <c r="BU135" s="23">
        <f t="shared" ca="1" si="175"/>
        <v>0.6158806708877711</v>
      </c>
      <c r="BV135" s="23">
        <f t="shared" ca="1" si="176"/>
        <v>-0.27700000000004366</v>
      </c>
    </row>
    <row r="136" spans="4:74" x14ac:dyDescent="0.3">
      <c r="D136" s="21"/>
      <c r="E136" s="23">
        <f t="shared" ca="1" si="178"/>
        <v>6.8406999999999996E-2</v>
      </c>
      <c r="F136" s="23">
        <f t="shared" ca="1" si="178"/>
        <v>4.3326000000000003E-2</v>
      </c>
      <c r="G136" s="23">
        <f t="shared" ca="1" si="178"/>
        <v>2.9602999999999997E-2</v>
      </c>
      <c r="H136" s="23">
        <f t="shared" ca="1" si="178"/>
        <v>2.7366000000000001E-2</v>
      </c>
      <c r="I136" s="23">
        <f t="shared" ca="1" si="178"/>
        <v>3.0580000000000003E-2</v>
      </c>
      <c r="J136" s="23">
        <f t="shared" ca="1" si="178"/>
        <v>3.0407999999999998E-2</v>
      </c>
      <c r="K136" s="23"/>
      <c r="L136" s="23"/>
      <c r="M136" s="23"/>
      <c r="N136" s="21"/>
      <c r="O136" s="21"/>
      <c r="P136" s="21"/>
      <c r="Q136" s="21"/>
      <c r="R136" s="21"/>
      <c r="S136" s="21"/>
      <c r="T136" s="21"/>
      <c r="U136" s="21"/>
      <c r="V136" s="21"/>
      <c r="W136" s="21"/>
      <c r="X136" s="21"/>
      <c r="AK136" s="3" t="s">
        <v>383</v>
      </c>
      <c r="AL136" s="1">
        <v>42277</v>
      </c>
      <c r="AM136" s="23" cm="1">
        <f t="array" aca="1" ref="AM136" ca="1">INDIRECT("'"&amp;$B38&amp;"'!"&amp;(D$5&amp;$P$18))</f>
        <v>1844684.9268300002</v>
      </c>
      <c r="AN136" s="23" cm="1">
        <f t="array" aca="1" ref="AN136" ca="1">INDIRECT("'"&amp;$B38&amp;"'!"&amp;(E$5&amp;$P$18))</f>
        <v>5596192.0952745005</v>
      </c>
      <c r="AO136" s="23" cm="1">
        <f t="array" aca="1" ref="AO136" ca="1">INDIRECT("'"&amp;$B38&amp;"'!"&amp;(F$5&amp;$P$18))</f>
        <v>403.04654575000001</v>
      </c>
      <c r="AP136" s="21">
        <f ca="1">SQRT(((AM136-AM137)^2)+((AN136-AN137)^2))</f>
        <v>9.9984999261127264E-2</v>
      </c>
      <c r="AQ136" s="21" cm="1">
        <f t="array" aca="1" ref="AQ136" ca="1">INDIRECT("'"&amp;AK136&amp;"'!"&amp;$H$5&amp;$P$18)+0.01</f>
        <v>2.0999999999999998E-2</v>
      </c>
      <c r="AR136" s="23">
        <f ca="1">AO136-AO137</f>
        <v>-3.6000000000001364E-2</v>
      </c>
      <c r="AS136" s="7">
        <f ca="1">SQRT((AP136^2)+(AR136^2))</f>
        <v>0.10626852815978828</v>
      </c>
      <c r="AT136" s="7">
        <f ca="1">(AS136/(AL136-AL137))*365</f>
        <v>0.43582036829576093</v>
      </c>
      <c r="AU136" s="23">
        <f ca="1">AU137+AS136</f>
        <v>0.10626852815978828</v>
      </c>
      <c r="AV136" s="23">
        <f ca="1">AV137+AR136</f>
        <v>-3.6000000000001364E-2</v>
      </c>
      <c r="BK136" s="21" t="s">
        <v>384</v>
      </c>
      <c r="BL136" s="1">
        <v>42188</v>
      </c>
      <c r="BM136" s="34" cm="1">
        <f t="array" aca="1" ref="BM136" ca="1">INDIRECT("'"&amp;$B39&amp;"'!"&amp;(D$5&amp;$P$29))</f>
        <v>1844646.9658300001</v>
      </c>
      <c r="BN136" s="34" cm="1">
        <f t="array" aca="1" ref="BN136" ca="1">INDIRECT("'"&amp;$B39&amp;"'!"&amp;(E$5&amp;$P$29))</f>
        <v>5595690.2292745011</v>
      </c>
      <c r="BO136" s="34" cm="1">
        <f t="array" aca="1" ref="BO136" ca="1">INDIRECT("'"&amp;$B39&amp;"'!"&amp;(F$5&amp;$P$29))</f>
        <v>360.97354575000003</v>
      </c>
      <c r="BP136" s="7"/>
      <c r="BR136" s="21"/>
      <c r="BS136" s="21"/>
      <c r="BT136" s="21"/>
      <c r="BU136" s="21"/>
      <c r="BV136" s="21">
        <v>0</v>
      </c>
    </row>
    <row r="137" spans="4:74" x14ac:dyDescent="0.3">
      <c r="D137" s="21"/>
      <c r="E137" s="23">
        <f t="shared" ca="1" si="178"/>
        <v>2.3E-2</v>
      </c>
      <c r="F137" s="23">
        <f t="shared" ca="1" si="178"/>
        <v>1.6E-2</v>
      </c>
      <c r="G137" s="23">
        <f t="shared" ca="1" si="178"/>
        <v>1.6E-2</v>
      </c>
      <c r="H137" s="23">
        <f t="shared" ca="1" si="178"/>
        <v>1.4999999999999999E-2</v>
      </c>
      <c r="I137" s="23">
        <f t="shared" si="178"/>
        <v>0</v>
      </c>
      <c r="J137" s="23">
        <f t="shared" ca="1" si="178"/>
        <v>1.7000000000000001E-2</v>
      </c>
      <c r="K137" s="23"/>
      <c r="L137" s="23"/>
      <c r="M137" s="23"/>
      <c r="N137" s="21"/>
      <c r="O137" s="21"/>
      <c r="P137" s="21"/>
      <c r="Q137" s="21"/>
      <c r="R137" s="21"/>
      <c r="S137" s="21"/>
      <c r="T137" s="21"/>
      <c r="U137" s="21"/>
      <c r="V137" s="21"/>
      <c r="W137" s="21"/>
      <c r="X137" s="21"/>
      <c r="AK137" s="3" t="s">
        <v>384</v>
      </c>
      <c r="AL137" s="1">
        <v>42188</v>
      </c>
      <c r="AM137" s="23" cm="1">
        <f t="array" aca="1" ref="AM137" ca="1">INDIRECT("'"&amp;$B39&amp;"'!"&amp;(D$5&amp;$P$18))</f>
        <v>1844684.9408300002</v>
      </c>
      <c r="AN137" s="23" cm="1">
        <f t="array" aca="1" ref="AN137" ca="1">INDIRECT("'"&amp;$B39&amp;"'!"&amp;(E$5&amp;$P$18))</f>
        <v>5596192.1942745009</v>
      </c>
      <c r="AO137" s="23" cm="1">
        <f t="array" aca="1" ref="AO137" ca="1">INDIRECT("'"&amp;$B39&amp;"'!"&amp;(F$5&amp;$P$18))</f>
        <v>403.08254575000001</v>
      </c>
      <c r="AP137" s="21"/>
      <c r="AQ137" s="21"/>
      <c r="AR137" s="23"/>
      <c r="AS137" s="7"/>
      <c r="AT137" s="7"/>
      <c r="AU137" s="10"/>
      <c r="AV137" s="21">
        <v>0</v>
      </c>
      <c r="BP137" s="7"/>
    </row>
    <row r="138" spans="4:74" x14ac:dyDescent="0.3">
      <c r="E138" s="23">
        <f t="shared" si="178"/>
        <v>0</v>
      </c>
      <c r="F138" s="23">
        <f t="shared" ref="F138:J138" ca="1" si="185">F125</f>
        <v>1.3000000000000001E-2</v>
      </c>
      <c r="G138" s="23">
        <f t="shared" ca="1" si="185"/>
        <v>1.6E-2</v>
      </c>
      <c r="H138" s="23">
        <f t="shared" ca="1" si="185"/>
        <v>1.7000000000000001E-2</v>
      </c>
      <c r="I138" s="23">
        <f t="shared" si="185"/>
        <v>0</v>
      </c>
      <c r="J138" s="23">
        <f t="shared" ca="1" si="185"/>
        <v>1.6E-2</v>
      </c>
      <c r="AL138" s="1"/>
      <c r="BP138" s="7"/>
    </row>
    <row r="139" spans="4:74" x14ac:dyDescent="0.3">
      <c r="E139" s="23">
        <f t="shared" si="178"/>
        <v>0</v>
      </c>
      <c r="F139" s="23">
        <f t="shared" ref="F139:J139" si="186">F126</f>
        <v>0</v>
      </c>
      <c r="G139" s="23">
        <f t="shared" si="186"/>
        <v>0</v>
      </c>
      <c r="H139" s="23">
        <f t="shared" si="186"/>
        <v>0</v>
      </c>
      <c r="I139" s="23">
        <f t="shared" si="186"/>
        <v>0</v>
      </c>
      <c r="J139" s="23">
        <f t="shared" si="186"/>
        <v>0</v>
      </c>
      <c r="AL139" s="1"/>
      <c r="BP139" s="7"/>
    </row>
    <row r="140" spans="4:74" x14ac:dyDescent="0.3">
      <c r="E140" s="23"/>
      <c r="AK140" s="51" t="s">
        <v>575</v>
      </c>
      <c r="AL140" s="30"/>
      <c r="AM140" s="5" t="s">
        <v>541</v>
      </c>
      <c r="AN140" s="5" t="s">
        <v>542</v>
      </c>
      <c r="AO140" s="5" t="s">
        <v>543</v>
      </c>
      <c r="AP140" s="21" t="s">
        <v>427</v>
      </c>
      <c r="AQ140" s="21" t="s">
        <v>525</v>
      </c>
      <c r="AR140" s="21" t="s">
        <v>428</v>
      </c>
      <c r="AS140" s="21" t="s">
        <v>429</v>
      </c>
      <c r="AT140" s="21" t="s">
        <v>438</v>
      </c>
      <c r="AU140" s="21" t="s">
        <v>430</v>
      </c>
      <c r="AV140" s="33" t="s">
        <v>582</v>
      </c>
      <c r="BP140" s="7"/>
    </row>
    <row r="141" spans="4:74" x14ac:dyDescent="0.3">
      <c r="E141" s="23"/>
      <c r="AK141" s="3"/>
      <c r="AL141" s="1"/>
      <c r="AM141" s="23"/>
      <c r="AN141" s="23"/>
      <c r="AO141" s="23"/>
      <c r="AP141" s="21"/>
      <c r="AQ141" s="21"/>
      <c r="AR141" s="23"/>
      <c r="AS141" s="7"/>
      <c r="AT141" s="7"/>
      <c r="AU141" s="23"/>
      <c r="AV141" s="23"/>
      <c r="BK141" s="21" t="s">
        <v>592</v>
      </c>
      <c r="BL141" s="1"/>
      <c r="BM141" s="21" t="s">
        <v>541</v>
      </c>
      <c r="BN141" s="21" t="s">
        <v>542</v>
      </c>
      <c r="BO141" s="21" t="s">
        <v>543</v>
      </c>
      <c r="BP141" s="7" t="s">
        <v>427</v>
      </c>
      <c r="BQ141" s="7" t="s">
        <v>525</v>
      </c>
      <c r="BR141" s="21" t="s">
        <v>428</v>
      </c>
      <c r="BS141" s="21" t="s">
        <v>429</v>
      </c>
      <c r="BT141" s="21" t="s">
        <v>606</v>
      </c>
      <c r="BU141" s="21" t="s">
        <v>430</v>
      </c>
      <c r="BV141" s="33" t="s">
        <v>582</v>
      </c>
    </row>
    <row r="142" spans="4:74" x14ac:dyDescent="0.3">
      <c r="AK142" s="3"/>
      <c r="AL142" s="1"/>
      <c r="AM142" s="23"/>
      <c r="AN142" s="23"/>
      <c r="AO142" s="23"/>
      <c r="AP142" s="21"/>
      <c r="AQ142" s="21"/>
      <c r="AR142" s="23"/>
      <c r="AS142" s="7"/>
      <c r="AT142" s="7"/>
      <c r="AU142" s="23"/>
      <c r="AV142" s="23"/>
      <c r="BK142" s="21" t="s">
        <v>526</v>
      </c>
      <c r="BL142" s="1">
        <v>43817</v>
      </c>
      <c r="BM142" s="34" cm="1">
        <f t="array" aca="1" ref="BM142" ca="1">INDIRECT("'"&amp;$B27&amp;"'!"&amp;(D$5&amp;$P$30))</f>
        <v>1844629.363438</v>
      </c>
      <c r="BN142" s="34" cm="1">
        <f t="array" aca="1" ref="BN142" ca="1">INDIRECT("'"&amp;$B27&amp;"'!"&amp;(E$5&amp;$P$30))</f>
        <v>5595607.6544620004</v>
      </c>
      <c r="BO142" s="34" cm="1">
        <f t="array" aca="1" ref="BO142" ca="1">INDIRECT("'"&amp;$B27&amp;"'!"&amp;(F$5&amp;$P$30))</f>
        <v>331.71059600000001</v>
      </c>
      <c r="BP142" s="7">
        <f ca="1">SQRT(((BM142-BM143)^2)+((BN142-BN143)^2))</f>
        <v>3.0002848508021005</v>
      </c>
      <c r="BQ142" s="7" cm="1">
        <f t="array" aca="1" ref="BQ142" ca="1">INDIRECT("'"&amp;BK142&amp;"'!"&amp;$H$5&amp;$P$30)+0.01</f>
        <v>3.5746E-2</v>
      </c>
      <c r="BR142" s="23">
        <f ca="1">BO142-BO143</f>
        <v>-0.84073300000000017</v>
      </c>
      <c r="BS142" s="7">
        <f ca="1">SQRT((BP142^2)+(BR142^2))</f>
        <v>3.1158531998862822</v>
      </c>
      <c r="BT142" s="7">
        <f ca="1">(BS142/(BL142-BL143))*31</f>
        <v>0.22204930849764309</v>
      </c>
      <c r="BU142" s="23">
        <f ca="1">BU143+BS142</f>
        <v>12.793317805636217</v>
      </c>
      <c r="BV142" s="23">
        <f ca="1">BV143+BR142</f>
        <v>-3.7309497499999793</v>
      </c>
    </row>
    <row r="143" spans="4:74" x14ac:dyDescent="0.3">
      <c r="D143" s="21"/>
      <c r="E143" s="21">
        <v>16</v>
      </c>
      <c r="F143" s="21">
        <v>19</v>
      </c>
      <c r="G143" s="21">
        <v>20</v>
      </c>
      <c r="H143" s="21">
        <v>28</v>
      </c>
      <c r="I143" s="21">
        <v>29</v>
      </c>
      <c r="J143" s="21"/>
      <c r="K143" s="21"/>
      <c r="L143" s="21"/>
      <c r="M143" s="21"/>
      <c r="N143" s="21"/>
      <c r="O143" s="21"/>
      <c r="P143" s="21">
        <v>16</v>
      </c>
      <c r="Q143" s="21">
        <v>19</v>
      </c>
      <c r="R143" s="21">
        <v>20</v>
      </c>
      <c r="S143" s="21">
        <v>28</v>
      </c>
      <c r="T143" s="21">
        <v>29</v>
      </c>
      <c r="U143" s="21"/>
      <c r="AK143" s="22" t="s">
        <v>375</v>
      </c>
      <c r="AL143" s="1">
        <v>43186</v>
      </c>
      <c r="AM143" s="23" cm="1">
        <f t="array" aca="1" ref="AM143" ca="1">INDIRECT("'"&amp;$B29&amp;"'!"&amp;(D$5&amp;$P$19))</f>
        <v>1844488.3019980001</v>
      </c>
      <c r="AN143" s="23" cm="1">
        <f t="array" aca="1" ref="AN143" ca="1">INDIRECT("'"&amp;$B29&amp;"'!"&amp;(E$5&amp;$P$19))</f>
        <v>5596189.7617180003</v>
      </c>
      <c r="AO143" s="23" cm="1">
        <f t="array" aca="1" ref="AO143" ca="1">INDIRECT("'"&amp;$B29&amp;"'!"&amp;(F$5&amp;$P$19))</f>
        <v>400.87438400000002</v>
      </c>
      <c r="AP143" s="21">
        <f t="shared" ref="AP143:AP151" ca="1" si="187">SQRT(((AM143-AM144)^2)+((AN143-AN144)^2))</f>
        <v>0.27592303163151277</v>
      </c>
      <c r="AQ143" s="21" cm="1">
        <f t="array" aca="1" ref="AQ143" ca="1">INDIRECT("'"&amp;AK143&amp;"'!"&amp;$H$5&amp;$P$19)+0.01</f>
        <v>2.7968E-2</v>
      </c>
      <c r="AR143" s="23">
        <f t="shared" ref="AR143:AR151" ca="1" si="188">AO143-AO144</f>
        <v>-0.13045599999998103</v>
      </c>
      <c r="AS143" s="7">
        <f ca="1">SQRT((AP143^2)+(AR143^2))</f>
        <v>0.30520859640698172</v>
      </c>
      <c r="AT143" s="7">
        <f t="shared" ref="AT143:AT152" ca="1" si="189">(AS143/(AL143-AL144))*365</f>
        <v>0.66707268076975046</v>
      </c>
      <c r="AU143" s="23">
        <f t="shared" ref="AU143:AU144" ca="1" si="190">AU144+AS143</f>
        <v>1.2939299569780043</v>
      </c>
      <c r="AV143" s="23">
        <f t="shared" ref="AV143:AV151" ca="1" si="191">AV144+AR143</f>
        <v>-0.32316174999999703</v>
      </c>
      <c r="BK143" s="21" t="s">
        <v>373</v>
      </c>
      <c r="BL143" s="1">
        <v>43382</v>
      </c>
      <c r="BM143" s="34" cm="1">
        <f t="array" aca="1" ref="BM143" ca="1">INDIRECT("'"&amp;$B28&amp;"'!"&amp;(D$5&amp;$P$30))</f>
        <v>1844629.443554</v>
      </c>
      <c r="BN143" s="34" cm="1">
        <f t="array" aca="1" ref="BN143" ca="1">INDIRECT("'"&amp;$B28&amp;"'!"&amp;(E$5&amp;$P$30))</f>
        <v>5595610.6536769997</v>
      </c>
      <c r="BO143" s="34" cm="1">
        <f t="array" aca="1" ref="BO143" ca="1">INDIRECT("'"&amp;$B28&amp;"'!"&amp;(F$5&amp;$P$30))</f>
        <v>332.55132900000001</v>
      </c>
      <c r="BP143" s="7">
        <f t="shared" ref="BP143:BP153" ca="1" si="192">SQRT(((BM143-BM144)^2)+((BN143-BN144)^2))</f>
        <v>1.9104379363097868</v>
      </c>
      <c r="BQ143" s="7" cm="1">
        <f t="array" aca="1" ref="BQ143" ca="1">INDIRECT("'"&amp;BK143&amp;"'!"&amp;$H$5&amp;$P$30)+0.01</f>
        <v>3.3084000000000002E-2</v>
      </c>
      <c r="BR143" s="23">
        <f t="shared" ref="BR143:BR153" ca="1" si="193">BO143-BO144</f>
        <v>-0.4930219999999963</v>
      </c>
      <c r="BS143" s="7">
        <f t="shared" ref="BS143:BS153" ca="1" si="194">SQRT((BP143^2)+(BR143^2))</f>
        <v>1.9730290927848968</v>
      </c>
      <c r="BT143" s="7">
        <f ca="1">(BS143/(BL143-BL144))*31</f>
        <v>0.31206072385883571</v>
      </c>
      <c r="BU143" s="23">
        <f t="shared" ref="BU143:BU153" ca="1" si="195">BU144+BS143</f>
        <v>9.6774646057499361</v>
      </c>
      <c r="BV143" s="23">
        <f t="shared" ref="BV143:BV153" ca="1" si="196">BV144+BR143</f>
        <v>-2.8902167499999791</v>
      </c>
    </row>
    <row r="144" spans="4:74" x14ac:dyDescent="0.3">
      <c r="D144" s="46">
        <v>43817</v>
      </c>
      <c r="E144" s="23"/>
      <c r="F144" s="23">
        <f t="shared" ref="F144:F150" ca="1" si="197">BU124</f>
        <v>7.8405091506071987</v>
      </c>
      <c r="G144" s="23">
        <f ca="1">BU142</f>
        <v>12.793317805636217</v>
      </c>
      <c r="H144" s="23">
        <f ca="1">BU238</f>
        <v>4.5952102907853254</v>
      </c>
      <c r="I144" s="23">
        <f ca="1">BU256</f>
        <v>12.097955657454968</v>
      </c>
      <c r="J144" s="23"/>
      <c r="K144" s="23"/>
      <c r="L144" s="23"/>
      <c r="M144" s="23"/>
      <c r="N144" s="21"/>
      <c r="O144" s="46">
        <v>43817</v>
      </c>
      <c r="P144" s="23"/>
      <c r="Q144" s="23">
        <f t="shared" ref="Q144:Q150" ca="1" si="198">BT124</f>
        <v>0.13190174627501636</v>
      </c>
      <c r="R144" s="23">
        <f ca="1">BT142</f>
        <v>0.22204930849764309</v>
      </c>
      <c r="S144" s="23">
        <f ca="1">BT238</f>
        <v>6.6402873272155244E-2</v>
      </c>
      <c r="T144" s="23">
        <f ca="1">BT256</f>
        <v>0.54283121448704363</v>
      </c>
      <c r="U144" s="23"/>
      <c r="AK144" s="3" t="s">
        <v>374</v>
      </c>
      <c r="AL144" s="1">
        <v>43019</v>
      </c>
      <c r="AM144" s="23" cm="1">
        <f t="array" aca="1" ref="AM144" ca="1">INDIRECT("'"&amp;$B30&amp;"'!"&amp;(D$5&amp;$P$19))</f>
        <v>1844488.488049</v>
      </c>
      <c r="AN144" s="23" cm="1">
        <f t="array" aca="1" ref="AN144" ca="1">INDIRECT("'"&amp;$B30&amp;"'!"&amp;(E$5&amp;$P$19))</f>
        <v>5596189.9654789995</v>
      </c>
      <c r="AO144" s="23" cm="1">
        <f t="array" aca="1" ref="AO144" ca="1">INDIRECT("'"&amp;$B30&amp;"'!"&amp;(F$5&amp;$P$19))</f>
        <v>401.00484</v>
      </c>
      <c r="AP144" s="21">
        <f t="shared" ca="1" si="187"/>
        <v>0.18568386150862856</v>
      </c>
      <c r="AQ144" s="21" cm="1">
        <f t="array" aca="1" ref="AQ144" ca="1">INDIRECT("'"&amp;AK144&amp;"'!"&amp;$H$5&amp;$P$19)+0.01</f>
        <v>3.3281999999999999E-2</v>
      </c>
      <c r="AR144" s="23">
        <f t="shared" ca="1" si="188"/>
        <v>-9.4251999999983127E-2</v>
      </c>
      <c r="AS144" s="7">
        <f t="shared" ref="AS144:AS151" ca="1" si="199">SQRT((AP144^2)+(AR144^2))</f>
        <v>0.20823528982560177</v>
      </c>
      <c r="AT144" s="7">
        <f t="shared" ca="1" si="189"/>
        <v>0.73082577679177552</v>
      </c>
      <c r="AU144" s="23">
        <f t="shared" ca="1" si="190"/>
        <v>0.98872136057102245</v>
      </c>
      <c r="AV144" s="23">
        <f t="shared" ca="1" si="191"/>
        <v>-0.192705750000016</v>
      </c>
      <c r="BK144" s="21" t="s">
        <v>375</v>
      </c>
      <c r="BL144" s="1">
        <v>43186</v>
      </c>
      <c r="BM144" s="34" cm="1">
        <f t="array" aca="1" ref="BM144" ca="1">INDIRECT("'"&amp;$B29&amp;"'!"&amp;(D$5&amp;$P$30))</f>
        <v>1844629.416829</v>
      </c>
      <c r="BN144" s="34" cm="1">
        <f t="array" aca="1" ref="BN144" ca="1">INDIRECT("'"&amp;$B29&amp;"'!"&amp;(E$5&amp;$P$30))</f>
        <v>5595612.5639279997</v>
      </c>
      <c r="BO144" s="34" cm="1">
        <f t="array" aca="1" ref="BO144" ca="1">INDIRECT("'"&amp;$B29&amp;"'!"&amp;(F$5&amp;$P$30))</f>
        <v>333.04435100000001</v>
      </c>
      <c r="BP144" s="7">
        <f ca="1">SQRT(((BM144-BM146)^2)+((BN144-BN146)^2))</f>
        <v>2.2500644413053381</v>
      </c>
      <c r="BQ144" s="7" cm="1">
        <f t="array" aca="1" ref="BQ144" ca="1">INDIRECT("'"&amp;BK144&amp;"'!"&amp;$H$5&amp;$P$30)+0.01</f>
        <v>3.1903000000000001E-2</v>
      </c>
      <c r="BR144" s="23">
        <f ca="1">BO144-BO146</f>
        <v>-0.53761300000002166</v>
      </c>
      <c r="BS144" s="7">
        <f t="shared" ca="1" si="194"/>
        <v>2.313399604001809</v>
      </c>
      <c r="BT144" s="7">
        <f ca="1">(BS144/(BL144-BL146))*31</f>
        <v>0.26463242702603718</v>
      </c>
      <c r="BU144" s="23">
        <f ca="1">BU146+BS144</f>
        <v>7.7044355129650386</v>
      </c>
      <c r="BV144" s="23">
        <f ca="1">BV146+BR144</f>
        <v>-2.3971947499999828</v>
      </c>
    </row>
    <row r="145" spans="4:74" x14ac:dyDescent="0.3">
      <c r="D145" s="46">
        <v>43382</v>
      </c>
      <c r="E145" s="23"/>
      <c r="F145" s="23">
        <f t="shared" ca="1" si="197"/>
        <v>5.9896298077158399</v>
      </c>
      <c r="G145" s="23">
        <f ca="1">BU143</f>
        <v>9.6774646057499361</v>
      </c>
      <c r="H145" s="23">
        <f ca="1">BU239</f>
        <v>3.6634280368050822</v>
      </c>
      <c r="I145" s="23">
        <f ca="1">BU257</f>
        <v>8.6658615271497883</v>
      </c>
      <c r="J145" s="23"/>
      <c r="K145" s="23"/>
      <c r="L145" s="23"/>
      <c r="M145" s="23"/>
      <c r="N145" s="21"/>
      <c r="O145" s="46">
        <v>43382</v>
      </c>
      <c r="P145" s="23"/>
      <c r="Q145" s="23">
        <f t="shared" ca="1" si="198"/>
        <v>0.19136492937457572</v>
      </c>
      <c r="R145" s="23">
        <f ca="1">BT143</f>
        <v>0.31206072385883571</v>
      </c>
      <c r="S145" s="23">
        <f ca="1">BT239</f>
        <v>0.12042509964188652</v>
      </c>
      <c r="T145" s="23">
        <f ca="1">BT257</f>
        <v>0.42360287655457585</v>
      </c>
      <c r="U145" s="23"/>
      <c r="AK145" s="3" t="s">
        <v>376</v>
      </c>
      <c r="AL145" s="1">
        <v>42915</v>
      </c>
      <c r="AM145" s="23" cm="1">
        <f t="array" aca="1" ref="AM145" ca="1">INDIRECT("'"&amp;$B31&amp;"'!"&amp;(D$5&amp;$P$19))</f>
        <v>1844488.4974839999</v>
      </c>
      <c r="AN145" s="23" cm="1">
        <f t="array" aca="1" ref="AN145" ca="1">INDIRECT("'"&amp;$B31&amp;"'!"&amp;(E$5&amp;$P$19))</f>
        <v>5596190.1509229997</v>
      </c>
      <c r="AO145" s="23" cm="1">
        <f t="array" aca="1" ref="AO145" ca="1">INDIRECT("'"&amp;$B31&amp;"'!"&amp;(F$5&amp;$P$19))</f>
        <v>401.09909199999998</v>
      </c>
      <c r="AP145" s="21">
        <f t="shared" ca="1" si="187"/>
        <v>0.10227033768395971</v>
      </c>
      <c r="AQ145" s="21" cm="1">
        <f t="array" aca="1" ref="AQ145" ca="1">INDIRECT("'"&amp;AK145&amp;"'!"&amp;$H$5&amp;$P$19)+0.01</f>
        <v>3.6083999999999998E-2</v>
      </c>
      <c r="AR145" s="23">
        <f t="shared" ca="1" si="188"/>
        <v>4.2282999999997628E-2</v>
      </c>
      <c r="AS145" s="7">
        <f t="shared" ca="1" si="199"/>
        <v>0.1106664992623827</v>
      </c>
      <c r="AT145" s="7">
        <f t="shared" ca="1" si="189"/>
        <v>0.39993338842346227</v>
      </c>
      <c r="AU145" s="23">
        <f ca="1">AU146+AS145</f>
        <v>0.78048607074542065</v>
      </c>
      <c r="AV145" s="23">
        <f t="shared" ca="1" si="191"/>
        <v>-9.8453750000032869E-2</v>
      </c>
      <c r="BK145" s="21" t="s">
        <v>374</v>
      </c>
      <c r="BL145" s="1"/>
      <c r="BM145" s="34"/>
      <c r="BN145" s="34"/>
      <c r="BO145" s="34"/>
      <c r="BP145" s="7"/>
      <c r="BR145" s="23"/>
      <c r="BS145" s="7"/>
      <c r="BT145" s="7"/>
      <c r="BU145" s="23"/>
      <c r="BV145" s="23"/>
    </row>
    <row r="146" spans="4:74" x14ac:dyDescent="0.3">
      <c r="D146" s="46">
        <v>43186</v>
      </c>
      <c r="E146" s="23"/>
      <c r="F146" s="23">
        <f t="shared" ca="1" si="197"/>
        <v>4.7797096090894904</v>
      </c>
      <c r="G146" s="23">
        <f ca="1">BU144</f>
        <v>7.7044355129650386</v>
      </c>
      <c r="H146" s="23"/>
      <c r="I146" s="23">
        <f ca="1">BU258</f>
        <v>6.3838718373235253</v>
      </c>
      <c r="J146" s="23"/>
      <c r="K146" s="23"/>
      <c r="L146" s="23"/>
      <c r="M146" s="23"/>
      <c r="N146" s="21"/>
      <c r="O146" s="46">
        <v>43186</v>
      </c>
      <c r="P146" s="23"/>
      <c r="Q146" s="23">
        <f t="shared" ca="1" si="198"/>
        <v>0.14098290364800373</v>
      </c>
      <c r="R146" s="23">
        <f ca="1">BT144</f>
        <v>0.26463242702603718</v>
      </c>
      <c r="S146" s="23"/>
      <c r="T146" s="23">
        <f ca="1">BT258</f>
        <v>1.1279168219136415</v>
      </c>
      <c r="U146" s="23"/>
      <c r="AK146" s="3" t="s">
        <v>377</v>
      </c>
      <c r="AL146" s="1">
        <v>42814</v>
      </c>
      <c r="AM146" s="23" cm="1">
        <f t="array" aca="1" ref="AM146" ca="1">INDIRECT("'"&amp;$B32&amp;"'!"&amp;(D$5&amp;$P$19))</f>
        <v>1844488.537301</v>
      </c>
      <c r="AN146" s="23" cm="1">
        <f t="array" aca="1" ref="AN146" ca="1">INDIRECT("'"&amp;$B32&amp;"'!"&amp;(E$5&amp;$P$19))</f>
        <v>5596190.2451240001</v>
      </c>
      <c r="AO146" s="23" cm="1">
        <f t="array" aca="1" ref="AO146" ca="1">INDIRECT("'"&amp;$B32&amp;"'!"&amp;(F$5&amp;$P$19))</f>
        <v>401.05680899999999</v>
      </c>
      <c r="AP146" s="21">
        <f t="shared" ca="1" si="187"/>
        <v>4.2218652743672702E-2</v>
      </c>
      <c r="AQ146" s="21" cm="1">
        <f t="array" aca="1" ref="AQ146" ca="1">INDIRECT("'"&amp;AK146&amp;"'!"&amp;$H$5&amp;$P$19)+0.01</f>
        <v>3.2298E-2</v>
      </c>
      <c r="AR146" s="23">
        <f t="shared" ca="1" si="188"/>
        <v>-3.6962000000016815E-2</v>
      </c>
      <c r="AS146" s="7">
        <f t="shared" ca="1" si="199"/>
        <v>5.6112423610926533E-2</v>
      </c>
      <c r="AT146" s="7">
        <f t="shared" ca="1" si="189"/>
        <v>0.21334411060404357</v>
      </c>
      <c r="AU146" s="23">
        <f t="shared" ref="AU146:AU151" ca="1" si="200">AU147+AS146</f>
        <v>0.66981957148303795</v>
      </c>
      <c r="AV146" s="23">
        <f t="shared" ca="1" si="191"/>
        <v>-0.1407367500000305</v>
      </c>
      <c r="BK146" s="21" t="s">
        <v>376</v>
      </c>
      <c r="BL146" s="1">
        <v>42915</v>
      </c>
      <c r="BM146" s="34" cm="1">
        <f t="array" aca="1" ref="BM146" ca="1">INDIRECT("'"&amp;$B31&amp;"'!"&amp;(D$5&amp;$P$30))</f>
        <v>1844629.354935</v>
      </c>
      <c r="BN146" s="34" cm="1">
        <f t="array" aca="1" ref="BN146" ca="1">INDIRECT("'"&amp;$B31&amp;"'!"&amp;(E$5&amp;$P$30))</f>
        <v>5595614.8131410005</v>
      </c>
      <c r="BO146" s="34" cm="1">
        <f t="array" aca="1" ref="BO146" ca="1">INDIRECT("'"&amp;$B31&amp;"'!"&amp;(F$5&amp;$P$30))</f>
        <v>333.58196400000003</v>
      </c>
      <c r="BP146" s="7">
        <f t="shared" ca="1" si="192"/>
        <v>0.80922941075534849</v>
      </c>
      <c r="BQ146" s="7" cm="1">
        <f t="array" aca="1" ref="BQ146" ca="1">INDIRECT("'"&amp;BK146&amp;"'!"&amp;$H$5&amp;$P$30)+0.01</f>
        <v>5.2288000000000001E-2</v>
      </c>
      <c r="BR146" s="23">
        <f t="shared" ca="1" si="193"/>
        <v>-0.29668499999996811</v>
      </c>
      <c r="BS146" s="7">
        <f t="shared" ca="1" si="194"/>
        <v>0.86190151900111511</v>
      </c>
      <c r="BT146" s="7">
        <f ca="1">(BS146/(BL146-BL147))*31</f>
        <v>0.26454403058450066</v>
      </c>
      <c r="BU146" s="23">
        <f t="shared" ca="1" si="195"/>
        <v>5.3910359089632296</v>
      </c>
      <c r="BV146" s="23">
        <f t="shared" ca="1" si="196"/>
        <v>-1.8595817499999612</v>
      </c>
    </row>
    <row r="147" spans="4:74" x14ac:dyDescent="0.3">
      <c r="D147" s="46">
        <v>43019</v>
      </c>
      <c r="E147" s="23"/>
      <c r="F147" s="23">
        <f t="shared" ca="1" si="197"/>
        <v>4.0202210636308902</v>
      </c>
      <c r="G147" s="23"/>
      <c r="H147" s="23">
        <f ca="1">BU241</f>
        <v>2.2532889668049267</v>
      </c>
      <c r="I147" s="23">
        <f ca="1">BU259</f>
        <v>2.5998928218713089</v>
      </c>
      <c r="J147" s="23"/>
      <c r="K147" s="23"/>
      <c r="L147" s="23"/>
      <c r="M147" s="23"/>
      <c r="N147" s="21"/>
      <c r="O147" s="46">
        <v>43019</v>
      </c>
      <c r="P147" s="23"/>
      <c r="Q147" s="23">
        <f t="shared" ca="1" si="198"/>
        <v>0.23861547712097697</v>
      </c>
      <c r="R147" s="23"/>
      <c r="S147" s="23">
        <f ca="1">BT241</f>
        <v>0.17835229594171598</v>
      </c>
      <c r="T147" s="23">
        <f ca="1">BT259</f>
        <v>0.79798690572287689</v>
      </c>
      <c r="U147" s="23"/>
      <c r="AK147" s="3" t="s">
        <v>378</v>
      </c>
      <c r="AL147" s="1">
        <v>42718</v>
      </c>
      <c r="AM147" s="23" cm="1">
        <f t="array" aca="1" ref="AM147" ca="1">INDIRECT("'"&amp;$B33&amp;"'!"&amp;(D$5&amp;$P$19))</f>
        <v>1844488.5247599999</v>
      </c>
      <c r="AN147" s="23" cm="1">
        <f t="array" aca="1" ref="AN147" ca="1">INDIRECT("'"&amp;$B33&amp;"'!"&amp;(E$5&amp;$P$19))</f>
        <v>5596190.285437</v>
      </c>
      <c r="AO147" s="23" cm="1">
        <f t="array" aca="1" ref="AO147" ca="1">INDIRECT("'"&amp;$B33&amp;"'!"&amp;(F$5&amp;$P$19))</f>
        <v>401.093771</v>
      </c>
      <c r="AP147" s="21">
        <f t="shared" ca="1" si="187"/>
        <v>9.3300234346576277E-2</v>
      </c>
      <c r="AQ147" s="21" cm="1">
        <f t="array" aca="1" ref="AQ147" ca="1">INDIRECT("'"&amp;AK147&amp;"'!"&amp;$H$5&amp;$P$19)+0.01</f>
        <v>2.3532000000000001E-2</v>
      </c>
      <c r="AR147" s="23">
        <f t="shared" ca="1" si="188"/>
        <v>1.6614000000004125E-2</v>
      </c>
      <c r="AS147" s="7">
        <f t="shared" ca="1" si="199"/>
        <v>9.4767920337665887E-2</v>
      </c>
      <c r="AT147" s="7">
        <f t="shared" ca="1" si="189"/>
        <v>0.66519790237015475</v>
      </c>
      <c r="AU147" s="23">
        <f t="shared" ca="1" si="200"/>
        <v>0.61370714787211145</v>
      </c>
      <c r="AV147" s="23">
        <f t="shared" ca="1" si="191"/>
        <v>-0.10377475000001368</v>
      </c>
      <c r="BK147" s="21" t="s">
        <v>377</v>
      </c>
      <c r="BL147" s="1">
        <v>42814</v>
      </c>
      <c r="BM147" s="34" cm="1">
        <f t="array" aca="1" ref="BM147" ca="1">INDIRECT("'"&amp;$B32&amp;"'!"&amp;(D$5&amp;$P$30))</f>
        <v>1844629.303971</v>
      </c>
      <c r="BN147" s="34" cm="1">
        <f t="array" aca="1" ref="BN147" ca="1">INDIRECT("'"&amp;$B32&amp;"'!"&amp;(E$5&amp;$P$30))</f>
        <v>5595615.6207640003</v>
      </c>
      <c r="BO147" s="34" cm="1">
        <f t="array" aca="1" ref="BO147" ca="1">INDIRECT("'"&amp;$B32&amp;"'!"&amp;(F$5&amp;$P$30))</f>
        <v>333.878649</v>
      </c>
      <c r="BP147" s="7">
        <f t="shared" ca="1" si="192"/>
        <v>0.28792470192338643</v>
      </c>
      <c r="BQ147" s="7" cm="1">
        <f t="array" aca="1" ref="BQ147" ca="1">INDIRECT("'"&amp;BK147&amp;"'!"&amp;$H$5&amp;$P$30)+0.01</f>
        <v>4.8125000000000001E-2</v>
      </c>
      <c r="BR147" s="23">
        <f t="shared" ca="1" si="193"/>
        <v>-0.11539700000002995</v>
      </c>
      <c r="BS147" s="7">
        <f t="shared" ca="1" si="194"/>
        <v>0.31018881602449472</v>
      </c>
      <c r="BT147" s="7">
        <f ca="1">(BS147/(BL147-BL148))*31</f>
        <v>0.10016513850790976</v>
      </c>
      <c r="BU147" s="23">
        <f t="shared" ca="1" si="195"/>
        <v>4.5291343899621141</v>
      </c>
      <c r="BV147" s="23">
        <f t="shared" ca="1" si="196"/>
        <v>-1.5628967499999931</v>
      </c>
    </row>
    <row r="148" spans="4:74" x14ac:dyDescent="0.3">
      <c r="D148" s="46">
        <v>42915</v>
      </c>
      <c r="E148" s="23"/>
      <c r="F148" s="23">
        <f t="shared" ca="1" si="197"/>
        <v>3.2197046242572895</v>
      </c>
      <c r="G148" s="23">
        <f ca="1">BU146</f>
        <v>5.3910359089632296</v>
      </c>
      <c r="H148" s="23">
        <f ca="1">BU242</f>
        <v>1.6549457804198149</v>
      </c>
      <c r="I148" s="23">
        <f>BU260</f>
        <v>0</v>
      </c>
      <c r="J148" s="23"/>
      <c r="K148" s="23"/>
      <c r="L148" s="23"/>
      <c r="M148" s="23"/>
      <c r="N148" s="21"/>
      <c r="O148" s="46">
        <v>42915</v>
      </c>
      <c r="P148" s="23"/>
      <c r="Q148" s="23">
        <f t="shared" ca="1" si="198"/>
        <v>0.1399277132375446</v>
      </c>
      <c r="R148" s="23">
        <f ca="1">BT146</f>
        <v>0.26454403058450066</v>
      </c>
      <c r="S148" s="23">
        <f ca="1">BT242</f>
        <v>7.0000612922268488E-2</v>
      </c>
      <c r="T148" s="23">
        <f>BT260</f>
        <v>0</v>
      </c>
      <c r="U148" s="23"/>
      <c r="AK148" s="3" t="s">
        <v>379</v>
      </c>
      <c r="AL148" s="1">
        <v>42666</v>
      </c>
      <c r="AM148" s="23" cm="1">
        <f t="array" aca="1" ref="AM148" ca="1">INDIRECT("'"&amp;$B34&amp;"'!"&amp;(D$5&amp;$P$19))</f>
        <v>1844488.5712979999</v>
      </c>
      <c r="AN148" s="23" cm="1">
        <f t="array" aca="1" ref="AN148" ca="1">INDIRECT("'"&amp;$B34&amp;"'!"&amp;(E$5&amp;$P$19))</f>
        <v>5596190.3663020004</v>
      </c>
      <c r="AO148" s="23" cm="1">
        <f t="array" aca="1" ref="AO148" ca="1">INDIRECT("'"&amp;$B34&amp;"'!"&amp;(F$5&amp;$P$19))</f>
        <v>401.077157</v>
      </c>
      <c r="AP148" s="21">
        <f t="shared" ca="1" si="187"/>
        <v>0.17482116900147726</v>
      </c>
      <c r="AQ148" s="21" cm="1">
        <f t="array" aca="1" ref="AQ148" ca="1">INDIRECT("'"&amp;AK148&amp;"'!"&amp;$H$5&amp;$P$19)+0.01</f>
        <v>3.5445999999999998E-2</v>
      </c>
      <c r="AR148" s="23">
        <f t="shared" ca="1" si="188"/>
        <v>-3.3687000000043099E-2</v>
      </c>
      <c r="AS148" s="7">
        <f t="shared" ca="1" si="199"/>
        <v>0.17803722953372977</v>
      </c>
      <c r="AT148" s="7">
        <f t="shared" ca="1" si="189"/>
        <v>0.62484219980587852</v>
      </c>
      <c r="AU148" s="23">
        <f t="shared" ca="1" si="200"/>
        <v>0.51893922753444555</v>
      </c>
      <c r="AV148" s="23">
        <f t="shared" ca="1" si="191"/>
        <v>-0.12038875000001781</v>
      </c>
      <c r="BK148" s="21" t="s">
        <v>378</v>
      </c>
      <c r="BL148" s="1">
        <v>42718</v>
      </c>
      <c r="BM148" s="34" cm="1">
        <f t="array" aca="1" ref="BM148" ca="1">INDIRECT("'"&amp;$B33&amp;"'!"&amp;(D$5&amp;$P$30))</f>
        <v>1844629.2677869999</v>
      </c>
      <c r="BN148" s="34" cm="1">
        <f t="array" aca="1" ref="BN148" ca="1">INDIRECT("'"&amp;$B33&amp;"'!"&amp;(E$5&amp;$P$30))</f>
        <v>5595615.9064060003</v>
      </c>
      <c r="BO148" s="34" cm="1">
        <f t="array" aca="1" ref="BO148" ca="1">INDIRECT("'"&amp;$B33&amp;"'!"&amp;(F$5&amp;$P$30))</f>
        <v>333.99404600000003</v>
      </c>
      <c r="BP148" s="7">
        <f ca="1">SQRT(((BM148-BM150)^2)+((BN148-BN150)^2))</f>
        <v>1.4748207241629383</v>
      </c>
      <c r="BQ148" s="7" cm="1">
        <f t="array" aca="1" ref="BQ148" ca="1">INDIRECT("'"&amp;BK148&amp;"'!"&amp;$H$5&amp;$P$30)+0.01</f>
        <v>3.5723999999999999E-2</v>
      </c>
      <c r="BR148" s="23">
        <f ca="1">BO148-BO150</f>
        <v>-0.45236899999997604</v>
      </c>
      <c r="BS148" s="7">
        <f t="shared" ca="1" si="194"/>
        <v>1.5426386098440139</v>
      </c>
      <c r="BT148" s="7">
        <f ca="1">(BS148/(BL148-BL150))*31</f>
        <v>0.30654998016131046</v>
      </c>
      <c r="BU148" s="23">
        <f ca="1">BU150+BS148</f>
        <v>4.2189455739376198</v>
      </c>
      <c r="BV148" s="23">
        <f ca="1">BV150+BR148</f>
        <v>-1.4474997499999631</v>
      </c>
    </row>
    <row r="149" spans="4:74" x14ac:dyDescent="0.3">
      <c r="D149" s="46">
        <v>42814</v>
      </c>
      <c r="E149" s="23"/>
      <c r="F149" s="23">
        <f t="shared" ca="1" si="197"/>
        <v>2.7638111069349667</v>
      </c>
      <c r="G149" s="23">
        <f ca="1">BU147</f>
        <v>4.5291343899621141</v>
      </c>
      <c r="H149" s="23">
        <f ca="1">BU243</f>
        <v>1.4268792673504884</v>
      </c>
      <c r="I149" s="23"/>
      <c r="J149" s="23"/>
      <c r="K149" s="23"/>
      <c r="L149" s="23"/>
      <c r="M149" s="23"/>
      <c r="N149" s="21"/>
      <c r="O149" s="46">
        <v>42814</v>
      </c>
      <c r="P149" s="23"/>
      <c r="Q149" s="23">
        <f t="shared" ca="1" si="198"/>
        <v>7.2463227904576488E-2</v>
      </c>
      <c r="R149" s="23">
        <f ca="1">BT147</f>
        <v>0.10016513850790976</v>
      </c>
      <c r="S149" s="23">
        <f ca="1">BT243</f>
        <v>2.6863199095609955E-2</v>
      </c>
      <c r="T149" s="23"/>
      <c r="U149" s="23"/>
      <c r="AK149" s="3" t="s">
        <v>380</v>
      </c>
      <c r="AL149" s="1">
        <v>42562</v>
      </c>
      <c r="AM149" s="23" cm="1">
        <f t="array" aca="1" ref="AM149" ca="1">INDIRECT("'"&amp;$B35&amp;"'!"&amp;(D$5&amp;$P$19))</f>
        <v>1844488.574854</v>
      </c>
      <c r="AN149" s="23" cm="1">
        <f t="array" aca="1" ref="AN149" ca="1">INDIRECT("'"&amp;$B35&amp;"'!"&amp;(E$5&amp;$P$19))</f>
        <v>5596190.5410869997</v>
      </c>
      <c r="AO149" s="23" cm="1">
        <f t="array" aca="1" ref="AO149" ca="1">INDIRECT("'"&amp;$B35&amp;"'!"&amp;(F$5&amp;$P$19))</f>
        <v>401.11084400000004</v>
      </c>
      <c r="AP149" s="21">
        <f t="shared" ca="1" si="187"/>
        <v>0.1207765429561206</v>
      </c>
      <c r="AQ149" s="21" cm="1">
        <f t="array" aca="1" ref="AQ149" ca="1">INDIRECT("'"&amp;AK149&amp;"'!"&amp;$H$5&amp;$P$19)+0.01</f>
        <v>2.5624000000000001E-2</v>
      </c>
      <c r="AR149" s="23">
        <f t="shared" ca="1" si="188"/>
        <v>-3.4148749999985739E-2</v>
      </c>
      <c r="AS149" s="7">
        <f t="shared" ca="1" si="199"/>
        <v>0.12551139571765255</v>
      </c>
      <c r="AT149" s="7">
        <f t="shared" ca="1" si="189"/>
        <v>0.39492809859433781</v>
      </c>
      <c r="AU149" s="23">
        <f t="shared" ca="1" si="200"/>
        <v>0.34090199800071574</v>
      </c>
      <c r="AV149" s="23">
        <f t="shared" ca="1" si="191"/>
        <v>-8.6701749999974709E-2</v>
      </c>
      <c r="BK149" s="21" t="s">
        <v>379</v>
      </c>
      <c r="BL149" s="1"/>
      <c r="BM149" s="34"/>
      <c r="BN149" s="34"/>
      <c r="BO149" s="34"/>
      <c r="BP149" s="7"/>
      <c r="BR149" s="23"/>
      <c r="BS149" s="7"/>
      <c r="BT149" s="7"/>
      <c r="BU149" s="23"/>
      <c r="BV149" s="23"/>
    </row>
    <row r="150" spans="4:74" x14ac:dyDescent="0.3">
      <c r="D150" s="46">
        <v>42718</v>
      </c>
      <c r="E150" s="23"/>
      <c r="F150" s="23">
        <f t="shared" ca="1" si="197"/>
        <v>2.539408852778859</v>
      </c>
      <c r="G150" s="23">
        <f ca="1">BU148</f>
        <v>4.2189455739376198</v>
      </c>
      <c r="H150" s="23">
        <f ca="1">BU244</f>
        <v>1.3436900056350511</v>
      </c>
      <c r="I150" s="23"/>
      <c r="J150" s="23"/>
      <c r="K150" s="23"/>
      <c r="L150" s="23"/>
      <c r="M150" s="23"/>
      <c r="N150" s="21"/>
      <c r="O150" s="46">
        <v>42718</v>
      </c>
      <c r="P150" s="23"/>
      <c r="Q150" s="23">
        <f t="shared" ca="1" si="198"/>
        <v>0.1921207794489567</v>
      </c>
      <c r="R150" s="23">
        <f ca="1">BT148</f>
        <v>0.30654998016131046</v>
      </c>
      <c r="S150" s="23"/>
      <c r="T150" s="23"/>
      <c r="U150" s="23"/>
      <c r="AK150" s="3" t="s">
        <v>381</v>
      </c>
      <c r="AL150" s="1">
        <v>42446</v>
      </c>
      <c r="AM150" s="23" cm="1">
        <f t="array" aca="1" ref="AM150" ca="1">INDIRECT("'"&amp;$B36&amp;"'!"&amp;(D$5&amp;$P$19))</f>
        <v>1844488.6209970003</v>
      </c>
      <c r="AN150" s="23" cm="1">
        <f t="array" aca="1" ref="AN150" ca="1">INDIRECT("'"&amp;$B36&amp;"'!"&amp;(E$5&amp;$P$19))</f>
        <v>5596190.6527015008</v>
      </c>
      <c r="AO150" s="23" cm="1">
        <f t="array" aca="1" ref="AO150" ca="1">INDIRECT("'"&amp;$B36&amp;"'!"&amp;(F$5&amp;$P$19))</f>
        <v>401.14499275000003</v>
      </c>
      <c r="AP150" s="21">
        <f t="shared" ca="1" si="187"/>
        <v>4.0633269789837251E-2</v>
      </c>
      <c r="AQ150" s="21" cm="1">
        <f t="array" aca="1" ref="AQ150" ca="1">INDIRECT("'"&amp;AK150&amp;"'!"&amp;$H$5&amp;$P$19)+0.01</f>
        <v>3.4312000000000002E-2</v>
      </c>
      <c r="AR150" s="23">
        <f t="shared" ca="1" si="188"/>
        <v>-3.9579500000002099E-2</v>
      </c>
      <c r="AS150" s="7">
        <f t="shared" ca="1" si="199"/>
        <v>5.6723887684677135E-2</v>
      </c>
      <c r="AT150" s="7">
        <f t="shared" ca="1" si="189"/>
        <v>0.20499226737531837</v>
      </c>
      <c r="AU150" s="23">
        <f t="shared" ca="1" si="200"/>
        <v>0.21539060228306317</v>
      </c>
      <c r="AV150" s="23">
        <f t="shared" ca="1" si="191"/>
        <v>-5.255299999998897E-2</v>
      </c>
      <c r="BK150" s="21" t="s">
        <v>380</v>
      </c>
      <c r="BL150" s="1">
        <v>42562</v>
      </c>
      <c r="BM150" s="34" cm="1">
        <f t="array" aca="1" ref="BM150" ca="1">INDIRECT("'"&amp;$B35&amp;"'!"&amp;(D$5&amp;$P$30))</f>
        <v>1844629.2429160001</v>
      </c>
      <c r="BN150" s="34" cm="1">
        <f t="array" aca="1" ref="BN150" ca="1">INDIRECT("'"&amp;$B35&amp;"'!"&amp;(E$5&amp;$P$30))</f>
        <v>5595617.3810170004</v>
      </c>
      <c r="BO150" s="34" cm="1">
        <f t="array" aca="1" ref="BO150" ca="1">INDIRECT("'"&amp;$B35&amp;"'!"&amp;(F$5&amp;$P$30))</f>
        <v>334.446415</v>
      </c>
      <c r="BP150" s="7">
        <f t="shared" ca="1" si="192"/>
        <v>0.54015989609839821</v>
      </c>
      <c r="BQ150" s="7" cm="1">
        <f t="array" aca="1" ref="BQ150" ca="1">INDIRECT("'"&amp;BK150&amp;"'!"&amp;$H$5&amp;$P$30)+0.01</f>
        <v>3.6312999999999998E-2</v>
      </c>
      <c r="BR150" s="23">
        <f t="shared" ca="1" si="193"/>
        <v>-0.2511537500000145</v>
      </c>
      <c r="BS150" s="7">
        <f t="shared" ca="1" si="194"/>
        <v>0.59569364567040839</v>
      </c>
      <c r="BT150" s="7">
        <f ca="1">(BS150/(BL150-BL151))*31</f>
        <v>0.15919399151536776</v>
      </c>
      <c r="BU150" s="23">
        <f t="shared" ca="1" si="195"/>
        <v>2.6763069640936061</v>
      </c>
      <c r="BV150" s="23">
        <f t="shared" ca="1" si="196"/>
        <v>-0.99513074999998707</v>
      </c>
    </row>
    <row r="151" spans="4:74" x14ac:dyDescent="0.3">
      <c r="D151" s="46">
        <v>42666</v>
      </c>
      <c r="E151" s="23"/>
      <c r="F151" s="23"/>
      <c r="G151" s="23"/>
      <c r="H151" s="23"/>
      <c r="I151" s="23"/>
      <c r="J151" s="23"/>
      <c r="K151" s="23"/>
      <c r="L151" s="23"/>
      <c r="M151" s="23"/>
      <c r="N151" s="21"/>
      <c r="O151" s="46">
        <v>42666</v>
      </c>
      <c r="P151" s="23"/>
      <c r="Q151" s="23"/>
      <c r="R151" s="23"/>
      <c r="S151" s="23"/>
      <c r="T151" s="23"/>
      <c r="U151" s="23"/>
      <c r="AK151" s="3" t="s">
        <v>382</v>
      </c>
      <c r="AL151" s="1">
        <v>42345</v>
      </c>
      <c r="AM151" s="23" cm="1">
        <f t="array" aca="1" ref="AM151" ca="1">INDIRECT("'"&amp;$B37&amp;"'!"&amp;(D$5&amp;$P$19))</f>
        <v>1844488.5956960001</v>
      </c>
      <c r="AN151" s="23" cm="1">
        <f t="array" aca="1" ref="AN151" ca="1">INDIRECT("'"&amp;$B37&amp;"'!"&amp;(E$5&amp;$P$19))</f>
        <v>5596190.6844965005</v>
      </c>
      <c r="AO151" s="23" cm="1">
        <f t="array" aca="1" ref="AO151" ca="1">INDIRECT("'"&amp;$B37&amp;"'!"&amp;(F$5&amp;$P$19))</f>
        <v>401.18457225000003</v>
      </c>
      <c r="AP151" s="21">
        <f t="shared" ca="1" si="187"/>
        <v>2.4822877091426828E-2</v>
      </c>
      <c r="AQ151" s="21" cm="1">
        <f t="array" aca="1" ref="AQ151" ca="1">INDIRECT("'"&amp;AK151&amp;"'!"&amp;$H$5&amp;$P$19)+0.01</f>
        <v>1.4999999999999999E-2</v>
      </c>
      <c r="AR151" s="23">
        <f t="shared" ca="1" si="188"/>
        <v>3.0265000000326836E-3</v>
      </c>
      <c r="AS151" s="7">
        <f t="shared" ca="1" si="199"/>
        <v>2.5006697689744652E-2</v>
      </c>
      <c r="AT151" s="7">
        <f t="shared" ca="1" si="189"/>
        <v>0.13422712730524702</v>
      </c>
      <c r="AU151" s="23">
        <f t="shared" ca="1" si="200"/>
        <v>0.15866671459838602</v>
      </c>
      <c r="AV151" s="23">
        <f t="shared" ca="1" si="191"/>
        <v>-1.2973499999986871E-2</v>
      </c>
      <c r="BK151" s="21" t="s">
        <v>381</v>
      </c>
      <c r="BL151" s="1">
        <v>42446</v>
      </c>
      <c r="BM151" s="34" cm="1">
        <f t="array" aca="1" ref="BM151" ca="1">INDIRECT("'"&amp;$B36&amp;"'!"&amp;(D$5&amp;$P$30))</f>
        <v>1844629.2263400001</v>
      </c>
      <c r="BN151" s="34" cm="1">
        <f t="array" aca="1" ref="BN151" ca="1">INDIRECT("'"&amp;$B36&amp;"'!"&amp;(E$5&amp;$P$30))</f>
        <v>5595617.920922501</v>
      </c>
      <c r="BO151" s="34" cm="1">
        <f t="array" aca="1" ref="BO151" ca="1">INDIRECT("'"&amp;$B36&amp;"'!"&amp;(F$5&amp;$P$30))</f>
        <v>334.69756875000002</v>
      </c>
      <c r="BP151" s="7">
        <f t="shared" ca="1" si="192"/>
        <v>0.38342637843550997</v>
      </c>
      <c r="BQ151" s="7" cm="1">
        <f t="array" aca="1" ref="BQ151" ca="1">INDIRECT("'"&amp;BK151&amp;"'!"&amp;$H$5&amp;$P$30)+0.01</f>
        <v>2.3694E-2</v>
      </c>
      <c r="BR151" s="23">
        <f t="shared" ca="1" si="193"/>
        <v>-0.19200349999999844</v>
      </c>
      <c r="BS151" s="7">
        <f t="shared" ca="1" si="194"/>
        <v>0.42881363282015683</v>
      </c>
      <c r="BT151" s="7">
        <f ca="1">(BS151/(BL151-BL152))*31</f>
        <v>0.13161606551905805</v>
      </c>
      <c r="BU151" s="23">
        <f t="shared" ca="1" si="195"/>
        <v>2.0806133184231976</v>
      </c>
      <c r="BV151" s="23">
        <f t="shared" ca="1" si="196"/>
        <v>-0.74397699999997258</v>
      </c>
    </row>
    <row r="152" spans="4:74" x14ac:dyDescent="0.3">
      <c r="D152" s="46">
        <v>42562</v>
      </c>
      <c r="E152" s="23">
        <f ca="1">BU84</f>
        <v>13.640615176499303</v>
      </c>
      <c r="F152" s="23">
        <f ca="1">BU132</f>
        <v>1.5726075110357223</v>
      </c>
      <c r="G152" s="23">
        <f ca="1">BU150</f>
        <v>2.6763069640936061</v>
      </c>
      <c r="H152" s="23">
        <f ca="1">BU246</f>
        <v>0.77305234862966621</v>
      </c>
      <c r="I152" s="23"/>
      <c r="J152" s="23"/>
      <c r="K152" s="23"/>
      <c r="L152" s="23"/>
      <c r="M152" s="23"/>
      <c r="N152" s="21"/>
      <c r="O152" s="46">
        <v>42562</v>
      </c>
      <c r="P152" s="23">
        <f ca="1">BT84</f>
        <v>0.37046107932623151</v>
      </c>
      <c r="Q152" s="23">
        <f ca="1">BT132</f>
        <v>9.0318951486946047E-2</v>
      </c>
      <c r="R152" s="23">
        <f ca="1">BT150</f>
        <v>0.15919399151536776</v>
      </c>
      <c r="S152" s="23">
        <f ca="1">BT246</f>
        <v>6.407653157090816E-2</v>
      </c>
      <c r="T152" s="23"/>
      <c r="U152" s="23"/>
      <c r="AK152" s="3" t="s">
        <v>383</v>
      </c>
      <c r="AL152" s="1">
        <v>42277</v>
      </c>
      <c r="AM152" s="23" cm="1">
        <f t="array" aca="1" ref="AM152" ca="1">INDIRECT("'"&amp;$B38&amp;"'!"&amp;(D$5&amp;$P$19))</f>
        <v>1844488.5858300002</v>
      </c>
      <c r="AN152" s="23" cm="1">
        <f t="array" aca="1" ref="AN152" ca="1">INDIRECT("'"&amp;$B38&amp;"'!"&amp;(E$5&amp;$P$19))</f>
        <v>5596190.7072745003</v>
      </c>
      <c r="AO152" s="23" cm="1">
        <f t="array" aca="1" ref="AO152" ca="1">INDIRECT("'"&amp;$B38&amp;"'!"&amp;(F$5&amp;$P$19))</f>
        <v>401.18154575</v>
      </c>
      <c r="AP152" s="21">
        <f ca="1">SQRT(((AM152-AM153)^2)+((AN152-AN153)^2))</f>
        <v>0.13269890775744039</v>
      </c>
      <c r="AQ152" s="21" cm="1">
        <f t="array" aca="1" ref="AQ152" ca="1">INDIRECT("'"&amp;AK152&amp;"'!"&amp;$H$5&amp;$P$19)+0.01</f>
        <v>2.1999999999999999E-2</v>
      </c>
      <c r="AR152" s="23">
        <f ca="1">AO152-AO153</f>
        <v>-1.6000000000019554E-2</v>
      </c>
      <c r="AS152" s="7">
        <f ca="1">SQRT((AP152^2)+(AR152^2))</f>
        <v>0.13366001690864138</v>
      </c>
      <c r="AT152" s="7">
        <f t="shared" ca="1" si="189"/>
        <v>0.54815624911970906</v>
      </c>
      <c r="AU152" s="23">
        <f ca="1">AU153+AS152</f>
        <v>0.13366001690864138</v>
      </c>
      <c r="AV152" s="23">
        <f ca="1">AV153+AR152</f>
        <v>-1.6000000000019554E-2</v>
      </c>
      <c r="BK152" s="21" t="s">
        <v>382</v>
      </c>
      <c r="BL152" s="1">
        <v>42345</v>
      </c>
      <c r="BM152" s="34" cm="1">
        <f t="array" aca="1" ref="BM152" ca="1">INDIRECT("'"&amp;$B37&amp;"'!"&amp;(D$5&amp;$P$30))</f>
        <v>1844629.188696</v>
      </c>
      <c r="BN152" s="34" cm="1">
        <f t="array" aca="1" ref="BN152" ca="1">INDIRECT("'"&amp;$B37&amp;"'!"&amp;(E$5&amp;$P$30))</f>
        <v>5595618.3024965003</v>
      </c>
      <c r="BO152" s="34" cm="1">
        <f t="array" aca="1" ref="BO152" ca="1">INDIRECT("'"&amp;$B37&amp;"'!"&amp;(F$5&amp;$P$30))</f>
        <v>334.88957225000001</v>
      </c>
      <c r="BP152" s="7">
        <f t="shared" ca="1" si="192"/>
        <v>0.54074955275412728</v>
      </c>
      <c r="BQ152" s="7" cm="1">
        <f t="array" aca="1" ref="BQ152" ca="1">INDIRECT("'"&amp;BK152&amp;"'!"&amp;$H$5&amp;$P$30)+0.01</f>
        <v>2.0999999999999998E-2</v>
      </c>
      <c r="BR152" s="23">
        <f t="shared" ca="1" si="193"/>
        <v>-0.23297350000001416</v>
      </c>
      <c r="BS152" s="7">
        <f t="shared" ca="1" si="194"/>
        <v>0.58880109587707563</v>
      </c>
      <c r="BT152" s="7">
        <f ca="1">(BS152/(BL152-BL153))*31</f>
        <v>0.2684240290027845</v>
      </c>
      <c r="BU152" s="23">
        <f t="shared" ca="1" si="195"/>
        <v>1.651799685603041</v>
      </c>
      <c r="BV152" s="23">
        <f t="shared" ca="1" si="196"/>
        <v>-0.55197349999997414</v>
      </c>
    </row>
    <row r="153" spans="4:74" x14ac:dyDescent="0.3">
      <c r="D153" s="46">
        <v>42446</v>
      </c>
      <c r="E153" s="23">
        <f ca="1">BU85</f>
        <v>12.254373718375339</v>
      </c>
      <c r="F153" s="23">
        <f ca="1">BU133</f>
        <v>1.2346398216006984</v>
      </c>
      <c r="G153" s="23">
        <f ca="1">BU151</f>
        <v>2.0806133184231976</v>
      </c>
      <c r="H153" s="23">
        <f>BU247</f>
        <v>0</v>
      </c>
      <c r="I153" s="23"/>
      <c r="J153" s="23"/>
      <c r="K153" s="23"/>
      <c r="L153" s="23"/>
      <c r="M153" s="23"/>
      <c r="N153" s="21"/>
      <c r="O153" s="46">
        <v>42446</v>
      </c>
      <c r="P153" s="23">
        <f ca="1">BT85</f>
        <v>0.37885211729268187</v>
      </c>
      <c r="Q153" s="23">
        <f ca="1">BT133</f>
        <v>8.3894732936430377E-2</v>
      </c>
      <c r="R153" s="23">
        <f ca="1">BT151</f>
        <v>0.13161606551905805</v>
      </c>
      <c r="S153" s="23">
        <f>BT247</f>
        <v>0</v>
      </c>
      <c r="T153" s="23"/>
      <c r="U153" s="23"/>
      <c r="AK153" s="3" t="s">
        <v>384</v>
      </c>
      <c r="AL153" s="1">
        <v>42188</v>
      </c>
      <c r="AM153" s="23" cm="1">
        <f t="array" aca="1" ref="AM153" ca="1">INDIRECT("'"&amp;$B39&amp;"'!"&amp;(D$5&amp;$P$19))</f>
        <v>1844488.6208300001</v>
      </c>
      <c r="AN153" s="23" cm="1">
        <f t="array" aca="1" ref="AN153" ca="1">INDIRECT("'"&amp;$B39&amp;"'!"&amp;(E$5&amp;$P$19))</f>
        <v>5596190.8352745008</v>
      </c>
      <c r="AO153" s="23" cm="1">
        <f t="array" aca="1" ref="AO153" ca="1">INDIRECT("'"&amp;$B39&amp;"'!"&amp;(F$5&amp;$P$19))</f>
        <v>401.19754575000002</v>
      </c>
      <c r="AP153" s="21"/>
      <c r="AQ153" s="21"/>
      <c r="AR153" s="23"/>
      <c r="AS153" s="7"/>
      <c r="AT153" s="7"/>
      <c r="AU153" s="10"/>
      <c r="AV153" s="21">
        <v>0</v>
      </c>
      <c r="BK153" s="21" t="s">
        <v>383</v>
      </c>
      <c r="BL153" s="1">
        <v>42277</v>
      </c>
      <c r="BM153" s="34" cm="1">
        <f t="array" aca="1" ref="BM153" ca="1">INDIRECT("'"&amp;$B38&amp;"'!"&amp;(D$5&amp;$P$30))</f>
        <v>1844629.2348300002</v>
      </c>
      <c r="BN153" s="34" cm="1">
        <f t="array" aca="1" ref="BN153" ca="1">INDIRECT("'"&amp;$B38&amp;"'!"&amp;(E$5&amp;$P$30))</f>
        <v>5595618.8412744999</v>
      </c>
      <c r="BO153" s="34" cm="1">
        <f t="array" aca="1" ref="BO153" ca="1">INDIRECT("'"&amp;$B38&amp;"'!"&amp;(F$5&amp;$P$30))</f>
        <v>335.12254575000003</v>
      </c>
      <c r="BP153" s="7">
        <f t="shared" ca="1" si="192"/>
        <v>1.0140044387276701</v>
      </c>
      <c r="BQ153" s="7" cm="1">
        <f t="array" aca="1" ref="BQ153" ca="1">INDIRECT("'"&amp;BK153&amp;"'!"&amp;$H$5&amp;$P$30)+0.01</f>
        <v>1.6E-2</v>
      </c>
      <c r="BR153" s="23">
        <f t="shared" ca="1" si="193"/>
        <v>-0.31899999999995998</v>
      </c>
      <c r="BS153" s="7">
        <f t="shared" ca="1" si="194"/>
        <v>1.0629985897259655</v>
      </c>
      <c r="BT153" s="7">
        <f ca="1">(BS153/(BL153-BL154))*31</f>
        <v>0.37025793574724641</v>
      </c>
      <c r="BU153" s="23">
        <f t="shared" ca="1" si="195"/>
        <v>1.0629985897259655</v>
      </c>
      <c r="BV153" s="23">
        <f t="shared" ca="1" si="196"/>
        <v>-0.31899999999995998</v>
      </c>
    </row>
    <row r="154" spans="4:74" x14ac:dyDescent="0.3">
      <c r="D154" s="46">
        <v>42345</v>
      </c>
      <c r="E154" s="23">
        <f ca="1">BU86</f>
        <v>11.020049078163698</v>
      </c>
      <c r="F154" s="23">
        <f ca="1">BU134</f>
        <v>0.96130536913039299</v>
      </c>
      <c r="G154" s="23">
        <f ca="1">BU152</f>
        <v>1.651799685603041</v>
      </c>
      <c r="H154" s="23"/>
      <c r="I154" s="23"/>
      <c r="J154" s="23"/>
      <c r="K154" s="23"/>
      <c r="L154" s="23"/>
      <c r="M154" s="23"/>
      <c r="N154" s="21"/>
      <c r="O154" s="46">
        <v>42345</v>
      </c>
      <c r="P154" s="23">
        <f ca="1">BT86</f>
        <v>2.2542802772033732</v>
      </c>
      <c r="Q154" s="23">
        <f ca="1">BT134</f>
        <v>0.15747302419884229</v>
      </c>
      <c r="R154" s="23">
        <f ca="1">BT152</f>
        <v>0.2684240290027845</v>
      </c>
      <c r="S154" s="23"/>
      <c r="T154" s="23"/>
      <c r="U154" s="23"/>
      <c r="AL154" s="1"/>
      <c r="BK154" s="21" t="s">
        <v>384</v>
      </c>
      <c r="BL154" s="1">
        <v>42188</v>
      </c>
      <c r="BM154" s="34" cm="1">
        <f t="array" aca="1" ref="BM154" ca="1">INDIRECT("'"&amp;$B39&amp;"'!"&amp;(D$5&amp;$P$30))</f>
        <v>1844629.3128300002</v>
      </c>
      <c r="BN154" s="34" cm="1">
        <f t="array" aca="1" ref="BN154" ca="1">INDIRECT("'"&amp;$B39&amp;"'!"&amp;(E$5&amp;$P$30))</f>
        <v>5595619.8522745008</v>
      </c>
      <c r="BO154" s="34" cm="1">
        <f t="array" aca="1" ref="BO154" ca="1">INDIRECT("'"&amp;$B39&amp;"'!"&amp;(F$5&amp;$P$30))</f>
        <v>335.44154574999999</v>
      </c>
      <c r="BP154" s="7"/>
      <c r="BR154" s="21"/>
      <c r="BS154" s="21"/>
      <c r="BT154" s="21"/>
      <c r="BU154" s="21"/>
      <c r="BV154" s="21">
        <v>0</v>
      </c>
    </row>
    <row r="155" spans="4:74" x14ac:dyDescent="0.3">
      <c r="D155" s="46">
        <v>42277</v>
      </c>
      <c r="E155" s="23">
        <f ca="1">BU87</f>
        <v>6.0751762120401711</v>
      </c>
      <c r="F155" s="23">
        <f ca="1">BU135</f>
        <v>0.6158806708877711</v>
      </c>
      <c r="G155" s="23">
        <f ca="1">BU153</f>
        <v>1.0629985897259655</v>
      </c>
      <c r="H155" s="23"/>
      <c r="I155" s="23"/>
      <c r="J155" s="23"/>
      <c r="K155" s="23"/>
      <c r="L155" s="23"/>
      <c r="M155" s="23"/>
      <c r="N155" s="21"/>
      <c r="O155" s="46">
        <v>42277</v>
      </c>
      <c r="P155" s="23">
        <f ca="1">BT87</f>
        <v>2.1160726131825318</v>
      </c>
      <c r="Q155" s="23">
        <f ca="1">BT135</f>
        <v>0.21452023368001016</v>
      </c>
      <c r="R155" s="23">
        <f ca="1">BT153</f>
        <v>0.37025793574724641</v>
      </c>
      <c r="S155" s="23"/>
      <c r="T155" s="23"/>
      <c r="U155" s="23"/>
      <c r="AL155" s="1"/>
      <c r="BP155" s="7"/>
    </row>
    <row r="156" spans="4:74" x14ac:dyDescent="0.3">
      <c r="D156" s="46">
        <v>42188</v>
      </c>
      <c r="E156" s="23">
        <f>BU88</f>
        <v>0</v>
      </c>
      <c r="F156" s="23">
        <f>BU136</f>
        <v>0</v>
      </c>
      <c r="G156" s="23">
        <f>BU154</f>
        <v>0</v>
      </c>
      <c r="H156" s="23"/>
      <c r="I156" s="23"/>
      <c r="J156" s="23"/>
      <c r="K156" s="23"/>
      <c r="L156" s="23"/>
      <c r="M156" s="23"/>
      <c r="N156" s="21"/>
      <c r="O156" s="46">
        <v>42188</v>
      </c>
      <c r="P156" s="23">
        <f>BT88</f>
        <v>0</v>
      </c>
      <c r="Q156" s="23">
        <f>BT136</f>
        <v>0</v>
      </c>
      <c r="R156" s="23">
        <f>BT154</f>
        <v>0</v>
      </c>
      <c r="S156" s="23"/>
      <c r="T156" s="23"/>
      <c r="U156" s="23"/>
      <c r="AK156" s="51" t="s">
        <v>576</v>
      </c>
      <c r="AL156" s="30"/>
      <c r="AM156" s="5" t="s">
        <v>541</v>
      </c>
      <c r="AN156" s="5" t="s">
        <v>542</v>
      </c>
      <c r="AO156" s="5" t="s">
        <v>543</v>
      </c>
      <c r="AP156" s="21" t="s">
        <v>427</v>
      </c>
      <c r="AQ156" s="21" t="s">
        <v>525</v>
      </c>
      <c r="AR156" s="21" t="s">
        <v>428</v>
      </c>
      <c r="AS156" s="21" t="s">
        <v>429</v>
      </c>
      <c r="AT156" s="21" t="s">
        <v>606</v>
      </c>
      <c r="AU156" s="21" t="s">
        <v>430</v>
      </c>
      <c r="AV156" s="33" t="s">
        <v>582</v>
      </c>
      <c r="BP156" s="7"/>
    </row>
    <row r="157" spans="4:74" x14ac:dyDescent="0.3">
      <c r="AK157" s="3" t="s">
        <v>526</v>
      </c>
      <c r="AL157" s="1">
        <v>43817</v>
      </c>
      <c r="AM157" s="23" cm="1">
        <f t="array" aca="1" ref="AM157" ca="1">INDIRECT("'"&amp;$B27&amp;"'!"&amp;(D$5&amp;$P$20))</f>
        <v>1844340.191511</v>
      </c>
      <c r="AN157" s="23" cm="1">
        <f t="array" aca="1" ref="AN157" ca="1">INDIRECT("'"&amp;$B27&amp;"'!"&amp;(E$5&amp;$P$20))</f>
        <v>5596228.825677</v>
      </c>
      <c r="AO157" s="23" cm="1">
        <f t="array" aca="1" ref="AO157" ca="1">INDIRECT("'"&amp;$B27&amp;"'!"&amp;(F$5&amp;$P$20))</f>
        <v>405.79440399999999</v>
      </c>
      <c r="AP157" s="21">
        <f ca="1">SQRT(((AM157-AM158)^2)+((AN157-AN158)^2))</f>
        <v>0.1114824146961724</v>
      </c>
      <c r="AQ157" s="21" cm="1">
        <f t="array" aca="1" ref="AQ157" ca="1">INDIRECT("'"&amp;AK157&amp;"'!"&amp;$H$5&amp;$P$20)+0.01</f>
        <v>1.7464E-2</v>
      </c>
      <c r="AR157" s="23">
        <f ca="1">AO157-AO158</f>
        <v>-2.4440000000026885E-2</v>
      </c>
      <c r="AS157" s="7">
        <f ca="1">SQRT((AP157^2)+(AR157^2))</f>
        <v>0.11412993641674681</v>
      </c>
      <c r="AT157" s="7">
        <f t="shared" ref="AT157:AT168" ca="1" si="201">(AS157/(AL157-AL158))*31</f>
        <v>8.1333977676302325E-3</v>
      </c>
      <c r="AU157" s="23">
        <f ca="1">AU158+AS157</f>
        <v>0.78538503977544805</v>
      </c>
      <c r="AV157" s="23">
        <f ca="1">AV158+AR157</f>
        <v>-0.11214175000003479</v>
      </c>
      <c r="BK157" s="21" t="s">
        <v>593</v>
      </c>
      <c r="BL157" s="1"/>
      <c r="BM157" s="21" t="s">
        <v>541</v>
      </c>
      <c r="BN157" s="21" t="s">
        <v>542</v>
      </c>
      <c r="BO157" s="21" t="s">
        <v>543</v>
      </c>
      <c r="BP157" s="7" t="s">
        <v>427</v>
      </c>
      <c r="BQ157" s="7" t="s">
        <v>525</v>
      </c>
      <c r="BR157" s="21" t="s">
        <v>428</v>
      </c>
      <c r="BS157" s="21" t="s">
        <v>429</v>
      </c>
      <c r="BT157" s="21" t="s">
        <v>606</v>
      </c>
      <c r="BU157" s="21" t="s">
        <v>430</v>
      </c>
      <c r="BV157" s="33" t="s">
        <v>582</v>
      </c>
    </row>
    <row r="158" spans="4:74" x14ac:dyDescent="0.3">
      <c r="E158" s="23">
        <f t="shared" ref="E158:E170" si="202">BQ76</f>
        <v>0</v>
      </c>
      <c r="F158" s="23">
        <f t="shared" ref="F158:F170" ca="1" si="203">BQ124</f>
        <v>2.9786E-2</v>
      </c>
      <c r="G158" s="23">
        <f t="shared" ref="G158:G170" ca="1" si="204">BQ142</f>
        <v>3.5746E-2</v>
      </c>
      <c r="H158" s="23">
        <f t="shared" ref="H158:H170" ca="1" si="205">BQ238</f>
        <v>2.9939E-2</v>
      </c>
      <c r="I158" s="23">
        <f t="shared" ref="I158:I170" ca="1" si="206">BQ256</f>
        <v>4.3092000000000005E-2</v>
      </c>
      <c r="AK158" s="3" t="s">
        <v>373</v>
      </c>
      <c r="AL158" s="1">
        <v>43382</v>
      </c>
      <c r="AM158" s="23" cm="1">
        <f t="array" aca="1" ref="AM158" ca="1">INDIRECT("'"&amp;$B28&amp;"'!"&amp;(D$5&amp;$P$20))</f>
        <v>1844340.242503</v>
      </c>
      <c r="AN158" s="23" cm="1">
        <f t="array" aca="1" ref="AN158" ca="1">INDIRECT("'"&amp;$B28&amp;"'!"&amp;(E$5&amp;$P$20))</f>
        <v>5596228.9248139998</v>
      </c>
      <c r="AO158" s="23" cm="1">
        <f t="array" aca="1" ref="AO158" ca="1">INDIRECT("'"&amp;$B28&amp;"'!"&amp;(F$5&amp;$P$20))</f>
        <v>405.81884400000001</v>
      </c>
      <c r="AP158" s="21">
        <f ca="1">SQRT(((AM158-AM159)^2)+((AN158-AN159)^2))</f>
        <v>0.10712801380631375</v>
      </c>
      <c r="AQ158" s="21" cm="1">
        <f t="array" aca="1" ref="AQ158" ca="1">INDIRECT("'"&amp;AK158&amp;"'!"&amp;$H$5&amp;$P$20)+0.01</f>
        <v>2.6652000000000002E-2</v>
      </c>
      <c r="AR158" s="23">
        <f ca="1">AO158-AO159</f>
        <v>-4.139199999997345E-2</v>
      </c>
      <c r="AS158" s="7">
        <f t="shared" ref="AS158" ca="1" si="207">SQRT((AP158^2)+(AR158^2))</f>
        <v>0.11484645839591028</v>
      </c>
      <c r="AT158" s="7">
        <f t="shared" ca="1" si="201"/>
        <v>1.8164490868740911E-2</v>
      </c>
      <c r="AU158" s="23">
        <f t="shared" ref="AU158:AU160" ca="1" si="208">AU159+AS158</f>
        <v>0.6712551033587012</v>
      </c>
      <c r="AV158" s="23">
        <f t="shared" ref="AV158:AV167" ca="1" si="209">AV159+AR158</f>
        <v>-8.7701750000007905E-2</v>
      </c>
      <c r="BK158" s="21" t="s">
        <v>526</v>
      </c>
      <c r="BL158" s="1">
        <v>43817</v>
      </c>
      <c r="BM158" s="34" cm="1">
        <f t="array" aca="1" ref="BM158" ca="1">INDIRECT("'"&amp;$B27&amp;"'!"&amp;(D$5&amp;$P$31))</f>
        <v>1844500.214831</v>
      </c>
      <c r="BN158" s="34" cm="1">
        <f t="array" aca="1" ref="BN158" ca="1">INDIRECT("'"&amp;$B27&amp;"'!"&amp;(E$5&amp;$P$31))</f>
        <v>5595530.2005660003</v>
      </c>
      <c r="BO158" s="34" cm="1">
        <f t="array" aca="1" ref="BO158" ca="1">INDIRECT("'"&amp;$B27&amp;"'!"&amp;(F$5&amp;$P$31))</f>
        <v>304.42493999999999</v>
      </c>
      <c r="BP158" s="7">
        <f ca="1">SQRT(((BM158-BM159)^2)+((BN158-BN159)^2))</f>
        <v>14.629249635715405</v>
      </c>
      <c r="BQ158" s="7" cm="1">
        <f t="array" aca="1" ref="BQ158" ca="1">INDIRECT("'"&amp;BK158&amp;"'!"&amp;$H$5&amp;$P$31)+0.01</f>
        <v>2.0539000000000002E-2</v>
      </c>
      <c r="BR158" s="23">
        <f ca="1">BO158-BO159</f>
        <v>-4.703089000000034</v>
      </c>
      <c r="BS158" s="7">
        <f ca="1">SQRT((BP158^2)+(BR158^2))</f>
        <v>15.366651913998725</v>
      </c>
      <c r="BT158" s="7">
        <f t="shared" ref="BT158:BT169" ca="1" si="210">(BS158/(BL158-BL159))*31</f>
        <v>1.0950947341010584</v>
      </c>
      <c r="BU158" s="23">
        <f ca="1">BU159+BS158</f>
        <v>47.26645915860172</v>
      </c>
      <c r="BV158" s="23">
        <f ca="1">BV159+BR158</f>
        <v>-8.6326057500000388</v>
      </c>
    </row>
    <row r="159" spans="4:74" x14ac:dyDescent="0.3">
      <c r="E159" s="23">
        <f t="shared" si="202"/>
        <v>0</v>
      </c>
      <c r="F159" s="23">
        <f t="shared" ca="1" si="203"/>
        <v>3.5550999999999999E-2</v>
      </c>
      <c r="G159" s="23">
        <f t="shared" ca="1" si="204"/>
        <v>3.3084000000000002E-2</v>
      </c>
      <c r="H159" s="23">
        <f t="shared" ca="1" si="205"/>
        <v>3.4057999999999998E-2</v>
      </c>
      <c r="I159" s="23">
        <f t="shared" ca="1" si="206"/>
        <v>3.9764000000000001E-2</v>
      </c>
      <c r="O159" s="21" t="s">
        <v>667</v>
      </c>
      <c r="Q159" s="21">
        <f t="shared" ref="Q159:T159" ca="1" si="211">Q147/Q146</f>
        <v>1.6925135668700331</v>
      </c>
      <c r="R159" s="21"/>
      <c r="S159" s="21"/>
      <c r="T159" s="21">
        <f t="shared" ca="1" si="211"/>
        <v>0.70748736983016147</v>
      </c>
      <c r="AK159" s="22" t="s">
        <v>375</v>
      </c>
      <c r="AL159" s="1">
        <v>43186</v>
      </c>
      <c r="AM159" s="23" cm="1">
        <f t="array" aca="1" ref="AM159" ca="1">INDIRECT("'"&amp;$B29&amp;"'!"&amp;(D$5&amp;$P$20))</f>
        <v>1844340.2583930001</v>
      </c>
      <c r="AN159" s="23" cm="1">
        <f t="array" aca="1" ref="AN159" ca="1">INDIRECT("'"&amp;$B29&amp;"'!"&amp;(E$5&amp;$P$20))</f>
        <v>5596229.0307569997</v>
      </c>
      <c r="AO159" s="23" cm="1">
        <f t="array" aca="1" ref="AO159" ca="1">INDIRECT("'"&amp;$B29&amp;"'!"&amp;(F$5&amp;$P$20))</f>
        <v>405.86023599999999</v>
      </c>
      <c r="AP159" s="21">
        <f t="shared" ref="AP159:AP167" ca="1" si="212">SQRT(((AM159-AM160)^2)+((AN159-AN160)^2))</f>
        <v>8.1921760106499278E-2</v>
      </c>
      <c r="AQ159" s="21" cm="1">
        <f t="array" aca="1" ref="AQ159" ca="1">INDIRECT("'"&amp;AK159&amp;"'!"&amp;$H$5&amp;$P$20)+0.01</f>
        <v>2.7175999999999999E-2</v>
      </c>
      <c r="AR159" s="23">
        <f t="shared" ref="AR159:AR167" ca="1" si="213">AO159-AO160</f>
        <v>-4.4810000000552463E-3</v>
      </c>
      <c r="AS159" s="7">
        <f ca="1">SQRT((AP159^2)+(AR159^2))</f>
        <v>8.2044220637088827E-2</v>
      </c>
      <c r="AT159" s="7">
        <f t="shared" ca="1" si="201"/>
        <v>1.5229765507483554E-2</v>
      </c>
      <c r="AU159" s="23">
        <f t="shared" ca="1" si="208"/>
        <v>0.55640864496279097</v>
      </c>
      <c r="AV159" s="23">
        <f t="shared" ca="1" si="209"/>
        <v>-4.6309750000034455E-2</v>
      </c>
      <c r="BK159" s="21" t="s">
        <v>373</v>
      </c>
      <c r="BL159" s="1">
        <v>43382</v>
      </c>
      <c r="BM159" s="34" cm="1">
        <f t="array" aca="1" ref="BM159" ca="1">INDIRECT("'"&amp;$B28&amp;"'!"&amp;(D$5&amp;$P$31))</f>
        <v>1844492.341974</v>
      </c>
      <c r="BN159" s="34" cm="1">
        <f t="array" aca="1" ref="BN159" ca="1">INDIRECT("'"&amp;$B28&amp;"'!"&amp;(E$5&amp;$P$31))</f>
        <v>5595542.530735</v>
      </c>
      <c r="BO159" s="34" cm="1">
        <f t="array" aca="1" ref="BO159" ca="1">INDIRECT("'"&amp;$B28&amp;"'!"&amp;(F$5&amp;$P$31))</f>
        <v>309.12802900000003</v>
      </c>
      <c r="BP159" s="7">
        <f t="shared" ref="BP159:BP169" ca="1" si="214">SQRT(((BM159-BM160)^2)+((BN159-BN160)^2))</f>
        <v>6.8776476907933786</v>
      </c>
      <c r="BQ159" s="7" cm="1">
        <f t="array" aca="1" ref="BQ159" ca="1">INDIRECT("'"&amp;BK159&amp;"'!"&amp;$H$5&amp;$P$31)+0.01</f>
        <v>2.6354000000000002E-2</v>
      </c>
      <c r="BR159" s="23">
        <f t="shared" ref="BR159:BR169" ca="1" si="215">BO159-BO160</f>
        <v>-1.1587619999999674</v>
      </c>
      <c r="BS159" s="7">
        <f t="shared" ref="BS159:BS169" ca="1" si="216">SQRT((BP159^2)+(BR159^2))</f>
        <v>6.9745800684571266</v>
      </c>
      <c r="BT159" s="7">
        <f t="shared" ca="1" si="210"/>
        <v>1.1031223577661782</v>
      </c>
      <c r="BU159" s="23">
        <f t="shared" ref="BU159:BU169" ca="1" si="217">BU160+BS159</f>
        <v>31.899807244602997</v>
      </c>
      <c r="BV159" s="23">
        <f t="shared" ref="BV159:BV169" ca="1" si="218">BV160+BR159</f>
        <v>-3.9295167500000048</v>
      </c>
    </row>
    <row r="160" spans="4:74" x14ac:dyDescent="0.3">
      <c r="E160" s="23">
        <f t="shared" si="202"/>
        <v>0</v>
      </c>
      <c r="F160" s="23">
        <f t="shared" ca="1" si="203"/>
        <v>4.1085000000000003E-2</v>
      </c>
      <c r="G160" s="23">
        <f t="shared" ca="1" si="204"/>
        <v>3.1903000000000001E-2</v>
      </c>
      <c r="H160" s="23">
        <f t="shared" si="205"/>
        <v>0</v>
      </c>
      <c r="I160" s="23">
        <f t="shared" ca="1" si="206"/>
        <v>3.1018999999999998E-2</v>
      </c>
      <c r="O160" s="21" t="s">
        <v>665</v>
      </c>
      <c r="Q160" s="21">
        <f t="shared" ref="Q160:R160" ca="1" si="219">Q150/Q149</f>
        <v>2.651286521516151</v>
      </c>
      <c r="R160" s="21">
        <f t="shared" ca="1" si="219"/>
        <v>3.0604458270389463</v>
      </c>
      <c r="S160" s="21"/>
      <c r="T160" s="21"/>
      <c r="AK160" s="3" t="s">
        <v>374</v>
      </c>
      <c r="AL160" s="1">
        <v>43019</v>
      </c>
      <c r="AM160" s="23" cm="1">
        <f t="array" aca="1" ref="AM160" ca="1">INDIRECT("'"&amp;$B30&amp;"'!"&amp;(D$5&amp;$P$20))</f>
        <v>1844340.2640529999</v>
      </c>
      <c r="AN160" s="23" cm="1">
        <f t="array" aca="1" ref="AN160" ca="1">INDIRECT("'"&amp;$B30&amp;"'!"&amp;(E$5&amp;$P$20))</f>
        <v>5596229.1124830004</v>
      </c>
      <c r="AO160" s="23" cm="1">
        <f t="array" aca="1" ref="AO160" ca="1">INDIRECT("'"&amp;$B30&amp;"'!"&amp;(F$5&amp;$P$20))</f>
        <v>405.86471700000004</v>
      </c>
      <c r="AP160" s="21">
        <f t="shared" ca="1" si="212"/>
        <v>4.4519399818548834E-2</v>
      </c>
      <c r="AQ160" s="21" cm="1">
        <f t="array" aca="1" ref="AQ160" ca="1">INDIRECT("'"&amp;AK160&amp;"'!"&amp;$H$5&amp;$P$20)+0.01</f>
        <v>3.3364999999999999E-2</v>
      </c>
      <c r="AR160" s="23">
        <f t="shared" ca="1" si="213"/>
        <v>-5.8695999999940796E-2</v>
      </c>
      <c r="AS160" s="7">
        <f t="shared" ref="AS160:AS167" ca="1" si="220">SQRT((AP160^2)+(AR160^2))</f>
        <v>7.3669514564688537E-2</v>
      </c>
      <c r="AT160" s="7">
        <f t="shared" ca="1" si="201"/>
        <v>2.1959182226012928E-2</v>
      </c>
      <c r="AU160" s="23">
        <f t="shared" ca="1" si="208"/>
        <v>0.47436442432570214</v>
      </c>
      <c r="AV160" s="23">
        <f t="shared" ca="1" si="209"/>
        <v>-4.1828749999979209E-2</v>
      </c>
      <c r="BK160" s="21" t="s">
        <v>375</v>
      </c>
      <c r="BL160" s="1">
        <v>43186</v>
      </c>
      <c r="BM160" s="34" cm="1">
        <f t="array" aca="1" ref="BM160" ca="1">INDIRECT("'"&amp;$B29&amp;"'!"&amp;(D$5&amp;$P$31))</f>
        <v>1844489.1184769999</v>
      </c>
      <c r="BN160" s="34" cm="1">
        <f t="array" aca="1" ref="BN160" ca="1">INDIRECT("'"&amp;$B29&amp;"'!"&amp;(E$5&amp;$P$31))</f>
        <v>5595548.6061859997</v>
      </c>
      <c r="BO160" s="34" cm="1">
        <f t="array" aca="1" ref="BO160" ca="1">INDIRECT("'"&amp;$B29&amp;"'!"&amp;(F$5&amp;$P$31))</f>
        <v>310.28679099999999</v>
      </c>
      <c r="BP160" s="7">
        <f t="shared" ca="1" si="214"/>
        <v>3.0461046523806448</v>
      </c>
      <c r="BQ160" s="7" cm="1">
        <f t="array" aca="1" ref="BQ160" ca="1">INDIRECT("'"&amp;BK160&amp;"'!"&amp;$H$5&amp;$P$31)+0.01</f>
        <v>2.9095000000000003E-2</v>
      </c>
      <c r="BR160" s="23">
        <f t="shared" ca="1" si="215"/>
        <v>-0.22268600000001015</v>
      </c>
      <c r="BS160" s="7">
        <f t="shared" ca="1" si="216"/>
        <v>3.0542335548957307</v>
      </c>
      <c r="BT160" s="7">
        <f t="shared" ca="1" si="210"/>
        <v>0.5669535341423213</v>
      </c>
      <c r="BU160" s="23">
        <f t="shared" ca="1" si="217"/>
        <v>24.925227176145871</v>
      </c>
      <c r="BV160" s="23">
        <f t="shared" ca="1" si="218"/>
        <v>-2.7707547500000373</v>
      </c>
    </row>
    <row r="161" spans="5:74" x14ac:dyDescent="0.3">
      <c r="E161" s="23">
        <f t="shared" si="202"/>
        <v>0</v>
      </c>
      <c r="F161" s="23">
        <f t="shared" ca="1" si="203"/>
        <v>4.0024999999999998E-2</v>
      </c>
      <c r="G161" s="23">
        <f t="shared" si="204"/>
        <v>0</v>
      </c>
      <c r="H161" s="23">
        <f t="shared" ca="1" si="205"/>
        <v>3.9690999999999997E-2</v>
      </c>
      <c r="I161" s="23">
        <f t="shared" ca="1" si="206"/>
        <v>0.01</v>
      </c>
      <c r="O161" s="21" t="s">
        <v>666</v>
      </c>
      <c r="P161">
        <f ca="1">P154/P153</f>
        <v>5.9502908240627068</v>
      </c>
      <c r="Q161" s="21">
        <f t="shared" ref="Q161:R161" ca="1" si="221">Q154/Q153</f>
        <v>1.8770311161031343</v>
      </c>
      <c r="R161" s="21">
        <f t="shared" ca="1" si="221"/>
        <v>2.0394472965301991</v>
      </c>
      <c r="S161" s="21"/>
      <c r="T161" s="21"/>
      <c r="AK161" s="3" t="s">
        <v>376</v>
      </c>
      <c r="AL161" s="1">
        <v>42915</v>
      </c>
      <c r="AM161" s="23" cm="1">
        <f t="array" aca="1" ref="AM161" ca="1">INDIRECT("'"&amp;$B31&amp;"'!"&amp;(D$5&amp;$P$20))</f>
        <v>1844340.2663519999</v>
      </c>
      <c r="AN161" s="23" cm="1">
        <f t="array" aca="1" ref="AN161" ca="1">INDIRECT("'"&amp;$B31&amp;"'!"&amp;(E$5&amp;$P$20))</f>
        <v>5596229.1569429999</v>
      </c>
      <c r="AO161" s="23" cm="1">
        <f t="array" aca="1" ref="AO161" ca="1">INDIRECT("'"&amp;$B31&amp;"'!"&amp;(F$5&amp;$P$20))</f>
        <v>405.92341299999998</v>
      </c>
      <c r="AP161" s="21">
        <f t="shared" ca="1" si="212"/>
        <v>3.6293361585070398E-2</v>
      </c>
      <c r="AQ161" s="21" cm="1">
        <f t="array" aca="1" ref="AQ161" ca="1">INDIRECT("'"&amp;AK161&amp;"'!"&amp;$H$5&amp;$P$20)+0.01</f>
        <v>4.4109000000000002E-2</v>
      </c>
      <c r="AR161" s="23">
        <f t="shared" ca="1" si="213"/>
        <v>5.1978999999960251E-2</v>
      </c>
      <c r="AS161" s="7">
        <f t="shared" ca="1" si="220"/>
        <v>6.3395776958252756E-2</v>
      </c>
      <c r="AT161" s="7">
        <f t="shared" ca="1" si="201"/>
        <v>1.9458109759463719E-2</v>
      </c>
      <c r="AU161" s="23">
        <f ca="1">AU162+AS161</f>
        <v>0.40069490976101363</v>
      </c>
      <c r="AV161" s="23">
        <f t="shared" ca="1" si="209"/>
        <v>1.6867249999961587E-2</v>
      </c>
      <c r="BK161" s="21" t="s">
        <v>374</v>
      </c>
      <c r="BL161" s="1">
        <v>43019</v>
      </c>
      <c r="BM161" s="34" cm="1">
        <f t="array" aca="1" ref="BM161" ca="1">INDIRECT("'"&amp;$B30&amp;"'!"&amp;(D$5&amp;$P$31))</f>
        <v>1844487.7558319999</v>
      </c>
      <c r="BN161" s="34" cm="1">
        <f t="array" aca="1" ref="BN161" ca="1">INDIRECT("'"&amp;$B30&amp;"'!"&amp;(E$5&amp;$P$31))</f>
        <v>5595551.3305120002</v>
      </c>
      <c r="BO161" s="34" cm="1">
        <f t="array" aca="1" ref="BO161" ca="1">INDIRECT("'"&amp;$B30&amp;"'!"&amp;(F$5&amp;$P$31))</f>
        <v>310.509477</v>
      </c>
      <c r="BP161" s="7">
        <f t="shared" ca="1" si="214"/>
        <v>4.7662908078034043</v>
      </c>
      <c r="BQ161" s="7" cm="1">
        <f t="array" aca="1" ref="BQ161" ca="1">INDIRECT("'"&amp;BK161&amp;"'!"&amp;$H$5&amp;$P$31)+0.01</f>
        <v>3.8690000000000002E-2</v>
      </c>
      <c r="BR161" s="23">
        <f t="shared" ca="1" si="215"/>
        <v>-0.87011799999999084</v>
      </c>
      <c r="BS161" s="7">
        <f t="shared" ca="1" si="216"/>
        <v>4.8450627858135347</v>
      </c>
      <c r="BT161" s="7">
        <f t="shared" ca="1" si="210"/>
        <v>1.4442014073098035</v>
      </c>
      <c r="BU161" s="23">
        <f t="shared" ca="1" si="217"/>
        <v>21.87099362125014</v>
      </c>
      <c r="BV161" s="23">
        <f t="shared" ca="1" si="218"/>
        <v>-2.5480687500000272</v>
      </c>
    </row>
    <row r="162" spans="5:74" x14ac:dyDescent="0.3">
      <c r="E162" s="23">
        <f t="shared" si="202"/>
        <v>0</v>
      </c>
      <c r="F162" s="23">
        <f t="shared" ca="1" si="203"/>
        <v>4.8127000000000003E-2</v>
      </c>
      <c r="G162" s="23">
        <f t="shared" ca="1" si="204"/>
        <v>5.2288000000000001E-2</v>
      </c>
      <c r="H162" s="23">
        <f t="shared" ca="1" si="205"/>
        <v>4.6421000000000004E-2</v>
      </c>
      <c r="I162" s="23">
        <f t="shared" si="206"/>
        <v>0</v>
      </c>
      <c r="P162" s="21"/>
      <c r="Q162" s="21"/>
      <c r="R162" s="21"/>
      <c r="S162" s="21"/>
      <c r="T162" s="21"/>
      <c r="AK162" s="3" t="s">
        <v>377</v>
      </c>
      <c r="AL162" s="1">
        <v>42814</v>
      </c>
      <c r="AM162" s="23" cm="1">
        <f t="array" aca="1" ref="AM162" ca="1">INDIRECT("'"&amp;$B32&amp;"'!"&amp;(D$5&amp;$P$20))</f>
        <v>1844340.282478</v>
      </c>
      <c r="AN162" s="23" cm="1">
        <f t="array" aca="1" ref="AN162" ca="1">INDIRECT("'"&amp;$B32&amp;"'!"&amp;(E$5&amp;$P$20))</f>
        <v>5596229.1894570002</v>
      </c>
      <c r="AO162" s="23" cm="1">
        <f t="array" aca="1" ref="AO162" ca="1">INDIRECT("'"&amp;$B32&amp;"'!"&amp;(F$5&amp;$P$20))</f>
        <v>405.87143400000002</v>
      </c>
      <c r="AP162" s="21">
        <f t="shared" ca="1" si="212"/>
        <v>4.9527956261044889E-3</v>
      </c>
      <c r="AQ162" s="21" cm="1">
        <f t="array" aca="1" ref="AQ162" ca="1">INDIRECT("'"&amp;AK162&amp;"'!"&amp;$H$5&amp;$P$20)+0.01</f>
        <v>3.0383E-2</v>
      </c>
      <c r="AR162" s="23">
        <f t="shared" ca="1" si="213"/>
        <v>-5.4020000000036816E-3</v>
      </c>
      <c r="AS162" s="7">
        <f t="shared" ca="1" si="220"/>
        <v>7.328832684268316E-3</v>
      </c>
      <c r="AT162" s="7">
        <f t="shared" ca="1" si="201"/>
        <v>2.3666022209616437E-3</v>
      </c>
      <c r="AU162" s="23">
        <f t="shared" ref="AU162:AU167" ca="1" si="222">AU163+AS162</f>
        <v>0.33729913280276086</v>
      </c>
      <c r="AV162" s="23">
        <f t="shared" ca="1" si="209"/>
        <v>-3.5111749999998665E-2</v>
      </c>
      <c r="BK162" s="21" t="s">
        <v>376</v>
      </c>
      <c r="BL162" s="1">
        <v>42915</v>
      </c>
      <c r="BM162" s="34" cm="1">
        <f t="array" aca="1" ref="BM162" ca="1">INDIRECT("'"&amp;$B31&amp;"'!"&amp;(D$5&amp;$P$31))</f>
        <v>1844485.6493859999</v>
      </c>
      <c r="BN162" s="34" cm="1">
        <f t="array" aca="1" ref="BN162" ca="1">INDIRECT("'"&amp;$B31&amp;"'!"&amp;(E$5&amp;$P$31))</f>
        <v>5595555.6060720002</v>
      </c>
      <c r="BO162" s="34" cm="1">
        <f t="array" aca="1" ref="BO162" ca="1">INDIRECT("'"&amp;$B31&amp;"'!"&amp;(F$5&amp;$P$31))</f>
        <v>311.37959499999999</v>
      </c>
      <c r="BP162" s="7">
        <f t="shared" ca="1" si="214"/>
        <v>3.1479844092867895</v>
      </c>
      <c r="BQ162" s="7" cm="1">
        <f t="array" aca="1" ref="BQ162" ca="1">INDIRECT("'"&amp;BK162&amp;"'!"&amp;$H$5&amp;$P$31)+0.01</f>
        <v>3.2587999999999999E-2</v>
      </c>
      <c r="BR162" s="23">
        <f t="shared" ca="1" si="215"/>
        <v>-0.4713130000000092</v>
      </c>
      <c r="BS162" s="7">
        <f t="shared" ca="1" si="216"/>
        <v>3.1830711247287118</v>
      </c>
      <c r="BT162" s="7">
        <f t="shared" ca="1" si="210"/>
        <v>0.97698222640188181</v>
      </c>
      <c r="BU162" s="23">
        <f t="shared" ca="1" si="217"/>
        <v>17.025930835436604</v>
      </c>
      <c r="BV162" s="23">
        <f t="shared" ca="1" si="218"/>
        <v>-1.6779507500000364</v>
      </c>
    </row>
    <row r="163" spans="5:74" x14ac:dyDescent="0.3">
      <c r="E163" s="23">
        <f t="shared" si="202"/>
        <v>0</v>
      </c>
      <c r="F163" s="23">
        <f t="shared" ca="1" si="203"/>
        <v>3.8238000000000001E-2</v>
      </c>
      <c r="G163" s="23">
        <f t="shared" ca="1" si="204"/>
        <v>4.8125000000000001E-2</v>
      </c>
      <c r="H163" s="23">
        <f t="shared" ca="1" si="205"/>
        <v>0.114924</v>
      </c>
      <c r="I163" s="23">
        <f t="shared" si="206"/>
        <v>0</v>
      </c>
      <c r="AK163" s="3" t="s">
        <v>378</v>
      </c>
      <c r="AL163" s="1">
        <v>42718</v>
      </c>
      <c r="AM163" s="23" cm="1">
        <f t="array" aca="1" ref="AM163" ca="1">INDIRECT("'"&amp;$B33&amp;"'!"&amp;(D$5&amp;$P$20))</f>
        <v>1844340.2796199999</v>
      </c>
      <c r="AN163" s="23" cm="1">
        <f t="array" aca="1" ref="AN163" ca="1">INDIRECT("'"&amp;$B33&amp;"'!"&amp;(E$5&amp;$P$20))</f>
        <v>5596229.1935019996</v>
      </c>
      <c r="AO163" s="23" cm="1">
        <f t="array" aca="1" ref="AO163" ca="1">INDIRECT("'"&amp;$B33&amp;"'!"&amp;(F$5&amp;$P$20))</f>
        <v>405.87683600000003</v>
      </c>
      <c r="AP163" s="21">
        <f t="shared" ca="1" si="212"/>
        <v>6.4681242947963735E-2</v>
      </c>
      <c r="AQ163" s="21" cm="1">
        <f t="array" aca="1" ref="AQ163" ca="1">INDIRECT("'"&amp;AK163&amp;"'!"&amp;$H$5&amp;$P$20)+0.01</f>
        <v>2.5010000000000001E-2</v>
      </c>
      <c r="AR163" s="23">
        <f t="shared" ca="1" si="213"/>
        <v>1.20340000000283E-2</v>
      </c>
      <c r="AS163" s="7">
        <f t="shared" ca="1" si="220"/>
        <v>6.5791187444020113E-2</v>
      </c>
      <c r="AT163" s="7">
        <f t="shared" ca="1" si="201"/>
        <v>3.9221669437781222E-2</v>
      </c>
      <c r="AU163" s="23">
        <f t="shared" ca="1" si="222"/>
        <v>0.32997030011849254</v>
      </c>
      <c r="AV163" s="23">
        <f t="shared" ca="1" si="209"/>
        <v>-2.9709749999994983E-2</v>
      </c>
      <c r="BK163" s="21" t="s">
        <v>377</v>
      </c>
      <c r="BL163" s="1">
        <v>42814</v>
      </c>
      <c r="BM163" s="34" cm="1">
        <f t="array" aca="1" ref="BM163" ca="1">INDIRECT("'"&amp;$B32&amp;"'!"&amp;(D$5&amp;$P$31))</f>
        <v>1844484.380591</v>
      </c>
      <c r="BN163" s="34" cm="1">
        <f t="array" aca="1" ref="BN163" ca="1">INDIRECT("'"&amp;$B32&amp;"'!"&amp;(E$5&amp;$P$31))</f>
        <v>5595558.4870379996</v>
      </c>
      <c r="BO163" s="34" cm="1">
        <f t="array" aca="1" ref="BO163" ca="1">INDIRECT("'"&amp;$B32&amp;"'!"&amp;(F$5&amp;$P$31))</f>
        <v>311.850908</v>
      </c>
      <c r="BP163" s="7">
        <f t="shared" ca="1" si="214"/>
        <v>0.7152810233200444</v>
      </c>
      <c r="BQ163" s="7" cm="1">
        <f t="array" aca="1" ref="BQ163" ca="1">INDIRECT("'"&amp;BK163&amp;"'!"&amp;$H$5&amp;$P$31)+0.01</f>
        <v>5.4443000000000005E-2</v>
      </c>
      <c r="BR163" s="23">
        <f t="shared" ca="1" si="215"/>
        <v>-4.8610000000053333E-3</v>
      </c>
      <c r="BS163" s="7">
        <f t="shared" ca="1" si="216"/>
        <v>0.71529754063799911</v>
      </c>
      <c r="BT163" s="7">
        <f t="shared" ca="1" si="210"/>
        <v>0.2309814974976872</v>
      </c>
      <c r="BU163" s="23">
        <f t="shared" ca="1" si="217"/>
        <v>13.842859710707893</v>
      </c>
      <c r="BV163" s="23">
        <f t="shared" ca="1" si="218"/>
        <v>-1.2066377500000272</v>
      </c>
    </row>
    <row r="164" spans="5:74" x14ac:dyDescent="0.3">
      <c r="E164" s="23">
        <f t="shared" si="202"/>
        <v>0</v>
      </c>
      <c r="F164" s="23">
        <f t="shared" ca="1" si="203"/>
        <v>4.1454000000000005E-2</v>
      </c>
      <c r="G164" s="23">
        <f t="shared" ca="1" si="204"/>
        <v>3.5723999999999999E-2</v>
      </c>
      <c r="H164" s="23">
        <f t="shared" ca="1" si="205"/>
        <v>3.8161E-2</v>
      </c>
      <c r="I164" s="23">
        <f t="shared" si="206"/>
        <v>0</v>
      </c>
      <c r="AK164" s="3" t="s">
        <v>379</v>
      </c>
      <c r="AL164" s="1">
        <v>42666</v>
      </c>
      <c r="AM164" s="23" cm="1">
        <f t="array" aca="1" ref="AM164" ca="1">INDIRECT("'"&amp;$B34&amp;"'!"&amp;(D$5&amp;$P$20))</f>
        <v>1844340.300116</v>
      </c>
      <c r="AN164" s="23" cm="1">
        <f t="array" aca="1" ref="AN164" ca="1">INDIRECT("'"&amp;$B34&amp;"'!"&amp;(E$5&amp;$P$20))</f>
        <v>5596229.2548500001</v>
      </c>
      <c r="AO164" s="23" cm="1">
        <f t="array" aca="1" ref="AO164" ca="1">INDIRECT("'"&amp;$B34&amp;"'!"&amp;(F$5&amp;$P$20))</f>
        <v>405.864802</v>
      </c>
      <c r="AP164" s="21">
        <f t="shared" ca="1" si="212"/>
        <v>7.5881445842143944E-2</v>
      </c>
      <c r="AQ164" s="21" cm="1">
        <f t="array" aca="1" ref="AQ164" ca="1">INDIRECT("'"&amp;AK164&amp;"'!"&amp;$H$5&amp;$P$20)+0.01</f>
        <v>3.1968000000000003E-2</v>
      </c>
      <c r="AR164" s="23">
        <f t="shared" ca="1" si="213"/>
        <v>-1.574500000003809E-2</v>
      </c>
      <c r="AS164" s="7">
        <f t="shared" ca="1" si="220"/>
        <v>7.7497734470727747E-2</v>
      </c>
      <c r="AT164" s="7">
        <f t="shared" ca="1" si="201"/>
        <v>2.3100286236466927E-2</v>
      </c>
      <c r="AU164" s="23">
        <f t="shared" ca="1" si="222"/>
        <v>0.26417911267447242</v>
      </c>
      <c r="AV164" s="23">
        <f t="shared" ca="1" si="209"/>
        <v>-4.1743750000023283E-2</v>
      </c>
      <c r="BK164" s="21" t="s">
        <v>378</v>
      </c>
      <c r="BL164" s="1">
        <v>42718</v>
      </c>
      <c r="BM164" s="34" cm="1">
        <f t="array" aca="1" ref="BM164" ca="1">INDIRECT("'"&amp;$B33&amp;"'!"&amp;(D$5&amp;$P$31))</f>
        <v>1844484.1270560001</v>
      </c>
      <c r="BN164" s="34" cm="1">
        <f t="array" aca="1" ref="BN164" ca="1">INDIRECT("'"&amp;$B33&amp;"'!"&amp;(E$5&amp;$P$31))</f>
        <v>5595559.155878</v>
      </c>
      <c r="BO164" s="34" cm="1">
        <f t="array" aca="1" ref="BO164" ca="1">INDIRECT("'"&amp;$B33&amp;"'!"&amp;(F$5&amp;$P$31))</f>
        <v>311.85576900000001</v>
      </c>
      <c r="BP164" s="7">
        <f t="shared" ca="1" si="214"/>
        <v>1.0904812419925543</v>
      </c>
      <c r="BQ164" s="7" cm="1">
        <f t="array" aca="1" ref="BQ164" ca="1">INDIRECT("'"&amp;BK164&amp;"'!"&amp;$H$5&amp;$P$31)+0.01</f>
        <v>2.9166999999999998E-2</v>
      </c>
      <c r="BR164" s="23">
        <f t="shared" ca="1" si="215"/>
        <v>-3.2077000000015232E-2</v>
      </c>
      <c r="BS164" s="7">
        <f t="shared" ca="1" si="216"/>
        <v>1.0909529197296393</v>
      </c>
      <c r="BT164" s="7">
        <f t="shared" ca="1" si="210"/>
        <v>0.65037577906959265</v>
      </c>
      <c r="BU164" s="23">
        <f t="shared" ca="1" si="217"/>
        <v>13.127562170069893</v>
      </c>
      <c r="BV164" s="23">
        <f t="shared" ca="1" si="218"/>
        <v>-1.2017767500000218</v>
      </c>
    </row>
    <row r="165" spans="5:74" x14ac:dyDescent="0.3">
      <c r="E165" s="23">
        <f t="shared" si="202"/>
        <v>0</v>
      </c>
      <c r="F165" s="23">
        <f t="shared" si="203"/>
        <v>0</v>
      </c>
      <c r="G165" s="23">
        <f t="shared" si="204"/>
        <v>0</v>
      </c>
      <c r="H165" s="23">
        <f t="shared" si="205"/>
        <v>0</v>
      </c>
      <c r="I165" s="23">
        <f t="shared" si="206"/>
        <v>0</v>
      </c>
      <c r="AK165" s="3" t="s">
        <v>380</v>
      </c>
      <c r="AL165" s="1">
        <v>42562</v>
      </c>
      <c r="AM165" s="23" cm="1">
        <f t="array" aca="1" ref="AM165" ca="1">INDIRECT("'"&amp;$B35&amp;"'!"&amp;(D$5&amp;$P$20))</f>
        <v>1844340.3011789999</v>
      </c>
      <c r="AN165" s="23" cm="1">
        <f t="array" aca="1" ref="AN165" ca="1">INDIRECT("'"&amp;$B35&amp;"'!"&amp;(E$5&amp;$P$20))</f>
        <v>5596229.330724</v>
      </c>
      <c r="AO165" s="23" cm="1">
        <f t="array" aca="1" ref="AO165" ca="1">INDIRECT("'"&amp;$B35&amp;"'!"&amp;(F$5&amp;$P$20))</f>
        <v>405.88054700000004</v>
      </c>
      <c r="AP165" s="21">
        <f t="shared" ca="1" si="212"/>
        <v>4.7515908986792955E-2</v>
      </c>
      <c r="AQ165" s="21" cm="1">
        <f t="array" aca="1" ref="AQ165" ca="1">INDIRECT("'"&amp;AK165&amp;"'!"&amp;$H$5&amp;$P$20)+0.01</f>
        <v>2.7913E-2</v>
      </c>
      <c r="AR165" s="23">
        <f t="shared" ca="1" si="213"/>
        <v>-1.2639750000005279E-2</v>
      </c>
      <c r="AS165" s="7">
        <f t="shared" ca="1" si="220"/>
        <v>4.9168332154994082E-2</v>
      </c>
      <c r="AT165" s="7">
        <f t="shared" ca="1" si="201"/>
        <v>1.3139812903489798E-2</v>
      </c>
      <c r="AU165" s="23">
        <f t="shared" ca="1" si="222"/>
        <v>0.18668137820374467</v>
      </c>
      <c r="AV165" s="23">
        <f t="shared" ca="1" si="209"/>
        <v>-2.5998749999985193E-2</v>
      </c>
      <c r="BK165" s="21" t="s">
        <v>379</v>
      </c>
      <c r="BL165" s="1">
        <v>42666</v>
      </c>
      <c r="BM165" s="34" cm="1">
        <f t="array" aca="1" ref="BM165" ca="1">INDIRECT("'"&amp;$B34&amp;"'!"&amp;(D$5&amp;$P$31))</f>
        <v>1844483.7092949999</v>
      </c>
      <c r="BN165" s="34" cm="1">
        <f t="array" aca="1" ref="BN165" ca="1">INDIRECT("'"&amp;$B34&amp;"'!"&amp;(E$5&amp;$P$31))</f>
        <v>5595560.163164</v>
      </c>
      <c r="BO165" s="34" cm="1">
        <f t="array" aca="1" ref="BO165" ca="1">INDIRECT("'"&amp;$B34&amp;"'!"&amp;(F$5&amp;$P$31))</f>
        <v>311.88784600000002</v>
      </c>
      <c r="BP165" s="7">
        <f t="shared" ca="1" si="214"/>
        <v>3.2059019874709991</v>
      </c>
      <c r="BQ165" s="7" cm="1">
        <f t="array" aca="1" ref="BQ165" ca="1">INDIRECT("'"&amp;BK165&amp;"'!"&amp;$H$5&amp;$P$31)+0.01</f>
        <v>3.2018999999999999E-2</v>
      </c>
      <c r="BR165" s="23">
        <f t="shared" ca="1" si="215"/>
        <v>-0.36151499999999714</v>
      </c>
      <c r="BS165" s="7">
        <f t="shared" ca="1" si="216"/>
        <v>3.2262207997121806</v>
      </c>
      <c r="BT165" s="7">
        <f t="shared" ca="1" si="210"/>
        <v>0.96166196914497692</v>
      </c>
      <c r="BU165" s="23">
        <f t="shared" ca="1" si="217"/>
        <v>12.036609250340254</v>
      </c>
      <c r="BV165" s="23">
        <f t="shared" ca="1" si="218"/>
        <v>-1.1696997500000066</v>
      </c>
    </row>
    <row r="166" spans="5:74" x14ac:dyDescent="0.3">
      <c r="E166" s="23">
        <f t="shared" ca="1" si="202"/>
        <v>2.5989999999999999E-2</v>
      </c>
      <c r="F166" s="23">
        <f t="shared" ca="1" si="203"/>
        <v>2.2419000000000001E-2</v>
      </c>
      <c r="G166" s="23">
        <f t="shared" ca="1" si="204"/>
        <v>3.6312999999999998E-2</v>
      </c>
      <c r="H166" s="23">
        <f t="shared" ca="1" si="205"/>
        <v>5.3024000000000002E-2</v>
      </c>
      <c r="I166" s="23">
        <f t="shared" si="206"/>
        <v>0</v>
      </c>
      <c r="P166">
        <f ca="1">AVERAGE(P159:T161)</f>
        <v>2.5683575031359043</v>
      </c>
      <c r="AK166" s="3" t="s">
        <v>381</v>
      </c>
      <c r="AL166" s="1">
        <v>42446</v>
      </c>
      <c r="AM166" s="23" cm="1">
        <f t="array" aca="1" ref="AM166" ca="1">INDIRECT("'"&amp;$B36&amp;"'!"&amp;(D$5&amp;$P$20))</f>
        <v>1844340.3233420001</v>
      </c>
      <c r="AN166" s="23" cm="1">
        <f t="array" aca="1" ref="AN166" ca="1">INDIRECT("'"&amp;$B36&amp;"'!"&amp;(E$5&amp;$P$20))</f>
        <v>5596229.3727545012</v>
      </c>
      <c r="AO166" s="23" cm="1">
        <f t="array" aca="1" ref="AO166" ca="1">INDIRECT("'"&amp;$B36&amp;"'!"&amp;(F$5&amp;$P$20))</f>
        <v>405.89318675000004</v>
      </c>
      <c r="AP166" s="21">
        <f t="shared" ca="1" si="212"/>
        <v>4.4327326456486918E-2</v>
      </c>
      <c r="AQ166" s="21" cm="1">
        <f t="array" aca="1" ref="AQ166" ca="1">INDIRECT("'"&amp;AK166&amp;"'!"&amp;$H$5&amp;$P$20)+0.01</f>
        <v>4.0364999999999998E-2</v>
      </c>
      <c r="AR166" s="23">
        <f t="shared" ca="1" si="213"/>
        <v>-1.8385499999965305E-2</v>
      </c>
      <c r="AS166" s="7">
        <f t="shared" ca="1" si="220"/>
        <v>4.7988941236796312E-2</v>
      </c>
      <c r="AT166" s="7">
        <f t="shared" ca="1" si="201"/>
        <v>1.4729278993472136E-2</v>
      </c>
      <c r="AU166" s="23">
        <f t="shared" ca="1" si="222"/>
        <v>0.13751304604875059</v>
      </c>
      <c r="AV166" s="23">
        <f t="shared" ca="1" si="209"/>
        <v>-1.3358999999979915E-2</v>
      </c>
      <c r="BK166" s="21" t="s">
        <v>380</v>
      </c>
      <c r="BL166" s="1">
        <v>42562</v>
      </c>
      <c r="BM166" s="34" cm="1">
        <f t="array" aca="1" ref="BM166" ca="1">INDIRECT("'"&amp;$B35&amp;"'!"&amp;(D$5&amp;$P$31))</f>
        <v>1844482.4826710001</v>
      </c>
      <c r="BN166" s="34" cm="1">
        <f t="array" aca="1" ref="BN166" ca="1">INDIRECT("'"&amp;$B35&amp;"'!"&amp;(E$5&amp;$P$31))</f>
        <v>5595563.1251229998</v>
      </c>
      <c r="BO166" s="34" cm="1">
        <f t="array" aca="1" ref="BO166" ca="1">INDIRECT("'"&amp;$B35&amp;"'!"&amp;(F$5&amp;$P$31))</f>
        <v>312.24936100000002</v>
      </c>
      <c r="BP166" s="7">
        <f t="shared" ca="1" si="214"/>
        <v>1.0754058811858753</v>
      </c>
      <c r="BQ166" s="7" cm="1">
        <f t="array" aca="1" ref="BQ166" ca="1">INDIRECT("'"&amp;BK166&amp;"'!"&amp;$H$5&amp;$P$31)+0.01</f>
        <v>3.0706999999999998E-2</v>
      </c>
      <c r="BR166" s="23">
        <f t="shared" ca="1" si="215"/>
        <v>-2.2865749999994023E-2</v>
      </c>
      <c r="BS166" s="7">
        <f t="shared" ca="1" si="216"/>
        <v>1.0756489445038429</v>
      </c>
      <c r="BT166" s="7">
        <f t="shared" ca="1" si="210"/>
        <v>0.2874579075829235</v>
      </c>
      <c r="BU166" s="23">
        <f t="shared" ca="1" si="217"/>
        <v>8.8103884506280732</v>
      </c>
      <c r="BV166" s="23">
        <f t="shared" ca="1" si="218"/>
        <v>-0.80818475000000944</v>
      </c>
    </row>
    <row r="167" spans="5:74" x14ac:dyDescent="0.3">
      <c r="E167" s="23">
        <f t="shared" ca="1" si="202"/>
        <v>2.7458999999999997E-2</v>
      </c>
      <c r="F167" s="23">
        <f t="shared" ca="1" si="203"/>
        <v>2.9137999999999997E-2</v>
      </c>
      <c r="G167" s="23">
        <f t="shared" ca="1" si="204"/>
        <v>2.3694E-2</v>
      </c>
      <c r="H167" s="23">
        <f t="shared" si="205"/>
        <v>0</v>
      </c>
      <c r="I167" s="23">
        <f t="shared" si="206"/>
        <v>0</v>
      </c>
      <c r="AK167" s="3" t="s">
        <v>382</v>
      </c>
      <c r="AL167" s="1">
        <v>42345</v>
      </c>
      <c r="AM167" s="23" cm="1">
        <f t="array" aca="1" ref="AM167" ca="1">INDIRECT("'"&amp;$B37&amp;"'!"&amp;(D$5&amp;$P$20))</f>
        <v>1844340.279696</v>
      </c>
      <c r="AN167" s="23" cm="1">
        <f t="array" aca="1" ref="AN167" ca="1">INDIRECT("'"&amp;$B37&amp;"'!"&amp;(E$5&amp;$P$20))</f>
        <v>5596229.3804965001</v>
      </c>
      <c r="AO167" s="23" cm="1">
        <f t="array" aca="1" ref="AO167" ca="1">INDIRECT("'"&amp;$B37&amp;"'!"&amp;(F$5&amp;$P$20))</f>
        <v>405.91157225000001</v>
      </c>
      <c r="AP167" s="21">
        <f t="shared" ca="1" si="212"/>
        <v>3.2460795452922186E-2</v>
      </c>
      <c r="AQ167" s="21" cm="1">
        <f t="array" aca="1" ref="AQ167" ca="1">INDIRECT("'"&amp;AK167&amp;"'!"&amp;$H$5&amp;$P$20)+0.01</f>
        <v>2.1999999999999999E-2</v>
      </c>
      <c r="AR167" s="23">
        <f t="shared" ca="1" si="213"/>
        <v>2.9026499999986299E-2</v>
      </c>
      <c r="AS167" s="7">
        <f t="shared" ca="1" si="220"/>
        <v>4.354584875376364E-2</v>
      </c>
      <c r="AT167" s="7">
        <f t="shared" ca="1" si="201"/>
        <v>1.9851783990686364E-2</v>
      </c>
      <c r="AU167" s="23">
        <f t="shared" ca="1" si="222"/>
        <v>8.9524104811954275E-2</v>
      </c>
      <c r="AV167" s="23">
        <f t="shared" ca="1" si="209"/>
        <v>5.0264999999853899E-3</v>
      </c>
      <c r="BK167" s="21" t="s">
        <v>381</v>
      </c>
      <c r="BL167" s="1">
        <v>42446</v>
      </c>
      <c r="BM167" s="34" cm="1">
        <f t="array" aca="1" ref="BM167" ca="1">INDIRECT("'"&amp;$B36&amp;"'!"&amp;(D$5&amp;$P$31))</f>
        <v>1844482.1219030002</v>
      </c>
      <c r="BN167" s="34" cm="1">
        <f t="array" aca="1" ref="BN167" ca="1">INDIRECT("'"&amp;$B36&amp;"'!"&amp;(E$5&amp;$P$31))</f>
        <v>5595564.1382095013</v>
      </c>
      <c r="BO167" s="34" cm="1">
        <f t="array" aca="1" ref="BO167" ca="1">INDIRECT("'"&amp;$B36&amp;"'!"&amp;(F$5&amp;$P$31))</f>
        <v>312.27222675000002</v>
      </c>
      <c r="BP167" s="7">
        <f t="shared" ca="1" si="214"/>
        <v>1.1828114007777679</v>
      </c>
      <c r="BQ167" s="7" cm="1">
        <f t="array" aca="1" ref="BQ167" ca="1">INDIRECT("'"&amp;BK167&amp;"'!"&amp;$H$5&amp;$P$31)+0.01</f>
        <v>3.0205999999999997E-2</v>
      </c>
      <c r="BR167" s="23">
        <f t="shared" ca="1" si="215"/>
        <v>-0.82034550000003037</v>
      </c>
      <c r="BS167" s="7">
        <f t="shared" ca="1" si="216"/>
        <v>1.4394476541994035</v>
      </c>
      <c r="BT167" s="7">
        <f t="shared" ca="1" si="210"/>
        <v>0.44181066614041098</v>
      </c>
      <c r="BU167" s="23">
        <f t="shared" ca="1" si="217"/>
        <v>7.7347395061242299</v>
      </c>
      <c r="BV167" s="23">
        <f t="shared" ca="1" si="218"/>
        <v>-0.78531900000001542</v>
      </c>
    </row>
    <row r="168" spans="5:74" x14ac:dyDescent="0.3">
      <c r="E168" s="23">
        <f t="shared" ca="1" si="202"/>
        <v>1.4E-2</v>
      </c>
      <c r="F168" s="23">
        <f t="shared" ca="1" si="203"/>
        <v>0.02</v>
      </c>
      <c r="G168" s="23">
        <f t="shared" ca="1" si="204"/>
        <v>2.0999999999999998E-2</v>
      </c>
      <c r="H168" s="23">
        <f t="shared" si="205"/>
        <v>0</v>
      </c>
      <c r="I168" s="23">
        <f t="shared" si="206"/>
        <v>0</v>
      </c>
      <c r="AK168" s="3" t="s">
        <v>383</v>
      </c>
      <c r="AL168" s="1">
        <v>42277</v>
      </c>
      <c r="AM168" s="23" cm="1">
        <f t="array" aca="1" ref="AM168" ca="1">INDIRECT("'"&amp;$B38&amp;"'!"&amp;(D$5&amp;$P$20))</f>
        <v>1844340.2988300002</v>
      </c>
      <c r="AN168" s="23" cm="1">
        <f t="array" aca="1" ref="AN168" ca="1">INDIRECT("'"&amp;$B38&amp;"'!"&amp;(E$5&amp;$P$20))</f>
        <v>5596229.3542745002</v>
      </c>
      <c r="AO168" s="23" cm="1">
        <f t="array" aca="1" ref="AO168" ca="1">INDIRECT("'"&amp;$B38&amp;"'!"&amp;(F$5&amp;$P$20))</f>
        <v>405.88254575000002</v>
      </c>
      <c r="AP168" s="21">
        <f ca="1">SQRT(((AM168-AM169)^2)+((AN168-AN169)^2))</f>
        <v>3.9217343486683286E-2</v>
      </c>
      <c r="AQ168" s="21" cm="1">
        <f t="array" aca="1" ref="AQ168" ca="1">INDIRECT("'"&amp;AK168&amp;"'!"&amp;$H$5&amp;$P$20)+0.01</f>
        <v>1.7000000000000001E-2</v>
      </c>
      <c r="AR168" s="23">
        <f ca="1">AO168-AO169</f>
        <v>-2.4000000000000909E-2</v>
      </c>
      <c r="AS168" s="7">
        <f ca="1">SQRT((AP168^2)+(AR168^2))</f>
        <v>4.5978256058190635E-2</v>
      </c>
      <c r="AT168" s="7">
        <f t="shared" ca="1" si="201"/>
        <v>1.6014898177572019E-2</v>
      </c>
      <c r="AU168" s="23">
        <f ca="1">AU169+AS168</f>
        <v>4.5978256058190635E-2</v>
      </c>
      <c r="AV168" s="23">
        <f ca="1">AV169+AR168</f>
        <v>-2.4000000000000909E-2</v>
      </c>
      <c r="BK168" s="21" t="s">
        <v>382</v>
      </c>
      <c r="BL168" s="1">
        <v>42345</v>
      </c>
      <c r="BM168" s="34" cm="1">
        <f t="array" aca="1" ref="BM168" ca="1">INDIRECT("'"&amp;$B37&amp;"'!"&amp;(D$5&amp;$P$31))</f>
        <v>1844483.2176960001</v>
      </c>
      <c r="BN168" s="34" cm="1">
        <f t="array" aca="1" ref="BN168" ca="1">INDIRECT("'"&amp;$B37&amp;"'!"&amp;(E$5&amp;$P$31))</f>
        <v>5595564.5834964998</v>
      </c>
      <c r="BO168" s="34" cm="1">
        <f t="array" aca="1" ref="BO168" ca="1">INDIRECT("'"&amp;$B37&amp;"'!"&amp;(F$5&amp;$P$31))</f>
        <v>313.09257225000005</v>
      </c>
      <c r="BP168" s="7">
        <f t="shared" ca="1" si="214"/>
        <v>2.863564588183007</v>
      </c>
      <c r="BQ168" s="7" cm="1">
        <f t="array" aca="1" ref="BQ168" ca="1">INDIRECT("'"&amp;BK168&amp;"'!"&amp;$H$5&amp;$P$31)+0.01</f>
        <v>1.9E-2</v>
      </c>
      <c r="BR168" s="23">
        <f t="shared" ca="1" si="215"/>
        <v>0.66002650000001495</v>
      </c>
      <c r="BS168" s="7">
        <f t="shared" ca="1" si="216"/>
        <v>2.9386454586080957</v>
      </c>
      <c r="BT168" s="7">
        <f t="shared" ca="1" si="210"/>
        <v>1.3396766061301613</v>
      </c>
      <c r="BU168" s="23">
        <f t="shared" ca="1" si="217"/>
        <v>6.2952918519248264</v>
      </c>
      <c r="BV168" s="23">
        <f t="shared" ca="1" si="218"/>
        <v>3.5026500000014948E-2</v>
      </c>
    </row>
    <row r="169" spans="5:74" x14ac:dyDescent="0.3">
      <c r="E169" s="23">
        <f t="shared" ca="1" si="202"/>
        <v>1.7000000000000001E-2</v>
      </c>
      <c r="F169" s="23">
        <f t="shared" ca="1" si="203"/>
        <v>1.7000000000000001E-2</v>
      </c>
      <c r="G169" s="23">
        <f t="shared" ca="1" si="204"/>
        <v>1.6E-2</v>
      </c>
      <c r="H169" s="23">
        <f t="shared" si="205"/>
        <v>0</v>
      </c>
      <c r="I169" s="23">
        <f t="shared" si="206"/>
        <v>0</v>
      </c>
      <c r="AK169" s="3" t="s">
        <v>384</v>
      </c>
      <c r="AL169" s="1">
        <v>42188</v>
      </c>
      <c r="AM169" s="23" cm="1">
        <f t="array" aca="1" ref="AM169" ca="1">INDIRECT("'"&amp;$B39&amp;"'!"&amp;(D$5&amp;$P$20))</f>
        <v>1844340.31183</v>
      </c>
      <c r="AN169" s="23" cm="1">
        <f t="array" aca="1" ref="AN169" ca="1">INDIRECT("'"&amp;$B39&amp;"'!"&amp;(E$5&amp;$P$20))</f>
        <v>5596229.3912745006</v>
      </c>
      <c r="AO169" s="23" cm="1">
        <f t="array" aca="1" ref="AO169" ca="1">INDIRECT("'"&amp;$B39&amp;"'!"&amp;(F$5&amp;$P$20))</f>
        <v>405.90654575000002</v>
      </c>
      <c r="AP169" s="21"/>
      <c r="AQ169" s="21"/>
      <c r="AR169" s="23"/>
      <c r="AS169" s="7"/>
      <c r="AT169" s="7"/>
      <c r="AU169" s="10"/>
      <c r="AV169" s="21">
        <v>0</v>
      </c>
      <c r="BK169" s="21" t="s">
        <v>383</v>
      </c>
      <c r="BL169" s="1">
        <v>42277</v>
      </c>
      <c r="BM169" s="34" cm="1">
        <f t="array" aca="1" ref="BM169" ca="1">INDIRECT("'"&amp;$B38&amp;"'!"&amp;(D$5&amp;$P$31))</f>
        <v>1844481.1158300003</v>
      </c>
      <c r="BN169" s="34" cm="1">
        <f t="array" aca="1" ref="BN169" ca="1">INDIRECT("'"&amp;$B38&amp;"'!"&amp;(E$5&amp;$P$31))</f>
        <v>5595566.5282744998</v>
      </c>
      <c r="BO169" s="34" cm="1">
        <f t="array" aca="1" ref="BO169" ca="1">INDIRECT("'"&amp;$B38&amp;"'!"&amp;(F$5&amp;$P$31))</f>
        <v>312.43254575000003</v>
      </c>
      <c r="BP169" s="7">
        <f t="shared" ca="1" si="214"/>
        <v>3.2979463321537268</v>
      </c>
      <c r="BQ169" s="7" cm="1">
        <f t="array" aca="1" ref="BQ169" ca="1">INDIRECT("'"&amp;BK169&amp;"'!"&amp;$H$5&amp;$P$31)+0.01</f>
        <v>1.8000000000000002E-2</v>
      </c>
      <c r="BR169" s="23">
        <f t="shared" ca="1" si="215"/>
        <v>-0.625</v>
      </c>
      <c r="BS169" s="7">
        <f t="shared" ca="1" si="216"/>
        <v>3.3566463933167312</v>
      </c>
      <c r="BT169" s="7">
        <f t="shared" ca="1" si="210"/>
        <v>1.1691689684586368</v>
      </c>
      <c r="BU169" s="23">
        <f t="shared" ca="1" si="217"/>
        <v>3.3566463933167312</v>
      </c>
      <c r="BV169" s="23">
        <f t="shared" ca="1" si="218"/>
        <v>-0.625</v>
      </c>
    </row>
    <row r="170" spans="5:74" x14ac:dyDescent="0.3">
      <c r="E170" s="23">
        <f t="shared" si="202"/>
        <v>0</v>
      </c>
      <c r="F170" s="23">
        <f t="shared" si="203"/>
        <v>0</v>
      </c>
      <c r="G170" s="23">
        <f t="shared" si="204"/>
        <v>0</v>
      </c>
      <c r="H170" s="23">
        <f t="shared" ca="1" si="205"/>
        <v>2.4E-2</v>
      </c>
      <c r="I170" s="23">
        <f t="shared" si="206"/>
        <v>0</v>
      </c>
      <c r="AL170" s="1"/>
      <c r="BK170" s="21" t="s">
        <v>384</v>
      </c>
      <c r="BL170" s="1">
        <v>42188</v>
      </c>
      <c r="BM170" s="34" cm="1">
        <f t="array" aca="1" ref="BM170" ca="1">INDIRECT("'"&amp;$B39&amp;"'!"&amp;(D$5&amp;$P$31))</f>
        <v>1844479.85883</v>
      </c>
      <c r="BN170" s="34" cm="1">
        <f t="array" aca="1" ref="BN170" ca="1">INDIRECT("'"&amp;$B39&amp;"'!"&amp;(E$5&amp;$P$31))</f>
        <v>5595569.5772745013</v>
      </c>
      <c r="BO170" s="34" cm="1">
        <f t="array" aca="1" ref="BO170" ca="1">INDIRECT("'"&amp;$B39&amp;"'!"&amp;(F$5&amp;$P$31))</f>
        <v>313.05754575000003</v>
      </c>
      <c r="BP170" s="7"/>
      <c r="BR170" s="21"/>
      <c r="BS170" s="21"/>
      <c r="BT170" s="21"/>
      <c r="BU170" s="21"/>
      <c r="BV170" s="21">
        <v>0</v>
      </c>
    </row>
    <row r="171" spans="5:74" x14ac:dyDescent="0.3">
      <c r="E171" s="23">
        <f>E158</f>
        <v>0</v>
      </c>
      <c r="F171" s="23">
        <f t="shared" ref="F171:I171" ca="1" si="223">F158</f>
        <v>2.9786E-2</v>
      </c>
      <c r="G171" s="23">
        <f t="shared" ca="1" si="223"/>
        <v>3.5746E-2</v>
      </c>
      <c r="H171" s="23">
        <f t="shared" ca="1" si="223"/>
        <v>2.9939E-2</v>
      </c>
      <c r="I171" s="23">
        <f t="shared" ca="1" si="223"/>
        <v>4.3092000000000005E-2</v>
      </c>
      <c r="AK171" s="4"/>
      <c r="AL171" s="52"/>
      <c r="AM171" s="4" t="s">
        <v>580</v>
      </c>
      <c r="AN171" s="4"/>
      <c r="AO171" s="4"/>
      <c r="AP171" s="4"/>
      <c r="AQ171" s="4"/>
      <c r="AR171" s="4"/>
      <c r="AS171" s="4"/>
      <c r="AT171" s="4"/>
      <c r="AU171" s="4"/>
      <c r="BP171" s="7"/>
    </row>
    <row r="172" spans="5:74" x14ac:dyDescent="0.3">
      <c r="E172" s="23">
        <f t="shared" ref="E172:I183" si="224">E159</f>
        <v>0</v>
      </c>
      <c r="F172" s="23">
        <f t="shared" ca="1" si="224"/>
        <v>3.5550999999999999E-2</v>
      </c>
      <c r="G172" s="23">
        <f t="shared" ca="1" si="224"/>
        <v>3.3084000000000002E-2</v>
      </c>
      <c r="H172" s="23">
        <f t="shared" ca="1" si="224"/>
        <v>3.4057999999999998E-2</v>
      </c>
      <c r="I172" s="23">
        <f t="shared" ca="1" si="224"/>
        <v>3.9764000000000001E-2</v>
      </c>
      <c r="AD172" s="3"/>
      <c r="AE172" s="3"/>
      <c r="AF172" s="3"/>
      <c r="AG172" s="3"/>
      <c r="AH172" s="3"/>
      <c r="AI172" s="3"/>
      <c r="AJ172" s="3"/>
      <c r="AK172" s="51" t="s">
        <v>579</v>
      </c>
      <c r="AL172" s="30"/>
      <c r="AM172" s="53" t="s">
        <v>541</v>
      </c>
      <c r="AN172" s="53" t="s">
        <v>542</v>
      </c>
      <c r="AO172" s="53" t="s">
        <v>543</v>
      </c>
      <c r="AP172" s="4" t="s">
        <v>427</v>
      </c>
      <c r="AQ172" s="4" t="s">
        <v>525</v>
      </c>
      <c r="AR172" s="4" t="s">
        <v>428</v>
      </c>
      <c r="AS172" s="4" t="s">
        <v>429</v>
      </c>
      <c r="AT172" s="4" t="s">
        <v>438</v>
      </c>
      <c r="AU172" s="4" t="s">
        <v>430</v>
      </c>
      <c r="AV172" s="33" t="s">
        <v>582</v>
      </c>
      <c r="BP172" s="7"/>
    </row>
    <row r="173" spans="5:74" x14ac:dyDescent="0.3">
      <c r="E173" s="23">
        <f t="shared" si="224"/>
        <v>0</v>
      </c>
      <c r="F173" s="23">
        <f t="shared" ca="1" si="224"/>
        <v>4.1085000000000003E-2</v>
      </c>
      <c r="G173" s="23">
        <f t="shared" ca="1" si="224"/>
        <v>3.1903000000000001E-2</v>
      </c>
      <c r="H173" s="23">
        <f t="shared" si="224"/>
        <v>0</v>
      </c>
      <c r="I173" s="23">
        <f t="shared" ca="1" si="224"/>
        <v>3.1018999999999998E-2</v>
      </c>
      <c r="AD173" s="3"/>
      <c r="AE173" s="3"/>
      <c r="AF173" s="3"/>
      <c r="AG173" s="3"/>
      <c r="AH173" s="3"/>
      <c r="AI173" s="3"/>
      <c r="AJ173" s="3"/>
      <c r="AK173" s="51" t="s">
        <v>526</v>
      </c>
      <c r="AL173" s="52">
        <v>43817</v>
      </c>
      <c r="AM173" s="54" cm="1">
        <f t="array" aca="1" ref="AM173" ca="1">INDIRECT("'"&amp;$B27&amp;"'!"&amp;(D$5&amp;$P$10))+AM186</f>
        <v>1844287.2375750004</v>
      </c>
      <c r="AN173" s="54" cm="1">
        <f t="array" aca="1" ref="AN173" ca="1">INDIRECT("'"&amp;$B27&amp;"'!"&amp;(E$5&amp;$P$10))+AN186</f>
        <v>5596665.5805647494</v>
      </c>
      <c r="AO173" s="54" cm="1">
        <f t="array" aca="1" ref="AO173" ca="1">INDIRECT("'"&amp;$B27&amp;"'!"&amp;(F$5&amp;$P$10))</f>
        <v>432.59008499999999</v>
      </c>
      <c r="AP173" s="4">
        <f ca="1">SQRT(((AM173-AM174)^2)+((AN173-AN174)^2))</f>
        <v>2.0848583265478698E-2</v>
      </c>
      <c r="AQ173" s="4" cm="1">
        <f t="array" aca="1" ref="AQ173" ca="1">INDIRECT("'"&amp;AK173&amp;"'!"&amp;$H$5&amp;$P$10)+0.01</f>
        <v>2.5233999999999999E-2</v>
      </c>
      <c r="AR173" s="54">
        <f ca="1">AO173-AO174</f>
        <v>-2.0939999999995962E-2</v>
      </c>
      <c r="AS173" s="55">
        <f ca="1">SQRT((AP173^2)+(AR173^2))</f>
        <v>2.9549061307889788E-2</v>
      </c>
      <c r="AT173" s="55">
        <f ca="1">(AS173/(AL173-AL174))*365</f>
        <v>2.4794039947999478E-2</v>
      </c>
      <c r="AU173" s="54">
        <f t="shared" ref="AU173:AU182" ca="1" si="225">AU174+AS173</f>
        <v>0.41716100369354592</v>
      </c>
      <c r="AV173" s="23">
        <f ca="1">AV174+AR173</f>
        <v>-3.4607500000447544E-3</v>
      </c>
      <c r="BK173" s="21" t="s">
        <v>594</v>
      </c>
      <c r="BL173" s="1"/>
      <c r="BM173" s="21" t="s">
        <v>541</v>
      </c>
      <c r="BN173" s="21" t="s">
        <v>542</v>
      </c>
      <c r="BO173" s="21" t="s">
        <v>543</v>
      </c>
      <c r="BP173" s="7" t="s">
        <v>427</v>
      </c>
      <c r="BQ173" s="7" t="s">
        <v>525</v>
      </c>
      <c r="BR173" s="21" t="s">
        <v>428</v>
      </c>
      <c r="BS173" s="21" t="s">
        <v>429</v>
      </c>
      <c r="BT173" s="21" t="s">
        <v>606</v>
      </c>
      <c r="BU173" s="21" t="s">
        <v>430</v>
      </c>
      <c r="BV173" s="33" t="s">
        <v>582</v>
      </c>
    </row>
    <row r="174" spans="5:74" x14ac:dyDescent="0.3">
      <c r="E174" s="23">
        <f t="shared" si="224"/>
        <v>0</v>
      </c>
      <c r="F174" s="23">
        <f t="shared" ca="1" si="224"/>
        <v>4.0024999999999998E-2</v>
      </c>
      <c r="G174" s="23">
        <f t="shared" si="224"/>
        <v>0</v>
      </c>
      <c r="H174" s="23">
        <f t="shared" ca="1" si="224"/>
        <v>3.9690999999999997E-2</v>
      </c>
      <c r="I174" s="23">
        <f t="shared" ca="1" si="224"/>
        <v>0.01</v>
      </c>
      <c r="AD174" s="22"/>
      <c r="AE174" s="22"/>
      <c r="AF174" s="22"/>
      <c r="AG174" s="22"/>
      <c r="AH174" s="22"/>
      <c r="AI174" s="22"/>
      <c r="AJ174" s="22"/>
      <c r="AK174" s="51" t="s">
        <v>373</v>
      </c>
      <c r="AL174" s="52">
        <v>43382</v>
      </c>
      <c r="AM174" s="54" cm="1">
        <f t="array" aca="1" ref="AM174" ca="1">INDIRECT("'"&amp;$B28&amp;"'!"&amp;(D$5&amp;$P$10))+AM186</f>
        <v>1844287.2464760004</v>
      </c>
      <c r="AN174" s="54" cm="1">
        <f t="array" aca="1" ref="AN174" ca="1">INDIRECT("'"&amp;$B28&amp;"'!"&amp;(E$5&amp;$P$10))+AN186</f>
        <v>5596665.5994177498</v>
      </c>
      <c r="AO174" s="54" cm="1">
        <f t="array" aca="1" ref="AO174" ca="1">INDIRECT("'"&amp;$B28&amp;"'!"&amp;(F$5&amp;$P$10))</f>
        <v>432.61102499999998</v>
      </c>
      <c r="AP174" s="4">
        <f ca="1">SQRT(((AM174-AM175)^2)+((AN174-AN175)^2))</f>
        <v>5.4044948977059915E-2</v>
      </c>
      <c r="AQ174" s="4" cm="1">
        <f t="array" aca="1" ref="AQ174" ca="1">INDIRECT("'"&amp;AK174&amp;"'!"&amp;$H$5&amp;$P$10)+0.01</f>
        <v>2.7025E-2</v>
      </c>
      <c r="AR174" s="54">
        <f ca="1">AO174-AO175</f>
        <v>-1.0982000000012704E-2</v>
      </c>
      <c r="AS174" s="55">
        <f t="shared" ref="AS174" ca="1" si="226">SQRT((AP174^2)+(AR174^2))</f>
        <v>5.5149440921312055E-2</v>
      </c>
      <c r="AT174" s="55">
        <f ca="1">(AS174/(AL174-AL175))*365</f>
        <v>0.1027017649810148</v>
      </c>
      <c r="AU174" s="54">
        <f t="shared" ca="1" si="225"/>
        <v>0.38761194238565611</v>
      </c>
      <c r="AV174" s="23">
        <f t="shared" ref="AV174:AV183" ca="1" si="227">AV175+AR174</f>
        <v>1.7479249999951207E-2</v>
      </c>
      <c r="BK174" s="21" t="s">
        <v>526</v>
      </c>
      <c r="BL174" s="1"/>
      <c r="BM174" s="34"/>
      <c r="BN174" s="34"/>
      <c r="BO174" s="34"/>
      <c r="BP174" s="7"/>
      <c r="BR174" s="23"/>
      <c r="BS174" s="7"/>
      <c r="BT174" s="7"/>
      <c r="BU174" s="23"/>
      <c r="BV174" s="23"/>
    </row>
    <row r="175" spans="5:74" x14ac:dyDescent="0.3">
      <c r="E175" s="23">
        <f t="shared" si="224"/>
        <v>0</v>
      </c>
      <c r="F175" s="23">
        <f t="shared" ca="1" si="224"/>
        <v>4.8127000000000003E-2</v>
      </c>
      <c r="G175" s="23">
        <f t="shared" ca="1" si="224"/>
        <v>5.2288000000000001E-2</v>
      </c>
      <c r="H175" s="23">
        <f t="shared" ca="1" si="224"/>
        <v>4.6421000000000004E-2</v>
      </c>
      <c r="I175" s="23">
        <f t="shared" si="224"/>
        <v>0</v>
      </c>
      <c r="AD175" s="3"/>
      <c r="AE175" s="3"/>
      <c r="AF175" s="3"/>
      <c r="AG175" s="3"/>
      <c r="AH175" s="3"/>
      <c r="AI175" s="3"/>
      <c r="AJ175" s="3"/>
      <c r="AK175" s="56" t="s">
        <v>375</v>
      </c>
      <c r="AL175" s="52">
        <v>43186</v>
      </c>
      <c r="AM175" s="54" cm="1">
        <f t="array" aca="1" ref="AM175" ca="1">INDIRECT("'"&amp;$B29&amp;"'!"&amp;(D$5&amp;$P$10))+AM186</f>
        <v>1844287.2848960003</v>
      </c>
      <c r="AN175" s="54" cm="1">
        <f t="array" aca="1" ref="AN175" ca="1">INDIRECT("'"&amp;$B29&amp;"'!"&amp;(E$5&amp;$P$10))+AN186</f>
        <v>5596665.63742775</v>
      </c>
      <c r="AO175" s="54" cm="1">
        <f t="array" aca="1" ref="AO175" ca="1">INDIRECT("'"&amp;$B29&amp;"'!"&amp;(F$5&amp;$P$10))</f>
        <v>432.622007</v>
      </c>
      <c r="AP175" s="4">
        <f ca="1">SQRT(((AM175-AM178)^2)+((AN175-AN178)^2))</f>
        <v>9.6691164728691437E-2</v>
      </c>
      <c r="AQ175" s="4" cm="1">
        <f t="array" aca="1" ref="AQ175" ca="1">INDIRECT("'"&amp;AK175&amp;"'!"&amp;$H$5&amp;$P$10)+0.01</f>
        <v>2.5958000000000002E-2</v>
      </c>
      <c r="AR175" s="54">
        <f ca="1">AO175-AO178</f>
        <v>-3.2341000000030817E-2</v>
      </c>
      <c r="AS175" s="55">
        <f t="shared" ref="AS175" ca="1" si="228">SQRT((AP175^2)+(AR175^2))</f>
        <v>0.10195646922874946</v>
      </c>
      <c r="AT175" s="55">
        <f ca="1">(AS175/(AL175-AL178))*365</f>
        <v>0.1000379335174558</v>
      </c>
      <c r="AU175" s="54">
        <f ca="1">AU178+AS175</f>
        <v>0.33246250146434403</v>
      </c>
      <c r="AV175" s="23">
        <f ca="1">AV178+AR175</f>
        <v>2.8461249999963911E-2</v>
      </c>
      <c r="BK175" s="21" t="s">
        <v>373</v>
      </c>
      <c r="BL175" s="1"/>
      <c r="BM175" s="34"/>
      <c r="BN175" s="34"/>
      <c r="BO175" s="34"/>
      <c r="BP175" s="7"/>
      <c r="BR175" s="23"/>
      <c r="BS175" s="7"/>
      <c r="BT175" s="7"/>
      <c r="BU175" s="23"/>
      <c r="BV175" s="23"/>
    </row>
    <row r="176" spans="5:74" x14ac:dyDescent="0.3">
      <c r="E176" s="23">
        <f t="shared" si="224"/>
        <v>0</v>
      </c>
      <c r="F176" s="23">
        <f t="shared" ca="1" si="224"/>
        <v>3.8238000000000001E-2</v>
      </c>
      <c r="G176" s="23">
        <f t="shared" ca="1" si="224"/>
        <v>4.8125000000000001E-2</v>
      </c>
      <c r="H176" s="23">
        <f t="shared" ca="1" si="224"/>
        <v>0.114924</v>
      </c>
      <c r="I176" s="23">
        <f t="shared" si="224"/>
        <v>0</v>
      </c>
      <c r="AD176" s="3"/>
      <c r="AE176" s="3"/>
      <c r="AF176" s="3"/>
      <c r="AG176" s="3"/>
      <c r="AH176" s="3"/>
      <c r="AI176" s="3"/>
      <c r="AJ176" s="3"/>
      <c r="AK176" s="56"/>
      <c r="AL176" s="58" t="s">
        <v>605</v>
      </c>
      <c r="AM176" s="58" t="s">
        <v>605</v>
      </c>
      <c r="AN176" s="58" t="s">
        <v>605</v>
      </c>
      <c r="AO176" s="58" t="s">
        <v>605</v>
      </c>
      <c r="AP176" s="58" t="s">
        <v>605</v>
      </c>
      <c r="AQ176" s="58" t="s">
        <v>605</v>
      </c>
      <c r="AR176" s="58" t="s">
        <v>605</v>
      </c>
      <c r="AS176" s="58" t="s">
        <v>605</v>
      </c>
      <c r="AT176" s="58"/>
      <c r="AU176" s="58"/>
      <c r="AV176" s="58"/>
      <c r="BK176" s="21" t="s">
        <v>375</v>
      </c>
      <c r="BL176" s="1">
        <v>43186</v>
      </c>
      <c r="BM176" s="34" cm="1">
        <f t="array" aca="1" ref="BM176" ca="1">INDIRECT("'"&amp;$B29&amp;"'!"&amp;(D$5&amp;$P$32))</f>
        <v>1844466.2812699999</v>
      </c>
      <c r="BN176" s="34" cm="1">
        <f t="array" aca="1" ref="BN176" ca="1">INDIRECT("'"&amp;$B29&amp;"'!"&amp;(E$5&amp;$P$32))</f>
        <v>5595443.1821339997</v>
      </c>
      <c r="BO176" s="34" cm="1">
        <f t="array" aca="1" ref="BO176" ca="1">INDIRECT("'"&amp;$B29&amp;"'!"&amp;(F$5&amp;$P$32))</f>
        <v>301.06923899999998</v>
      </c>
      <c r="BP176" s="7">
        <f t="shared" ref="BP176:BP185" ca="1" si="229">SQRT(((BM176-BM177)^2)+((BN176-BN177)^2))</f>
        <v>10.399209500341282</v>
      </c>
      <c r="BQ176" s="7" cm="1">
        <f t="array" aca="1" ref="BQ176" ca="1">INDIRECT("'"&amp;BK176&amp;"'!"&amp;$H$5&amp;$P$32)+0.01</f>
        <v>2.7227000000000001E-2</v>
      </c>
      <c r="BR176" s="23">
        <f t="shared" ref="BR176:BR185" ca="1" si="230">BO176-BO177</f>
        <v>-1.4924370000000522</v>
      </c>
      <c r="BS176" s="7">
        <f t="shared" ref="BS176:BS185" ca="1" si="231">SQRT((BP176^2)+(BR176^2))</f>
        <v>10.505756823330604</v>
      </c>
      <c r="BT176" s="7">
        <f t="shared" ref="BT176:BT185" ca="1" si="232">(BS176/(BL176-BL177))*31</f>
        <v>1.9501704282829264</v>
      </c>
      <c r="BU176" s="23">
        <f t="shared" ref="BU176:BU185" ca="1" si="233">BU177+BS176</f>
        <v>50.252885768358425</v>
      </c>
      <c r="BV176" s="23">
        <f t="shared" ref="BV176:BV185" ca="1" si="234">BV177+BR176</f>
        <v>-4.8413067500000579</v>
      </c>
    </row>
    <row r="177" spans="4:74" x14ac:dyDescent="0.3">
      <c r="E177" s="23">
        <f t="shared" si="224"/>
        <v>0</v>
      </c>
      <c r="F177" s="23">
        <f t="shared" ca="1" si="224"/>
        <v>4.1454000000000005E-2</v>
      </c>
      <c r="G177" s="23">
        <f t="shared" ca="1" si="224"/>
        <v>3.5723999999999999E-2</v>
      </c>
      <c r="H177" s="23">
        <f t="shared" ca="1" si="224"/>
        <v>3.8161E-2</v>
      </c>
      <c r="I177" s="23">
        <f t="shared" si="224"/>
        <v>0</v>
      </c>
      <c r="AD177" s="3"/>
      <c r="AE177" s="3"/>
      <c r="AF177" s="3"/>
      <c r="AG177" s="3"/>
      <c r="AH177" s="3"/>
      <c r="AI177" s="3"/>
      <c r="AJ177" s="3"/>
      <c r="AK177" s="56"/>
      <c r="AL177" s="58" t="s">
        <v>605</v>
      </c>
      <c r="AM177" s="58" t="s">
        <v>605</v>
      </c>
      <c r="AN177" s="58" t="s">
        <v>605</v>
      </c>
      <c r="AO177" s="58" t="s">
        <v>605</v>
      </c>
      <c r="AP177" s="58" t="s">
        <v>605</v>
      </c>
      <c r="AQ177" s="58" t="s">
        <v>605</v>
      </c>
      <c r="AR177" s="58" t="s">
        <v>605</v>
      </c>
      <c r="AS177" s="58" t="s">
        <v>605</v>
      </c>
      <c r="AT177" s="58"/>
      <c r="AU177" s="58"/>
      <c r="AV177" s="58"/>
      <c r="BK177" s="21" t="s">
        <v>374</v>
      </c>
      <c r="BL177" s="1">
        <v>43019</v>
      </c>
      <c r="BM177" s="34" cm="1">
        <f t="array" aca="1" ref="BM177" ca="1">INDIRECT("'"&amp;$B30&amp;"'!"&amp;(D$5&amp;$P$32))</f>
        <v>1844457.1071019999</v>
      </c>
      <c r="BN177" s="34" cm="1">
        <f t="array" aca="1" ref="BN177" ca="1">INDIRECT("'"&amp;$B30&amp;"'!"&amp;(E$5&amp;$P$32))</f>
        <v>5595448.078888</v>
      </c>
      <c r="BO177" s="34" cm="1">
        <f t="array" aca="1" ref="BO177" ca="1">INDIRECT("'"&amp;$B30&amp;"'!"&amp;(F$5&amp;$P$32))</f>
        <v>302.56167600000003</v>
      </c>
      <c r="BP177" s="7">
        <f t="shared" ca="1" si="229"/>
        <v>9.8367196886919679</v>
      </c>
      <c r="BQ177" s="7" cm="1">
        <f t="array" aca="1" ref="BQ177" ca="1">INDIRECT("'"&amp;BK177&amp;"'!"&amp;$H$5&amp;$P$32)+0.01</f>
        <v>3.0688E-2</v>
      </c>
      <c r="BR177" s="23">
        <f t="shared" ca="1" si="230"/>
        <v>-0.86120799999997644</v>
      </c>
      <c r="BS177" s="7">
        <f t="shared" ca="1" si="231"/>
        <v>9.8743472418770128</v>
      </c>
      <c r="BT177" s="7">
        <f t="shared" ca="1" si="232"/>
        <v>2.9433150432518018</v>
      </c>
      <c r="BU177" s="23">
        <f t="shared" ca="1" si="233"/>
        <v>39.747128945027818</v>
      </c>
      <c r="BV177" s="23">
        <f t="shared" ca="1" si="234"/>
        <v>-3.3488697500000058</v>
      </c>
    </row>
    <row r="178" spans="4:74" x14ac:dyDescent="0.3">
      <c r="E178" s="23">
        <f t="shared" si="224"/>
        <v>0</v>
      </c>
      <c r="F178" s="23">
        <f t="shared" si="224"/>
        <v>0</v>
      </c>
      <c r="G178" s="23">
        <f t="shared" si="224"/>
        <v>0</v>
      </c>
      <c r="H178" s="23">
        <f t="shared" si="224"/>
        <v>0</v>
      </c>
      <c r="I178" s="23">
        <f t="shared" si="224"/>
        <v>0</v>
      </c>
      <c r="AD178" s="3"/>
      <c r="AE178" s="3"/>
      <c r="AF178" s="3"/>
      <c r="AG178" s="3"/>
      <c r="AH178" s="3"/>
      <c r="AI178" s="3"/>
      <c r="AJ178" s="3"/>
      <c r="AK178" s="51" t="s">
        <v>377</v>
      </c>
      <c r="AL178" s="52">
        <v>42814</v>
      </c>
      <c r="AM178" s="54" cm="1">
        <f t="array" aca="1" ref="AM178" ca="1">INDIRECT("'"&amp;$B32&amp;"'!"&amp;(D$5&amp;$P$10))+AM186</f>
        <v>1844287.3395630002</v>
      </c>
      <c r="AN178" s="54" cm="1">
        <f t="array" aca="1" ref="AN178" ca="1">INDIRECT("'"&amp;$B32&amp;"'!"&amp;(E$5&amp;$P$10))+AN186</f>
        <v>5596665.7171817496</v>
      </c>
      <c r="AO178" s="54" cm="1">
        <f t="array" aca="1" ref="AO178" ca="1">INDIRECT("'"&amp;$B32&amp;"'!"&amp;(F$5&amp;$P$10))</f>
        <v>432.65434800000003</v>
      </c>
      <c r="AP178" s="4">
        <f ca="1">SQRT(((AM178-AM181)^2)+((AN178-AN181)^2))</f>
        <v>5.5194932856648733E-2</v>
      </c>
      <c r="AQ178" s="4" cm="1">
        <f t="array" aca="1" ref="AQ178" ca="1">INDIRECT("'"&amp;AK178&amp;"'!"&amp;$H$5&amp;$P$10)+0.01</f>
        <v>2.1069999999999998E-2</v>
      </c>
      <c r="AR178" s="54">
        <f ca="1">AO178-AO181</f>
        <v>7.3866000000009535E-2</v>
      </c>
      <c r="AS178" s="55">
        <f t="shared" ref="AS178" ca="1" si="235">SQRT((AP178^2)+(AR178^2))</f>
        <v>9.220990494004086E-2</v>
      </c>
      <c r="AT178" s="55">
        <f ca="1">(AS178/(AL178-AL181))*365</f>
        <v>0.133557997234583</v>
      </c>
      <c r="AU178" s="54">
        <f ca="1">AU181+AS178</f>
        <v>0.23050603223559457</v>
      </c>
      <c r="AV178" s="23">
        <f ca="1">AV181+AR178</f>
        <v>6.0802249999994729E-2</v>
      </c>
      <c r="BK178" s="21" t="s">
        <v>376</v>
      </c>
      <c r="BL178" s="1">
        <v>42915</v>
      </c>
      <c r="BM178" s="34" cm="1">
        <f t="array" aca="1" ref="BM178" ca="1">INDIRECT("'"&amp;$B31&amp;"'!"&amp;(D$5&amp;$P$32))</f>
        <v>1844448.518163</v>
      </c>
      <c r="BN178" s="34" cm="1">
        <f t="array" aca="1" ref="BN178" ca="1">INDIRECT("'"&amp;$B31&amp;"'!"&amp;(E$5&amp;$P$32))</f>
        <v>5595452.8738000002</v>
      </c>
      <c r="BO178" s="34" cm="1">
        <f t="array" aca="1" ref="BO178" ca="1">INDIRECT("'"&amp;$B31&amp;"'!"&amp;(F$5&amp;$P$32))</f>
        <v>303.42288400000001</v>
      </c>
      <c r="BP178" s="7">
        <f t="shared" ca="1" si="229"/>
        <v>6.557749655360543</v>
      </c>
      <c r="BQ178" s="7" cm="1">
        <f t="array" aca="1" ref="BQ178" ca="1">INDIRECT("'"&amp;BK178&amp;"'!"&amp;$H$5&amp;$P$32)+0.01</f>
        <v>3.0381999999999999E-2</v>
      </c>
      <c r="BR178" s="23">
        <f t="shared" ca="1" si="230"/>
        <v>-0.79948300000000927</v>
      </c>
      <c r="BS178" s="7">
        <f t="shared" ca="1" si="231"/>
        <v>6.6063040809268188</v>
      </c>
      <c r="BT178" s="7">
        <f t="shared" ca="1" si="232"/>
        <v>2.0276774901854595</v>
      </c>
      <c r="BU178" s="23">
        <f t="shared" ca="1" si="233"/>
        <v>29.872781703150803</v>
      </c>
      <c r="BV178" s="23">
        <f t="shared" ca="1" si="234"/>
        <v>-2.4876617500000293</v>
      </c>
    </row>
    <row r="179" spans="4:74" x14ac:dyDescent="0.3">
      <c r="E179" s="23">
        <f t="shared" ca="1" si="224"/>
        <v>2.5989999999999999E-2</v>
      </c>
      <c r="F179" s="23">
        <f t="shared" ca="1" si="224"/>
        <v>2.2419000000000001E-2</v>
      </c>
      <c r="G179" s="23">
        <f t="shared" ca="1" si="224"/>
        <v>3.6312999999999998E-2</v>
      </c>
      <c r="H179" s="23">
        <f t="shared" ca="1" si="224"/>
        <v>5.3024000000000002E-2</v>
      </c>
      <c r="I179" s="23">
        <f t="shared" si="224"/>
        <v>0</v>
      </c>
      <c r="AD179" s="3"/>
      <c r="AE179" s="3"/>
      <c r="AF179" s="3"/>
      <c r="AG179" s="3"/>
      <c r="AH179" s="3"/>
      <c r="AI179" s="3"/>
      <c r="AJ179" s="3"/>
      <c r="AK179" s="51"/>
      <c r="AL179" s="58" t="s">
        <v>605</v>
      </c>
      <c r="AM179" s="58" t="s">
        <v>605</v>
      </c>
      <c r="AN179" s="58" t="s">
        <v>605</v>
      </c>
      <c r="AO179" s="58" t="s">
        <v>605</v>
      </c>
      <c r="AP179" s="58" t="s">
        <v>605</v>
      </c>
      <c r="AQ179" s="58" t="s">
        <v>605</v>
      </c>
      <c r="AR179" s="58" t="s">
        <v>605</v>
      </c>
      <c r="AS179" s="58" t="s">
        <v>605</v>
      </c>
      <c r="AT179" s="58"/>
      <c r="AU179" s="58"/>
      <c r="AV179" s="58"/>
      <c r="BK179" s="21" t="s">
        <v>377</v>
      </c>
      <c r="BL179" s="1">
        <v>42814</v>
      </c>
      <c r="BM179" s="34" cm="1">
        <f t="array" aca="1" ref="BM179" ca="1">INDIRECT("'"&amp;$B32&amp;"'!"&amp;(D$5&amp;$P$32))</f>
        <v>1844442.8319969999</v>
      </c>
      <c r="BN179" s="34" cm="1">
        <f t="array" aca="1" ref="BN179" ca="1">INDIRECT("'"&amp;$B32&amp;"'!"&amp;(E$5&amp;$P$32))</f>
        <v>5595456.1405410003</v>
      </c>
      <c r="BO179" s="34" cm="1">
        <f t="array" aca="1" ref="BO179" ca="1">INDIRECT("'"&amp;$B32&amp;"'!"&amp;(F$5&amp;$P$32))</f>
        <v>304.22236700000002</v>
      </c>
      <c r="BP179" s="7">
        <f t="shared" ca="1" si="229"/>
        <v>1.6614730985614152</v>
      </c>
      <c r="BQ179" s="7" cm="1">
        <f t="array" aca="1" ref="BQ179" ca="1">INDIRECT("'"&amp;BK179&amp;"'!"&amp;$H$5&amp;$P$32)+0.01</f>
        <v>3.9334000000000001E-2</v>
      </c>
      <c r="BR179" s="23">
        <f t="shared" ca="1" si="230"/>
        <v>-0.14552099999997381</v>
      </c>
      <c r="BS179" s="7">
        <f t="shared" ca="1" si="231"/>
        <v>1.6678336903553252</v>
      </c>
      <c r="BT179" s="7">
        <f t="shared" ca="1" si="232"/>
        <v>0.53857129584390717</v>
      </c>
      <c r="BU179" s="23">
        <f t="shared" ca="1" si="233"/>
        <v>23.266477622223984</v>
      </c>
      <c r="BV179" s="23">
        <f t="shared" ca="1" si="234"/>
        <v>-1.68817875000002</v>
      </c>
    </row>
    <row r="180" spans="4:74" x14ac:dyDescent="0.3">
      <c r="E180" s="23">
        <f t="shared" ca="1" si="224"/>
        <v>2.7458999999999997E-2</v>
      </c>
      <c r="F180" s="23">
        <f t="shared" ca="1" si="224"/>
        <v>2.9137999999999997E-2</v>
      </c>
      <c r="G180" s="23">
        <f t="shared" ca="1" si="224"/>
        <v>2.3694E-2</v>
      </c>
      <c r="H180" s="23">
        <f t="shared" si="224"/>
        <v>0</v>
      </c>
      <c r="I180" s="23">
        <f t="shared" si="224"/>
        <v>0</v>
      </c>
      <c r="AD180" s="3"/>
      <c r="AE180" s="3"/>
      <c r="AF180" s="3"/>
      <c r="AG180" s="3"/>
      <c r="AH180" s="3"/>
      <c r="AI180" s="3"/>
      <c r="AJ180" s="3"/>
      <c r="AK180" s="51"/>
      <c r="AL180" s="58" t="s">
        <v>605</v>
      </c>
      <c r="AM180" s="58" t="s">
        <v>605</v>
      </c>
      <c r="AN180" s="58" t="s">
        <v>605</v>
      </c>
      <c r="AO180" s="58" t="s">
        <v>605</v>
      </c>
      <c r="AP180" s="58" t="s">
        <v>605</v>
      </c>
      <c r="AQ180" s="58" t="s">
        <v>605</v>
      </c>
      <c r="AR180" s="58" t="s">
        <v>605</v>
      </c>
      <c r="AS180" s="58" t="s">
        <v>605</v>
      </c>
      <c r="AT180" s="58"/>
      <c r="AU180" s="58"/>
      <c r="AV180" s="58"/>
      <c r="BK180" s="21" t="s">
        <v>378</v>
      </c>
      <c r="BL180" s="1">
        <v>42718</v>
      </c>
      <c r="BM180" s="34" cm="1">
        <f t="array" aca="1" ref="BM180" ca="1">INDIRECT("'"&amp;$B33&amp;"'!"&amp;(D$5&amp;$P$32))</f>
        <v>1844441.40915</v>
      </c>
      <c r="BN180" s="34" cm="1">
        <f t="array" aca="1" ref="BN180" ca="1">INDIRECT("'"&amp;$B33&amp;"'!"&amp;(E$5&amp;$P$32))</f>
        <v>5595456.9984449996</v>
      </c>
      <c r="BO180" s="34" cm="1">
        <f t="array" aca="1" ref="BO180" ca="1">INDIRECT("'"&amp;$B33&amp;"'!"&amp;(F$5&amp;$P$32))</f>
        <v>304.36788799999999</v>
      </c>
      <c r="BP180" s="7">
        <f t="shared" ca="1" si="229"/>
        <v>2.4741317558942408</v>
      </c>
      <c r="BQ180" s="7" cm="1">
        <f t="array" aca="1" ref="BQ180" ca="1">INDIRECT("'"&amp;BK180&amp;"'!"&amp;$H$5&amp;$P$32)+0.01</f>
        <v>2.7864E-2</v>
      </c>
      <c r="BR180" s="23">
        <f t="shared" ca="1" si="230"/>
        <v>-0.22848800000002711</v>
      </c>
      <c r="BS180" s="7">
        <f t="shared" ca="1" si="231"/>
        <v>2.4846598784679426</v>
      </c>
      <c r="BT180" s="7">
        <f t="shared" ca="1" si="232"/>
        <v>1.481239542932812</v>
      </c>
      <c r="BU180" s="23">
        <f t="shared" ca="1" si="233"/>
        <v>21.598643931868658</v>
      </c>
      <c r="BV180" s="23">
        <f t="shared" ca="1" si="234"/>
        <v>-1.5426577500000462</v>
      </c>
    </row>
    <row r="181" spans="4:74" x14ac:dyDescent="0.3">
      <c r="E181" s="23">
        <f t="shared" ca="1" si="224"/>
        <v>1.4E-2</v>
      </c>
      <c r="F181" s="23">
        <f t="shared" ca="1" si="224"/>
        <v>0.02</v>
      </c>
      <c r="G181" s="23">
        <f t="shared" ca="1" si="224"/>
        <v>2.0999999999999998E-2</v>
      </c>
      <c r="H181" s="23">
        <f t="shared" si="224"/>
        <v>0</v>
      </c>
      <c r="I181" s="23">
        <f t="shared" si="224"/>
        <v>0</v>
      </c>
      <c r="AD181" s="3"/>
      <c r="AE181" s="3"/>
      <c r="AF181" s="3"/>
      <c r="AG181" s="3"/>
      <c r="AH181" s="3"/>
      <c r="AI181" s="3"/>
      <c r="AK181" s="51" t="s">
        <v>380</v>
      </c>
      <c r="AL181" s="52">
        <v>42562</v>
      </c>
      <c r="AM181" s="54" cm="1">
        <f t="array" aca="1" ref="AM181" ca="1">INDIRECT("'"&amp;$B35&amp;"'!"&amp;(D$5&amp;$P$9))</f>
        <v>1844287.3049679999</v>
      </c>
      <c r="AN181" s="54" cm="1">
        <f t="array" aca="1" ref="AN181" ca="1">INDIRECT("'"&amp;$B35&amp;"'!"&amp;(E$5&amp;$P$9))</f>
        <v>5596665.6741739996</v>
      </c>
      <c r="AO181" s="54" cm="1">
        <f t="array" aca="1" ref="AO181" ca="1">INDIRECT("'"&amp;$B35&amp;"'!"&amp;(F$5&amp;$P$9))</f>
        <v>432.58048200000002</v>
      </c>
      <c r="AP181" s="4">
        <f t="shared" ref="AP181:AP183" ca="1" si="236">SQRT(((AM181-AM182)^2)+((AN181-AN182)^2))</f>
        <v>1.5815307017033851E-2</v>
      </c>
      <c r="AQ181" s="4" cm="1">
        <f t="array" aca="1" ref="AQ181" ca="1">INDIRECT("'"&amp;AK181&amp;"'!"&amp;$H$5&amp;$P$9)+0.01</f>
        <v>3.0275000000000003E-2</v>
      </c>
      <c r="AR181" s="54">
        <f t="shared" ref="AR181:AR183" ca="1" si="237">AO181-AO182</f>
        <v>6.4224999999851207E-4</v>
      </c>
      <c r="AS181" s="55">
        <f t="shared" ref="AS181:AS183" ca="1" si="238">SQRT((AP181^2)+(AR181^2))</f>
        <v>1.5828342335997735E-2</v>
      </c>
      <c r="AT181" s="55">
        <f ca="1">(AS181/(AL181-AL182))*365</f>
        <v>4.9804697867579073E-2</v>
      </c>
      <c r="AU181" s="54">
        <f t="shared" ca="1" si="225"/>
        <v>0.13829612729555371</v>
      </c>
      <c r="AV181" s="23">
        <f t="shared" ca="1" si="227"/>
        <v>-1.3063750000014807E-2</v>
      </c>
      <c r="BK181" s="21" t="s">
        <v>379</v>
      </c>
      <c r="BL181" s="1">
        <v>42666</v>
      </c>
      <c r="BM181" s="34" cm="1">
        <f t="array" aca="1" ref="BM181" ca="1">INDIRECT("'"&amp;$B34&amp;"'!"&amp;(D$5&amp;$P$32))</f>
        <v>1844439.2838099999</v>
      </c>
      <c r="BN181" s="34" cm="1">
        <f t="array" aca="1" ref="BN181" ca="1">INDIRECT("'"&amp;$B34&amp;"'!"&amp;(E$5&amp;$P$32))</f>
        <v>5595458.2650380004</v>
      </c>
      <c r="BO181" s="34" cm="1">
        <f t="array" aca="1" ref="BO181" ca="1">INDIRECT("'"&amp;$B34&amp;"'!"&amp;(F$5&amp;$P$32))</f>
        <v>304.59637600000002</v>
      </c>
      <c r="BP181" s="7">
        <f t="shared" ca="1" si="229"/>
        <v>6.4384326329073627</v>
      </c>
      <c r="BQ181" s="7" cm="1">
        <f t="array" aca="1" ref="BQ181" ca="1">INDIRECT("'"&amp;BK181&amp;"'!"&amp;$H$5&amp;$P$32)+0.01</f>
        <v>2.8823000000000001E-2</v>
      </c>
      <c r="BR181" s="23">
        <f t="shared" ca="1" si="230"/>
        <v>-0.61289399999998295</v>
      </c>
      <c r="BS181" s="7">
        <f t="shared" ca="1" si="231"/>
        <v>6.467538467123517</v>
      </c>
      <c r="BT181" s="7">
        <f t="shared" ca="1" si="232"/>
        <v>1.9278239661618175</v>
      </c>
      <c r="BU181" s="23">
        <f t="shared" ca="1" si="233"/>
        <v>19.113984053400713</v>
      </c>
      <c r="BV181" s="23">
        <f t="shared" ca="1" si="234"/>
        <v>-1.3141697500000191</v>
      </c>
    </row>
    <row r="182" spans="4:74" x14ac:dyDescent="0.3">
      <c r="E182" s="23">
        <f t="shared" ca="1" si="224"/>
        <v>1.7000000000000001E-2</v>
      </c>
      <c r="F182" s="23">
        <f t="shared" ca="1" si="224"/>
        <v>1.7000000000000001E-2</v>
      </c>
      <c r="G182" s="23">
        <f t="shared" ca="1" si="224"/>
        <v>1.6E-2</v>
      </c>
      <c r="H182" s="23">
        <f t="shared" si="224"/>
        <v>0</v>
      </c>
      <c r="I182" s="23">
        <f t="shared" si="224"/>
        <v>0</v>
      </c>
      <c r="AD182" s="3"/>
      <c r="AE182" s="3"/>
      <c r="AF182" s="3"/>
      <c r="AG182" s="3"/>
      <c r="AH182" s="3"/>
      <c r="AI182" s="3"/>
      <c r="AK182" s="51" t="s">
        <v>381</v>
      </c>
      <c r="AL182" s="52">
        <v>42446</v>
      </c>
      <c r="AM182" s="54" cm="1">
        <f t="array" aca="1" ref="AM182" ca="1">INDIRECT("'"&amp;$B36&amp;"'!"&amp;(D$5&amp;$P$9))</f>
        <v>1844287.3194910001</v>
      </c>
      <c r="AN182" s="54" cm="1">
        <f t="array" aca="1" ref="AN182" ca="1">INDIRECT("'"&amp;$B36&amp;"'!"&amp;(E$5&amp;$P$9))</f>
        <v>5596665.680435501</v>
      </c>
      <c r="AO182" s="54" cm="1">
        <f t="array" aca="1" ref="AO182" ca="1">INDIRECT("'"&amp;$B36&amp;"'!"&amp;(F$5&amp;$P$9))</f>
        <v>432.57983975000002</v>
      </c>
      <c r="AP182" s="4">
        <f t="shared" ca="1" si="236"/>
        <v>1.2074756068989069E-2</v>
      </c>
      <c r="AQ182" s="4" cm="1">
        <f t="array" aca="1" ref="AQ182" ca="1">INDIRECT("'"&amp;AK182&amp;"'!"&amp;$H$5&amp;$P$9)+0.01</f>
        <v>2.3694E-2</v>
      </c>
      <c r="AR182" s="54">
        <f t="shared" ca="1" si="237"/>
        <v>-3.0732499999999163E-2</v>
      </c>
      <c r="AS182" s="55">
        <f t="shared" ca="1" si="238"/>
        <v>3.3019483496498504E-2</v>
      </c>
      <c r="AT182" s="55">
        <f ca="1">(AS182/(AL182-AL183))*365</f>
        <v>0.11932783639823717</v>
      </c>
      <c r="AU182" s="54">
        <f t="shared" ca="1" si="225"/>
        <v>0.12246778495955599</v>
      </c>
      <c r="AV182" s="23">
        <f t="shared" ca="1" si="227"/>
        <v>-1.3706000000013319E-2</v>
      </c>
      <c r="BK182" s="21" t="s">
        <v>380</v>
      </c>
      <c r="BL182" s="1">
        <v>42562</v>
      </c>
      <c r="BM182" s="34" cm="1">
        <f t="array" aca="1" ref="BM182" ca="1">INDIRECT("'"&amp;$B35&amp;"'!"&amp;(D$5&amp;$P$32))</f>
        <v>1844433.821334</v>
      </c>
      <c r="BN182" s="34" cm="1">
        <f t="array" aca="1" ref="BN182" ca="1">INDIRECT("'"&amp;$B35&amp;"'!"&amp;(E$5&amp;$P$32))</f>
        <v>5595461.6730829999</v>
      </c>
      <c r="BO182" s="34" cm="1">
        <f t="array" aca="1" ref="BO182" ca="1">INDIRECT("'"&amp;$B35&amp;"'!"&amp;(F$5&amp;$P$32))</f>
        <v>305.20927</v>
      </c>
      <c r="BP182" s="7">
        <f t="shared" ca="1" si="229"/>
        <v>2.3084378254108131</v>
      </c>
      <c r="BQ182" s="7" cm="1">
        <f t="array" aca="1" ref="BQ182" ca="1">INDIRECT("'"&amp;BK182&amp;"'!"&amp;$H$5&amp;$P$32)+0.01</f>
        <v>4.1001000000000003E-2</v>
      </c>
      <c r="BR182" s="23">
        <f t="shared" ca="1" si="230"/>
        <v>-0.21558974999999236</v>
      </c>
      <c r="BS182" s="7">
        <f t="shared" ca="1" si="231"/>
        <v>2.3184831537219464</v>
      </c>
      <c r="BT182" s="7">
        <f t="shared" ca="1" si="232"/>
        <v>0.61959463590845121</v>
      </c>
      <c r="BU182" s="23">
        <f t="shared" ca="1" si="233"/>
        <v>12.646445586277196</v>
      </c>
      <c r="BV182" s="23">
        <f t="shared" ca="1" si="234"/>
        <v>-0.70127575000003617</v>
      </c>
    </row>
    <row r="183" spans="4:74" x14ac:dyDescent="0.3">
      <c r="E183" s="23">
        <f t="shared" si="224"/>
        <v>0</v>
      </c>
      <c r="F183" s="23">
        <f t="shared" si="224"/>
        <v>0</v>
      </c>
      <c r="G183" s="23">
        <f t="shared" si="224"/>
        <v>0</v>
      </c>
      <c r="H183" s="23">
        <f t="shared" ca="1" si="224"/>
        <v>2.4E-2</v>
      </c>
      <c r="I183" s="23">
        <f t="shared" si="224"/>
        <v>0</v>
      </c>
      <c r="AD183" s="3"/>
      <c r="AE183" s="3"/>
      <c r="AF183" s="3"/>
      <c r="AG183" s="3"/>
      <c r="AH183" s="3"/>
      <c r="AI183" s="3"/>
      <c r="AK183" s="51" t="s">
        <v>382</v>
      </c>
      <c r="AL183" s="52">
        <v>42345</v>
      </c>
      <c r="AM183" s="54" cm="1">
        <f t="array" aca="1" ref="AM183" ca="1">INDIRECT("'"&amp;$B37&amp;"'!"&amp;(D$5&amp;$P$9))</f>
        <v>1844287.3096960001</v>
      </c>
      <c r="AN183" s="54" cm="1">
        <f t="array" aca="1" ref="AN183" ca="1">INDIRECT("'"&amp;$B37&amp;"'!"&amp;(E$5&amp;$P$9))</f>
        <v>5596665.6874965001</v>
      </c>
      <c r="AO183" s="54" cm="1">
        <f t="array" aca="1" ref="AO183" ca="1">INDIRECT("'"&amp;$B37&amp;"'!"&amp;(F$5&amp;$P$9))</f>
        <v>432.61057225000002</v>
      </c>
      <c r="AP183" s="4">
        <f t="shared" ca="1" si="236"/>
        <v>3.0243267304493324E-2</v>
      </c>
      <c r="AQ183" s="4" cm="1">
        <f t="array" aca="1" ref="AQ183" ca="1">INDIRECT("'"&amp;AK183&amp;"'!"&amp;$H$5&amp;$P$9)+0.01</f>
        <v>2.0999999999999998E-2</v>
      </c>
      <c r="AR183" s="54">
        <f t="shared" ca="1" si="237"/>
        <v>1.8026500000019041E-2</v>
      </c>
      <c r="AS183" s="55">
        <f t="shared" ca="1" si="238"/>
        <v>3.5208094516768741E-2</v>
      </c>
      <c r="AT183" s="55">
        <f ca="1">(AS183/(AL183-AL184))*365</f>
        <v>0.18898462497971458</v>
      </c>
      <c r="AU183" s="54">
        <f ca="1">AU184+AS183</f>
        <v>8.9448301463057489E-2</v>
      </c>
      <c r="AV183" s="23">
        <f t="shared" ca="1" si="227"/>
        <v>1.7026499999985845E-2</v>
      </c>
      <c r="BK183" s="21" t="s">
        <v>381</v>
      </c>
      <c r="BL183" s="1">
        <v>42446</v>
      </c>
      <c r="BM183" s="34" cm="1">
        <f t="array" aca="1" ref="BM183" ca="1">INDIRECT("'"&amp;$B36&amp;"'!"&amp;(D$5&amp;$P$32))</f>
        <v>1844431.9235280002</v>
      </c>
      <c r="BN183" s="34" cm="1">
        <f t="array" aca="1" ref="BN183" ca="1">INDIRECT("'"&amp;$B36&amp;"'!"&amp;(E$5&amp;$P$32))</f>
        <v>5595462.9873195011</v>
      </c>
      <c r="BO183" s="34" cm="1">
        <f t="array" aca="1" ref="BO183" ca="1">INDIRECT("'"&amp;$B36&amp;"'!"&amp;(F$5&amp;$P$32))</f>
        <v>305.42485975</v>
      </c>
      <c r="BP183" s="7">
        <f t="shared" ca="1" si="229"/>
        <v>0.82932395352725652</v>
      </c>
      <c r="BQ183" s="7" cm="1">
        <f t="array" aca="1" ref="BQ183" ca="1">INDIRECT("'"&amp;BK183&amp;"'!"&amp;$H$5&amp;$P$32)+0.01</f>
        <v>2.7968E-2</v>
      </c>
      <c r="BR183" s="23">
        <f t="shared" ca="1" si="230"/>
        <v>-0.89271250000001601</v>
      </c>
      <c r="BS183" s="7">
        <f t="shared" ca="1" si="231"/>
        <v>1.2184883370596362</v>
      </c>
      <c r="BT183" s="7">
        <f t="shared" ca="1" si="232"/>
        <v>0.3739914697905814</v>
      </c>
      <c r="BU183" s="23">
        <f t="shared" ca="1" si="233"/>
        <v>10.32796243255525</v>
      </c>
      <c r="BV183" s="23">
        <f t="shared" ca="1" si="234"/>
        <v>-0.4856860000000438</v>
      </c>
    </row>
    <row r="184" spans="4:74" x14ac:dyDescent="0.3">
      <c r="E184" s="23"/>
      <c r="AD184" s="3"/>
      <c r="AE184" s="3"/>
      <c r="AF184" s="3"/>
      <c r="AG184" s="3"/>
      <c r="AH184" s="3"/>
      <c r="AI184" s="3"/>
      <c r="AK184" s="51" t="s">
        <v>383</v>
      </c>
      <c r="AL184" s="52">
        <v>42277</v>
      </c>
      <c r="AM184" s="54" cm="1">
        <f t="array" aca="1" ref="AM184" ca="1">INDIRECT("'"&amp;$B38&amp;"'!"&amp;(D$5&amp;$P$9))</f>
        <v>1844287.3108300001</v>
      </c>
      <c r="AN184" s="54" cm="1">
        <f t="array" aca="1" ref="AN184" ca="1">INDIRECT("'"&amp;$B38&amp;"'!"&amp;(E$5&amp;$P$9))</f>
        <v>5596665.6572745005</v>
      </c>
      <c r="AO184" s="54" cm="1">
        <f t="array" aca="1" ref="AO184" ca="1">INDIRECT("'"&amp;$B38&amp;"'!"&amp;(F$5&amp;$P$9))</f>
        <v>432.59254575</v>
      </c>
      <c r="AP184" s="4">
        <f ca="1">SQRT(((AM184-AM185)^2)+((AN184-AN185)^2))</f>
        <v>5.4230987908908346E-2</v>
      </c>
      <c r="AQ184" s="4" cm="1">
        <f t="array" aca="1" ref="AQ184" ca="1">INDIRECT("'"&amp;AK184&amp;"'!"&amp;$H$5&amp;$P$9)+0.01</f>
        <v>1.6E-2</v>
      </c>
      <c r="AR184" s="54">
        <f ca="1">AO184-AO185</f>
        <v>-1.0000000000331966E-3</v>
      </c>
      <c r="AS184" s="55">
        <f ca="1">SQRT((AP184^2)+(AR184^2))</f>
        <v>5.4240206946288741E-2</v>
      </c>
      <c r="AT184" s="55">
        <f ca="1">(AS184/(AL184-AL185))*365</f>
        <v>0.22244579253253247</v>
      </c>
      <c r="AU184" s="54">
        <f ca="1">AU185+AS184</f>
        <v>5.4240206946288741E-2</v>
      </c>
      <c r="AV184" s="23">
        <f ca="1">AV185+AR184</f>
        <v>-1.0000000000331966E-3</v>
      </c>
      <c r="BK184" s="21" t="s">
        <v>382</v>
      </c>
      <c r="BL184" s="1">
        <v>42345</v>
      </c>
      <c r="BM184" s="34" cm="1">
        <f t="array" aca="1" ref="BM184" ca="1">INDIRECT("'"&amp;$B37&amp;"'!"&amp;(D$5&amp;$P$32))</f>
        <v>1844431.840696</v>
      </c>
      <c r="BN184" s="34" cm="1">
        <f t="array" aca="1" ref="BN184" ca="1">INDIRECT("'"&amp;$B37&amp;"'!"&amp;(E$5&amp;$P$32))</f>
        <v>5595463.8124965001</v>
      </c>
      <c r="BO184" s="34" cm="1">
        <f t="array" aca="1" ref="BO184" ca="1">INDIRECT("'"&amp;$B37&amp;"'!"&amp;(F$5&amp;$P$32))</f>
        <v>306.31757225000001</v>
      </c>
      <c r="BP184" s="7">
        <f t="shared" ca="1" si="229"/>
        <v>4.4290866087632317</v>
      </c>
      <c r="BQ184" s="7" cm="1">
        <f t="array" aca="1" ref="BQ184" ca="1">INDIRECT("'"&amp;BK184&amp;"'!"&amp;$H$5&amp;$P$32)+0.01</f>
        <v>5.5E-2</v>
      </c>
      <c r="BR184" s="23">
        <f t="shared" ca="1" si="230"/>
        <v>0.68402650000001586</v>
      </c>
      <c r="BS184" s="7">
        <f t="shared" ca="1" si="231"/>
        <v>4.4815957471226762</v>
      </c>
      <c r="BT184" s="7">
        <f t="shared" ca="1" si="232"/>
        <v>2.0430804141294554</v>
      </c>
      <c r="BU184" s="23">
        <f t="shared" ca="1" si="233"/>
        <v>9.1094740954956137</v>
      </c>
      <c r="BV184" s="23">
        <f t="shared" ca="1" si="234"/>
        <v>0.4070264999999722</v>
      </c>
    </row>
    <row r="185" spans="4:74" x14ac:dyDescent="0.3">
      <c r="E185" s="23"/>
      <c r="AK185" s="51" t="s">
        <v>384</v>
      </c>
      <c r="AL185" s="52">
        <v>42188</v>
      </c>
      <c r="AM185" s="54" cm="1">
        <f t="array" aca="1" ref="AM185" ca="1">INDIRECT("'"&amp;$B39&amp;"'!"&amp;(D$5&amp;$P$9))</f>
        <v>1844287.3058300002</v>
      </c>
      <c r="AN185" s="54" cm="1">
        <f t="array" aca="1" ref="AN185" ca="1">INDIRECT("'"&amp;$B39&amp;"'!"&amp;(E$5&amp;$P$9))</f>
        <v>5596665.7112745009</v>
      </c>
      <c r="AO185" s="54" cm="1">
        <f t="array" aca="1" ref="AO185" ca="1">INDIRECT("'"&amp;$B39&amp;"'!"&amp;(F$5&amp;$P$9))</f>
        <v>432.59354575000003</v>
      </c>
      <c r="AP185" s="4"/>
      <c r="AQ185" s="4"/>
      <c r="AR185" s="54"/>
      <c r="AS185" s="55"/>
      <c r="AT185" s="55"/>
      <c r="AU185" s="57"/>
      <c r="AV185" s="21">
        <v>0</v>
      </c>
      <c r="BK185" s="21" t="s">
        <v>383</v>
      </c>
      <c r="BL185" s="1">
        <v>42277</v>
      </c>
      <c r="BM185" s="34" cm="1">
        <f t="array" aca="1" ref="BM185" ca="1">INDIRECT("'"&amp;$B38&amp;"'!"&amp;(D$5&amp;$P$32))</f>
        <v>1844427.8658300003</v>
      </c>
      <c r="BN185" s="34" cm="1">
        <f t="array" aca="1" ref="BN185" ca="1">INDIRECT("'"&amp;$B38&amp;"'!"&amp;(E$5&amp;$P$32))</f>
        <v>5595465.7662744997</v>
      </c>
      <c r="BO185" s="34" cm="1">
        <f t="array" aca="1" ref="BO185" ca="1">INDIRECT("'"&amp;$B38&amp;"'!"&amp;(F$5&amp;$P$32))</f>
        <v>305.63354575</v>
      </c>
      <c r="BP185" s="7">
        <f t="shared" ca="1" si="229"/>
        <v>4.6195810424040635</v>
      </c>
      <c r="BQ185" s="7" cm="1">
        <f t="array" aca="1" ref="BQ185" ca="1">INDIRECT("'"&amp;BK185&amp;"'!"&amp;$H$5&amp;$P$32)+0.01</f>
        <v>2.0999999999999998E-2</v>
      </c>
      <c r="BR185" s="23">
        <f t="shared" ca="1" si="230"/>
        <v>-0.27700000000004366</v>
      </c>
      <c r="BS185" s="7">
        <f t="shared" ca="1" si="231"/>
        <v>4.6278783483729384</v>
      </c>
      <c r="BT185" s="7">
        <f t="shared" ca="1" si="232"/>
        <v>1.6119576269613607</v>
      </c>
      <c r="BU185" s="23">
        <f t="shared" ca="1" si="233"/>
        <v>4.6278783483729384</v>
      </c>
      <c r="BV185" s="23">
        <f t="shared" ca="1" si="234"/>
        <v>-0.27700000000004366</v>
      </c>
    </row>
    <row r="186" spans="4:74" x14ac:dyDescent="0.3">
      <c r="AL186" s="1"/>
      <c r="AM186" s="23">
        <v>-1.9716089996509254</v>
      </c>
      <c r="AN186" s="23">
        <v>1.8784287497401237</v>
      </c>
      <c r="AO186" t="s">
        <v>578</v>
      </c>
      <c r="BK186" s="21" t="s">
        <v>384</v>
      </c>
      <c r="BL186" s="1">
        <v>42188</v>
      </c>
      <c r="BM186" s="34" cm="1">
        <f t="array" aca="1" ref="BM186" ca="1">INDIRECT("'"&amp;$B39&amp;"'!"&amp;(D$5&amp;$P$32))</f>
        <v>1844424.1138300002</v>
      </c>
      <c r="BN186" s="34" cm="1">
        <f t="array" aca="1" ref="BN186" ca="1">INDIRECT("'"&amp;$B39&amp;"'!"&amp;(E$5&amp;$P$32))</f>
        <v>5595468.4612745009</v>
      </c>
      <c r="BO186" s="34" cm="1">
        <f t="array" aca="1" ref="BO186" ca="1">INDIRECT("'"&amp;$B39&amp;"'!"&amp;(F$5&amp;$P$32))</f>
        <v>305.91054575000004</v>
      </c>
      <c r="BP186" s="7"/>
      <c r="BR186" s="21"/>
      <c r="BS186" s="21"/>
      <c r="BT186" s="21"/>
      <c r="BU186" s="21"/>
      <c r="BV186" s="21">
        <v>0</v>
      </c>
    </row>
    <row r="187" spans="4:74" x14ac:dyDescent="0.3">
      <c r="BP187" s="7"/>
    </row>
    <row r="188" spans="4:74" x14ac:dyDescent="0.3">
      <c r="D188" s="21"/>
      <c r="E188" s="21">
        <v>21</v>
      </c>
      <c r="F188" s="21">
        <v>22</v>
      </c>
      <c r="G188" s="21">
        <v>24</v>
      </c>
      <c r="H188" s="21">
        <v>25</v>
      </c>
      <c r="I188" s="21"/>
      <c r="J188" s="21"/>
      <c r="K188" s="21"/>
      <c r="L188" s="21"/>
      <c r="M188" s="21"/>
      <c r="N188" s="21"/>
      <c r="O188" s="21"/>
      <c r="P188" s="21">
        <v>21</v>
      </c>
      <c r="Q188" s="21">
        <v>22</v>
      </c>
      <c r="R188" s="21">
        <v>24</v>
      </c>
      <c r="S188" s="21">
        <v>25</v>
      </c>
      <c r="T188" s="21"/>
      <c r="AK188" s="51" t="s">
        <v>581</v>
      </c>
      <c r="AL188" s="30"/>
      <c r="AM188" s="5" t="s">
        <v>541</v>
      </c>
      <c r="AN188" s="5" t="s">
        <v>542</v>
      </c>
      <c r="AO188" s="5" t="s">
        <v>543</v>
      </c>
      <c r="AP188" s="21" t="s">
        <v>427</v>
      </c>
      <c r="AQ188" s="21" t="s">
        <v>525</v>
      </c>
      <c r="AR188" s="21" t="s">
        <v>428</v>
      </c>
      <c r="AS188" s="21" t="s">
        <v>429</v>
      </c>
      <c r="AT188" s="21" t="s">
        <v>438</v>
      </c>
      <c r="AU188" s="21" t="s">
        <v>430</v>
      </c>
      <c r="AV188" s="33" t="s">
        <v>582</v>
      </c>
      <c r="BP188" s="7"/>
    </row>
    <row r="189" spans="4:74" x14ac:dyDescent="0.3">
      <c r="D189" s="46">
        <v>43817</v>
      </c>
      <c r="E189" s="23">
        <f t="shared" ref="E189:E201" ca="1" si="239">BU158</f>
        <v>47.26645915860172</v>
      </c>
      <c r="F189" s="23"/>
      <c r="G189" s="23">
        <f t="shared" ref="G189:G196" ca="1" si="240">BU206</f>
        <v>26.205872217523332</v>
      </c>
      <c r="H189" s="23">
        <f t="shared" ref="H189:H200" ca="1" si="241">BU222</f>
        <v>28.073632861401233</v>
      </c>
      <c r="I189" s="23"/>
      <c r="J189" s="23"/>
      <c r="K189" s="23"/>
      <c r="L189" s="23"/>
      <c r="M189" s="23"/>
      <c r="N189" s="21"/>
      <c r="O189" s="46">
        <v>43817</v>
      </c>
      <c r="P189" s="23">
        <f t="shared" ref="P189:P201" ca="1" si="242">BT158</f>
        <v>1.0950947341010584</v>
      </c>
      <c r="Q189" s="23"/>
      <c r="R189" s="23">
        <f t="shared" ref="R189:R201" ca="1" si="243">BT206</f>
        <v>0.37499824877389898</v>
      </c>
      <c r="S189" s="23">
        <f t="shared" ref="S189:S200" ca="1" si="244">BT222</f>
        <v>0.43122781506861652</v>
      </c>
      <c r="T189" s="23"/>
      <c r="AK189" s="3" t="s">
        <v>526</v>
      </c>
      <c r="AL189" s="1">
        <v>43817</v>
      </c>
      <c r="AM189" s="23" cm="1">
        <f t="array" aca="1" ref="AM189" ca="1">INDIRECT("'"&amp;$B27&amp;"'!"&amp;(D$5&amp;$P$25))</f>
        <v>1844190.0494969999</v>
      </c>
      <c r="AN189" s="23" cm="1">
        <f t="array" aca="1" ref="AN189" ca="1">INDIRECT("'"&amp;$B27&amp;"'!"&amp;(E$5&amp;$P$25))</f>
        <v>5596021.040542</v>
      </c>
      <c r="AO189" s="23" cm="1">
        <f t="array" aca="1" ref="AO189" ca="1">INDIRECT("'"&amp;$B27&amp;"'!"&amp;(F$5&amp;$P$25))</f>
        <v>395.80733600000002</v>
      </c>
      <c r="AP189" s="21">
        <f ca="1">SQRT(((AM189-AM190)^2)+((AN189-AN190)^2))</f>
        <v>0.12612352870515969</v>
      </c>
      <c r="AQ189" s="21" cm="1">
        <f t="array" aca="1" ref="AQ189" ca="1">INDIRECT("'"&amp;AK189&amp;"'!"&amp;$H$5&amp;$P$25)+0.01</f>
        <v>2.5617000000000001E-2</v>
      </c>
      <c r="AR189" s="23">
        <f ca="1">AO189-AO190</f>
        <v>-8.2133999999996377E-2</v>
      </c>
      <c r="AS189" s="7">
        <f ca="1">SQRT((AP189^2)+(AR189^2))</f>
        <v>0.15050959587029875</v>
      </c>
      <c r="AT189" s="7">
        <f t="shared" ref="AT189:AT198" ca="1" si="245">(AS189/(AL189-AL190))*365</f>
        <v>0.12628966090266447</v>
      </c>
      <c r="AU189" s="23">
        <f ca="1">AU190+AS189</f>
        <v>0.88297562533177232</v>
      </c>
      <c r="AV189" s="23">
        <f ca="1">AV190+AR189</f>
        <v>-0.22023625000002767</v>
      </c>
      <c r="BK189" s="21" t="s">
        <v>595</v>
      </c>
      <c r="BL189" s="1"/>
      <c r="BM189" s="21" t="s">
        <v>541</v>
      </c>
      <c r="BN189" s="21" t="s">
        <v>542</v>
      </c>
      <c r="BO189" s="21" t="s">
        <v>543</v>
      </c>
      <c r="BP189" s="7" t="s">
        <v>427</v>
      </c>
      <c r="BQ189" s="7" t="s">
        <v>525</v>
      </c>
      <c r="BR189" s="21" t="s">
        <v>428</v>
      </c>
      <c r="BS189" s="21" t="s">
        <v>429</v>
      </c>
      <c r="BT189" s="21" t="s">
        <v>606</v>
      </c>
      <c r="BU189" s="21" t="s">
        <v>430</v>
      </c>
      <c r="BV189" s="33" t="s">
        <v>582</v>
      </c>
    </row>
    <row r="190" spans="4:74" x14ac:dyDescent="0.3">
      <c r="D190" s="46">
        <v>43382</v>
      </c>
      <c r="E190" s="23">
        <f t="shared" ca="1" si="239"/>
        <v>31.899807244602997</v>
      </c>
      <c r="F190" s="23"/>
      <c r="G190" s="23">
        <f t="shared" ca="1" si="240"/>
        <v>20.943800016986362</v>
      </c>
      <c r="H190" s="23">
        <f t="shared" ca="1" si="241"/>
        <v>22.02253287576097</v>
      </c>
      <c r="I190" s="23"/>
      <c r="J190" s="23"/>
      <c r="K190" s="23"/>
      <c r="L190" s="23"/>
      <c r="M190" s="23"/>
      <c r="N190" s="21"/>
      <c r="O190" s="46">
        <v>43382</v>
      </c>
      <c r="P190" s="23">
        <f t="shared" ca="1" si="242"/>
        <v>1.1031223577661782</v>
      </c>
      <c r="Q190" s="23"/>
      <c r="R190" s="23">
        <f t="shared" ca="1" si="243"/>
        <v>0.61369132650738367</v>
      </c>
      <c r="S190" s="23">
        <f t="shared" ca="1" si="244"/>
        <v>0.71902204463320463</v>
      </c>
      <c r="T190" s="23"/>
      <c r="AK190" s="3" t="s">
        <v>373</v>
      </c>
      <c r="AL190" s="1">
        <v>43382</v>
      </c>
      <c r="AM190" s="23" cm="1">
        <f t="array" aca="1" ref="AM190" ca="1">INDIRECT("'"&amp;$B28&amp;"'!"&amp;(D$5&amp;$P$25))</f>
        <v>1844190.0015759999</v>
      </c>
      <c r="AN190" s="23" cm="1">
        <f t="array" aca="1" ref="AN190" ca="1">INDIRECT("'"&amp;$B28&amp;"'!"&amp;(E$5&amp;$P$25))</f>
        <v>5596021.1572070001</v>
      </c>
      <c r="AO190" s="23" cm="1">
        <f t="array" aca="1" ref="AO190" ca="1">INDIRECT("'"&amp;$B28&amp;"'!"&amp;(F$5&amp;$P$25))</f>
        <v>395.88947000000002</v>
      </c>
      <c r="AP190" s="21">
        <f ca="1">SQRT(((AM190-AM191)^2)+((AN190-AN191)^2))</f>
        <v>0.17560802730063949</v>
      </c>
      <c r="AQ190" s="21" cm="1">
        <f t="array" aca="1" ref="AQ190" ca="1">INDIRECT("'"&amp;AK190&amp;"'!"&amp;$H$5&amp;$P$25)+0.01</f>
        <v>3.6764999999999999E-2</v>
      </c>
      <c r="AR190" s="23">
        <f ca="1">AO190-AO191</f>
        <v>-4.4717999999988933E-2</v>
      </c>
      <c r="AS190" s="7">
        <f t="shared" ref="AS190" ca="1" si="246">SQRT((AP190^2)+(AR190^2))</f>
        <v>0.18121224786537235</v>
      </c>
      <c r="AT190" s="7">
        <f t="shared" ca="1" si="245"/>
        <v>0.33746158403500459</v>
      </c>
      <c r="AU190" s="23">
        <f t="shared" ref="AU190:AU192" ca="1" si="247">AU191+AS190</f>
        <v>0.73246602946147354</v>
      </c>
      <c r="AV190" s="23">
        <f t="shared" ref="AV190:AV199" ca="1" si="248">AV191+AR190</f>
        <v>-0.13810225000003129</v>
      </c>
      <c r="BK190" s="21" t="s">
        <v>526</v>
      </c>
      <c r="BL190" s="1">
        <v>43817</v>
      </c>
      <c r="BM190" s="34" cm="1">
        <f t="array" aca="1" ref="BM190" ca="1">INDIRECT("'"&amp;$B27&amp;"'!"&amp;(D$5&amp;$P$33))</f>
        <v>1844378.793267</v>
      </c>
      <c r="BN190" s="34" cm="1">
        <f t="array" aca="1" ref="BN190" ca="1">INDIRECT("'"&amp;$B27&amp;"'!"&amp;(E$5&amp;$P$33))</f>
        <v>5595386.1768840002</v>
      </c>
      <c r="BO190" s="34" cm="1">
        <f t="array" aca="1" ref="BO190" ca="1">INDIRECT("'"&amp;$B27&amp;"'!"&amp;(F$5&amp;$P$33))</f>
        <v>310.733542</v>
      </c>
      <c r="BP190" s="7">
        <f ca="1">SQRT(((BM190-BM191)^2)+((BN190-BN191)^2))</f>
        <v>9.5305784341160622E-3</v>
      </c>
      <c r="BQ190" s="7" cm="1">
        <f t="array" aca="1" ref="BQ190" ca="1">INDIRECT("'"&amp;BK190&amp;"'!"&amp;$H$5&amp;$P$33)+0.01</f>
        <v>1.9868E-2</v>
      </c>
      <c r="BR190" s="23">
        <f ca="1">BO190-BO191</f>
        <v>-2.9030000000034306E-3</v>
      </c>
      <c r="BS190" s="7">
        <f ca="1">SQRT((BP190^2)+(BR190^2))</f>
        <v>9.9628978861001118E-3</v>
      </c>
      <c r="BT190" s="7">
        <f ca="1">(BS190/(BL190-BL191))*31</f>
        <v>7.0999961946920337E-4</v>
      </c>
      <c r="BU190" s="23">
        <f ca="1">BU191+BS190</f>
        <v>0.32395664468277313</v>
      </c>
      <c r="BV190" s="23">
        <f ca="1">BV191+BR190</f>
        <v>-2.1003750000033961E-2</v>
      </c>
    </row>
    <row r="191" spans="4:74" x14ac:dyDescent="0.3">
      <c r="D191" s="46">
        <v>43186</v>
      </c>
      <c r="E191" s="23">
        <f t="shared" ca="1" si="239"/>
        <v>24.925227176145871</v>
      </c>
      <c r="F191" s="23">
        <f t="shared" ref="F191:F201" ca="1" si="249">BU176</f>
        <v>50.252885768358425</v>
      </c>
      <c r="G191" s="23">
        <f t="shared" ca="1" si="240"/>
        <v>17.06368711390742</v>
      </c>
      <c r="H191" s="23">
        <f t="shared" ca="1" si="241"/>
        <v>17.476458012918773</v>
      </c>
      <c r="I191" s="23"/>
      <c r="J191" s="23"/>
      <c r="K191" s="23"/>
      <c r="L191" s="23"/>
      <c r="M191" s="23"/>
      <c r="N191" s="21"/>
      <c r="O191" s="46">
        <v>43186</v>
      </c>
      <c r="P191" s="23">
        <f t="shared" ca="1" si="242"/>
        <v>0.5669535341423213</v>
      </c>
      <c r="Q191" s="23">
        <f t="shared" ref="Q191:Q201" ca="1" si="250">BT176</f>
        <v>1.9501704282829264</v>
      </c>
      <c r="R191" s="23">
        <f t="shared" ca="1" si="243"/>
        <v>0.47710621977098444</v>
      </c>
      <c r="S191" s="23">
        <f t="shared" ca="1" si="244"/>
        <v>0.55630312997695341</v>
      </c>
      <c r="T191" s="23"/>
      <c r="AK191" s="22" t="s">
        <v>375</v>
      </c>
      <c r="AL191" s="1">
        <v>43186</v>
      </c>
      <c r="AM191" s="23" cm="1">
        <f t="array" aca="1" ref="AM191" ca="1">INDIRECT("'"&amp;$B29&amp;"'!"&amp;(D$5&amp;$P$25))</f>
        <v>1844189.960832</v>
      </c>
      <c r="AN191" s="23" cm="1">
        <f t="array" aca="1" ref="AN191" ca="1">INDIRECT("'"&amp;$B29&amp;"'!"&amp;(E$5&amp;$P$25))</f>
        <v>5596021.3280229997</v>
      </c>
      <c r="AO191" s="23" cm="1">
        <f t="array" aca="1" ref="AO191" ca="1">INDIRECT("'"&amp;$B29&amp;"'!"&amp;(F$5&amp;$P$25))</f>
        <v>395.93418800000001</v>
      </c>
      <c r="AP191" s="21">
        <f t="shared" ref="AP191:AP198" ca="1" si="251">SQRT(((AM191-AM192)^2)+((AN191-AN192)^2))</f>
        <v>6.4885715254053664E-2</v>
      </c>
      <c r="AQ191" s="21" cm="1">
        <f t="array" aca="1" ref="AQ191" ca="1">INDIRECT("'"&amp;AK191&amp;"'!"&amp;$H$5&amp;$P$25)+0.01</f>
        <v>2.6750000000000003E-2</v>
      </c>
      <c r="AR191" s="23">
        <f t="shared" ref="AR191:AR198" ca="1" si="252">AO191-AO192</f>
        <v>-4.4471999999984746E-2</v>
      </c>
      <c r="AS191" s="7">
        <f ca="1">SQRT((AP191^2)+(AR191^2))</f>
        <v>7.8663300388610538E-2</v>
      </c>
      <c r="AT191" s="7">
        <f t="shared" ca="1" si="245"/>
        <v>0.17192877031043621</v>
      </c>
      <c r="AU191" s="23">
        <f t="shared" ca="1" si="247"/>
        <v>0.55125378159610117</v>
      </c>
      <c r="AV191" s="23">
        <f t="shared" ca="1" si="248"/>
        <v>-9.3384250000042357E-2</v>
      </c>
      <c r="BK191" s="21" t="s">
        <v>373</v>
      </c>
      <c r="BL191" s="1">
        <v>43382</v>
      </c>
      <c r="BM191" s="34" cm="1">
        <f t="array" aca="1" ref="BM191" ca="1">INDIRECT("'"&amp;$B28&amp;"'!"&amp;(D$5&amp;$P$33))</f>
        <v>1844378.7990689999</v>
      </c>
      <c r="BN191" s="34" cm="1">
        <f t="array" aca="1" ref="BN191" ca="1">INDIRECT("'"&amp;$B28&amp;"'!"&amp;(E$5&amp;$P$33))</f>
        <v>5595386.1844450003</v>
      </c>
      <c r="BO191" s="34" cm="1">
        <f t="array" aca="1" ref="BO191" ca="1">INDIRECT("'"&amp;$B28&amp;"'!"&amp;(F$5&amp;$P$33))</f>
        <v>310.736445</v>
      </c>
      <c r="BP191" s="7">
        <f t="shared" ref="BP191:BP198" ca="1" si="253">SQRT(((BM191-BM192)^2)+((BN191-BN192)^2))</f>
        <v>4.3253451913448808E-2</v>
      </c>
      <c r="BQ191" s="7" cm="1">
        <f t="array" aca="1" ref="BQ191" ca="1">INDIRECT("'"&amp;BK191&amp;"'!"&amp;$H$5&amp;$P$33)+0.01</f>
        <v>2.9900000000000003E-2</v>
      </c>
      <c r="BR191" s="23">
        <f t="shared" ref="BR191:BR198" ca="1" si="254">BO191-BO192</f>
        <v>3.17150000000197E-2</v>
      </c>
      <c r="BS191" s="7">
        <f t="shared" ref="BS191:BS198" ca="1" si="255">SQRT((BP191^2)+(BR191^2))</f>
        <v>5.3634898409806633E-2</v>
      </c>
      <c r="BT191" s="7">
        <f ca="1">(BS191/(BL191-BL192))*31</f>
        <v>8.4830706668571707E-3</v>
      </c>
      <c r="BU191" s="23">
        <f t="shared" ref="BU191:BU198" ca="1" si="256">BU192+BS191</f>
        <v>0.31399374679667302</v>
      </c>
      <c r="BV191" s="23">
        <f t="shared" ref="BV191:BV198" ca="1" si="257">BV192+BR191</f>
        <v>-1.810075000003053E-2</v>
      </c>
    </row>
    <row r="192" spans="4:74" x14ac:dyDescent="0.3">
      <c r="D192" s="46">
        <v>43019</v>
      </c>
      <c r="E192" s="23">
        <f t="shared" ca="1" si="239"/>
        <v>21.87099362125014</v>
      </c>
      <c r="F192" s="23">
        <f t="shared" ca="1" si="249"/>
        <v>39.747128945027818</v>
      </c>
      <c r="G192" s="23">
        <f t="shared" ca="1" si="240"/>
        <v>14.493469736431472</v>
      </c>
      <c r="H192" s="23">
        <f t="shared" ca="1" si="241"/>
        <v>14.479599215946152</v>
      </c>
      <c r="I192" s="23"/>
      <c r="J192" s="23"/>
      <c r="K192" s="23"/>
      <c r="L192" s="23"/>
      <c r="M192" s="23"/>
      <c r="N192" s="21"/>
      <c r="O192" s="46">
        <v>43019</v>
      </c>
      <c r="P192" s="23">
        <f t="shared" ca="1" si="242"/>
        <v>1.4442014073098035</v>
      </c>
      <c r="Q192" s="23">
        <f t="shared" ca="1" si="250"/>
        <v>2.9433150432518018</v>
      </c>
      <c r="R192" s="23">
        <f t="shared" ca="1" si="243"/>
        <v>0.80510416043091115</v>
      </c>
      <c r="S192" s="23">
        <f t="shared" ca="1" si="244"/>
        <v>0.95982803980620846</v>
      </c>
      <c r="T192" s="23"/>
      <c r="AK192" s="3" t="s">
        <v>374</v>
      </c>
      <c r="AL192" s="1">
        <v>43019</v>
      </c>
      <c r="AM192" s="23" cm="1">
        <f t="array" aca="1" ref="AM192" ca="1">INDIRECT("'"&amp;$B30&amp;"'!"&amp;(D$5&amp;$P$25))</f>
        <v>1844189.9443330001</v>
      </c>
      <c r="AN192" s="23" cm="1">
        <f t="array" aca="1" ref="AN192" ca="1">INDIRECT("'"&amp;$B30&amp;"'!"&amp;(E$5&amp;$P$25))</f>
        <v>5596021.390776</v>
      </c>
      <c r="AO192" s="23" cm="1">
        <f t="array" aca="1" ref="AO192" ca="1">INDIRECT("'"&amp;$B30&amp;"'!"&amp;(F$5&amp;$P$25))</f>
        <v>395.97865999999999</v>
      </c>
      <c r="AP192" s="21">
        <f t="shared" ca="1" si="251"/>
        <v>0.11419156870602211</v>
      </c>
      <c r="AQ192" s="21" cm="1">
        <f t="array" aca="1" ref="AQ192" ca="1">INDIRECT("'"&amp;AK192&amp;"'!"&amp;$H$5&amp;$P$25)+0.01</f>
        <v>3.3741E-2</v>
      </c>
      <c r="AR192" s="23">
        <f t="shared" ca="1" si="252"/>
        <v>-5.4824999999993906E-2</v>
      </c>
      <c r="AS192" s="7">
        <f t="shared" ref="AS192:AS198" ca="1" si="258">SQRT((AP192^2)+(AR192^2))</f>
        <v>0.126670813483381</v>
      </c>
      <c r="AT192" s="7">
        <f t="shared" ca="1" si="245"/>
        <v>0.44456583578301984</v>
      </c>
      <c r="AU192" s="23">
        <f t="shared" ca="1" si="247"/>
        <v>0.47259048120749064</v>
      </c>
      <c r="AV192" s="23">
        <f t="shared" ca="1" si="248"/>
        <v>-4.8912250000057611E-2</v>
      </c>
      <c r="BK192" s="21" t="s">
        <v>375</v>
      </c>
      <c r="BL192" s="1">
        <v>43186</v>
      </c>
      <c r="BM192" s="34" cm="1">
        <f t="array" aca="1" ref="BM192" ca="1">INDIRECT("'"&amp;$B29&amp;"'!"&amp;(D$5&amp;$P$33))</f>
        <v>1844378.802374</v>
      </c>
      <c r="BN192" s="34" cm="1">
        <f t="array" aca="1" ref="BN192" ca="1">INDIRECT("'"&amp;$B29&amp;"'!"&amp;(E$5&amp;$P$33))</f>
        <v>5595386.2275719997</v>
      </c>
      <c r="BO192" s="34" cm="1">
        <f t="array" aca="1" ref="BO192" ca="1">INDIRECT("'"&amp;$B29&amp;"'!"&amp;(F$5&amp;$P$33))</f>
        <v>310.70472999999998</v>
      </c>
      <c r="BP192" s="7">
        <f ca="1">SQRT(((BM192-BM194)^2)+((BN192-BN194)^2))</f>
        <v>4.2282632577175114E-2</v>
      </c>
      <c r="BQ192" s="7" cm="1">
        <f t="array" aca="1" ref="BQ192" ca="1">INDIRECT("'"&amp;BK192&amp;"'!"&amp;$H$5&amp;$P$33)+0.01</f>
        <v>4.1008999999999997E-2</v>
      </c>
      <c r="BR192" s="23">
        <f ca="1">BO192-BO194</f>
        <v>-9.5995000000016262E-2</v>
      </c>
      <c r="BS192" s="7">
        <f t="shared" ca="1" si="255"/>
        <v>0.1048945234159511</v>
      </c>
      <c r="BT192" s="7">
        <f ca="1">(BS192/(BL192-BL193))*31</f>
        <v>7.5295934467060714E-5</v>
      </c>
      <c r="BU192" s="23">
        <f ca="1">BU194+BS192</f>
        <v>0.2603588483868664</v>
      </c>
      <c r="BV192" s="23">
        <f ca="1">BV194+BR192</f>
        <v>-4.981575000005023E-2</v>
      </c>
    </row>
    <row r="193" spans="4:74" x14ac:dyDescent="0.3">
      <c r="D193" s="46">
        <v>42915</v>
      </c>
      <c r="E193" s="23">
        <f t="shared" ca="1" si="239"/>
        <v>17.025930835436604</v>
      </c>
      <c r="F193" s="23">
        <f t="shared" ca="1" si="249"/>
        <v>29.872781703150803</v>
      </c>
      <c r="G193" s="23">
        <f t="shared" ca="1" si="240"/>
        <v>11.792475133695511</v>
      </c>
      <c r="H193" s="23">
        <f t="shared" ca="1" si="241"/>
        <v>11.259530953370485</v>
      </c>
      <c r="I193" s="23"/>
      <c r="J193" s="23"/>
      <c r="K193" s="23"/>
      <c r="L193" s="23"/>
      <c r="M193" s="23"/>
      <c r="N193" s="21"/>
      <c r="O193" s="46">
        <v>42915</v>
      </c>
      <c r="P193" s="23">
        <f t="shared" ca="1" si="242"/>
        <v>0.97698222640188181</v>
      </c>
      <c r="Q193" s="23">
        <f t="shared" ca="1" si="250"/>
        <v>2.0276774901854595</v>
      </c>
      <c r="R193" s="23">
        <f t="shared" ca="1" si="243"/>
        <v>0.58879495649605906</v>
      </c>
      <c r="S193" s="23">
        <f t="shared" ca="1" si="244"/>
        <v>0.6882324630238642</v>
      </c>
      <c r="T193" s="23"/>
      <c r="AK193" s="3" t="s">
        <v>376</v>
      </c>
      <c r="AL193" s="1">
        <v>42915</v>
      </c>
      <c r="AM193" s="23" cm="1">
        <f t="array" aca="1" ref="AM193" ca="1">INDIRECT("'"&amp;$B31&amp;"'!"&amp;(D$5&amp;$P$25))</f>
        <v>1844189.9219780001</v>
      </c>
      <c r="AN193" s="23" cm="1">
        <f t="array" aca="1" ref="AN193" ca="1">INDIRECT("'"&amp;$B31&amp;"'!"&amp;(E$5&amp;$P$25))</f>
        <v>5596021.502758</v>
      </c>
      <c r="AO193" s="23" cm="1">
        <f t="array" aca="1" ref="AO193" ca="1">INDIRECT("'"&amp;$B31&amp;"'!"&amp;(F$5&amp;$P$25))</f>
        <v>396.03348499999998</v>
      </c>
      <c r="AP193" s="21">
        <f t="shared" ca="1" si="251"/>
        <v>3.583978229920378E-2</v>
      </c>
      <c r="AQ193" s="21" cm="1">
        <f t="array" aca="1" ref="AQ193" ca="1">INDIRECT("'"&amp;AK193&amp;"'!"&amp;$H$5&amp;$P$25)+0.01</f>
        <v>3.1212999999999998E-2</v>
      </c>
      <c r="AR193" s="23">
        <f t="shared" ca="1" si="252"/>
        <v>7.1105999999986125E-2</v>
      </c>
      <c r="AS193" s="7">
        <f t="shared" ca="1" si="258"/>
        <v>7.9627590891928585E-2</v>
      </c>
      <c r="AT193" s="7">
        <f t="shared" ca="1" si="245"/>
        <v>0.28776307599558348</v>
      </c>
      <c r="AU193" s="23">
        <f ca="1">AU194+AS193</f>
        <v>0.34591966772410965</v>
      </c>
      <c r="AV193" s="23">
        <f t="shared" ca="1" si="248"/>
        <v>5.9127499999362954E-3</v>
      </c>
      <c r="BK193" s="21" t="s">
        <v>374</v>
      </c>
      <c r="BL193" s="1"/>
      <c r="BM193" s="34"/>
      <c r="BN193" s="34"/>
      <c r="BO193" s="34"/>
      <c r="BP193" s="7"/>
      <c r="BR193" s="23"/>
      <c r="BS193" s="7"/>
      <c r="BT193" s="7"/>
      <c r="BU193" s="23"/>
      <c r="BV193" s="23"/>
    </row>
    <row r="194" spans="4:74" x14ac:dyDescent="0.3">
      <c r="D194" s="46">
        <v>42814</v>
      </c>
      <c r="E194" s="23">
        <f t="shared" ca="1" si="239"/>
        <v>13.842859710707893</v>
      </c>
      <c r="F194" s="23">
        <f t="shared" ca="1" si="249"/>
        <v>23.266477622223984</v>
      </c>
      <c r="G194" s="23">
        <f t="shared" ca="1" si="240"/>
        <v>9.8741431786599634</v>
      </c>
      <c r="H194" s="23">
        <f t="shared" ca="1" si="241"/>
        <v>9.017225186744346</v>
      </c>
      <c r="I194" s="23"/>
      <c r="J194" s="23"/>
      <c r="K194" s="23"/>
      <c r="L194" s="23"/>
      <c r="M194" s="23"/>
      <c r="N194" s="21"/>
      <c r="O194" s="46">
        <v>42814</v>
      </c>
      <c r="P194" s="23">
        <f t="shared" ca="1" si="242"/>
        <v>0.2309814974976872</v>
      </c>
      <c r="Q194" s="23">
        <f t="shared" ca="1" si="250"/>
        <v>0.53857129584390717</v>
      </c>
      <c r="R194" s="23">
        <f t="shared" ca="1" si="243"/>
        <v>0.27714484925862076</v>
      </c>
      <c r="S194" s="23">
        <f t="shared" ca="1" si="244"/>
        <v>0.29384003187184354</v>
      </c>
      <c r="T194" s="23"/>
      <c r="AK194" s="3" t="s">
        <v>377</v>
      </c>
      <c r="AL194" s="1">
        <v>42814</v>
      </c>
      <c r="AM194" s="23" cm="1">
        <f t="array" aca="1" ref="AM194" ca="1">INDIRECT("'"&amp;$B32&amp;"'!"&amp;(D$5&amp;$P$25))</f>
        <v>1844189.931753</v>
      </c>
      <c r="AN194" s="23" cm="1">
        <f t="array" aca="1" ref="AN194" ca="1">INDIRECT("'"&amp;$B32&amp;"'!"&amp;(E$5&amp;$P$25))</f>
        <v>5596021.5372390002</v>
      </c>
      <c r="AO194" s="23" cm="1">
        <f t="array" aca="1" ref="AO194" ca="1">INDIRECT("'"&amp;$B32&amp;"'!"&amp;(F$5&amp;$P$25))</f>
        <v>395.962379</v>
      </c>
      <c r="AP194" s="21">
        <f t="shared" ca="1" si="251"/>
        <v>2.0669043224585272E-2</v>
      </c>
      <c r="AQ194" s="21" cm="1">
        <f t="array" aca="1" ref="AQ194" ca="1">INDIRECT("'"&amp;AK194&amp;"'!"&amp;$H$5&amp;$P$25)+0.01</f>
        <v>3.3388000000000001E-2</v>
      </c>
      <c r="AR194" s="23">
        <f t="shared" ca="1" si="252"/>
        <v>-3.2458000000019638E-2</v>
      </c>
      <c r="AS194" s="7">
        <f t="shared" ca="1" si="258"/>
        <v>3.8480269123552777E-2</v>
      </c>
      <c r="AT194" s="7">
        <f t="shared" ca="1" si="245"/>
        <v>0.1463051898968413</v>
      </c>
      <c r="AU194" s="23">
        <f t="shared" ref="AU194:AU198" ca="1" si="259">AU195+AS194</f>
        <v>0.26629207683218103</v>
      </c>
      <c r="AV194" s="23">
        <f t="shared" ca="1" si="248"/>
        <v>-6.5193250000049829E-2</v>
      </c>
      <c r="BK194" s="21" t="s">
        <v>376</v>
      </c>
      <c r="BL194" s="1">
        <v>42915</v>
      </c>
      <c r="BM194" s="34" cm="1">
        <f t="array" aca="1" ref="BM194" ca="1">INDIRECT("'"&amp;$B31&amp;"'!"&amp;(D$5&amp;$P$33))</f>
        <v>1844378.7898329999</v>
      </c>
      <c r="BN194" s="34" cm="1">
        <f t="array" aca="1" ref="BN194" ca="1">INDIRECT("'"&amp;$B31&amp;"'!"&amp;(E$5&amp;$P$33))</f>
        <v>5595386.1871920004</v>
      </c>
      <c r="BO194" s="34" cm="1">
        <f t="array" aca="1" ref="BO194" ca="1">INDIRECT("'"&amp;$B31&amp;"'!"&amp;(F$5&amp;$P$33))</f>
        <v>310.800725</v>
      </c>
      <c r="BP194" s="7">
        <f t="shared" ca="1" si="253"/>
        <v>1.1708343993601284E-2</v>
      </c>
      <c r="BQ194" s="7" cm="1">
        <f t="array" aca="1" ref="BQ194" ca="1">INDIRECT("'"&amp;BK194&amp;"'!"&amp;$H$5&amp;$P$33)+0.01</f>
        <v>3.8001E-2</v>
      </c>
      <c r="BR194" s="23">
        <f t="shared" ca="1" si="254"/>
        <v>3.9717999999993481E-2</v>
      </c>
      <c r="BS194" s="7">
        <f t="shared" ca="1" si="255"/>
        <v>4.1407787227428383E-2</v>
      </c>
      <c r="BT194" s="7">
        <f ca="1">(BS194/(BL194-BL195))*31</f>
        <v>1.2709320832180989E-2</v>
      </c>
      <c r="BU194" s="23">
        <f t="shared" ca="1" si="256"/>
        <v>0.15546432497091534</v>
      </c>
      <c r="BV194" s="23">
        <f t="shared" ca="1" si="257"/>
        <v>4.6179249999966032E-2</v>
      </c>
    </row>
    <row r="195" spans="4:74" x14ac:dyDescent="0.3">
      <c r="D195" s="46">
        <v>42718</v>
      </c>
      <c r="E195" s="23">
        <f t="shared" ca="1" si="239"/>
        <v>13.127562170069893</v>
      </c>
      <c r="F195" s="23">
        <f t="shared" ca="1" si="249"/>
        <v>21.598643931868658</v>
      </c>
      <c r="G195" s="23">
        <f t="shared" ca="1" si="240"/>
        <v>9.0158881616010085</v>
      </c>
      <c r="H195" s="23">
        <f t="shared" ca="1" si="241"/>
        <v>8.1072689590121847</v>
      </c>
      <c r="I195" s="23"/>
      <c r="J195" s="23"/>
      <c r="K195" s="23"/>
      <c r="L195" s="23"/>
      <c r="M195" s="23"/>
      <c r="N195" s="21"/>
      <c r="O195" s="46">
        <v>42718</v>
      </c>
      <c r="P195" s="23">
        <f t="shared" ca="1" si="242"/>
        <v>0.65037577906959265</v>
      </c>
      <c r="Q195" s="23">
        <f t="shared" ca="1" si="250"/>
        <v>1.481239542932812</v>
      </c>
      <c r="R195" s="23">
        <f t="shared" ca="1" si="243"/>
        <v>0.56971229714820093</v>
      </c>
      <c r="S195" s="23">
        <f t="shared" ca="1" si="244"/>
        <v>0.67532493764761958</v>
      </c>
      <c r="T195" s="23"/>
      <c r="AK195" s="3" t="s">
        <v>378</v>
      </c>
      <c r="AL195" s="1">
        <v>42718</v>
      </c>
      <c r="AM195" s="23" cm="1">
        <f t="array" aca="1" ref="AM195" ca="1">INDIRECT("'"&amp;$B33&amp;"'!"&amp;(D$5&amp;$P$25))</f>
        <v>1844189.91117</v>
      </c>
      <c r="AN195" s="23" cm="1">
        <f t="array" aca="1" ref="AN195" ca="1">INDIRECT("'"&amp;$B33&amp;"'!"&amp;(E$5&amp;$P$25))</f>
        <v>5596021.5353549998</v>
      </c>
      <c r="AO195" s="23" cm="1">
        <f t="array" aca="1" ref="AO195" ca="1">INDIRECT("'"&amp;$B33&amp;"'!"&amp;(F$5&amp;$P$25))</f>
        <v>395.99483700000002</v>
      </c>
      <c r="AP195" s="21">
        <f t="shared" ca="1" si="251"/>
        <v>5.8746292183958736E-2</v>
      </c>
      <c r="AQ195" s="21" cm="1">
        <f t="array" aca="1" ref="AQ195" ca="1">INDIRECT("'"&amp;AK195&amp;"'!"&amp;$H$5&amp;$P$25)+0.01</f>
        <v>2.1351999999999999E-2</v>
      </c>
      <c r="AR195" s="23">
        <f t="shared" ca="1" si="252"/>
        <v>8.1749999999942702E-3</v>
      </c>
      <c r="AS195" s="7">
        <f t="shared" ca="1" si="258"/>
        <v>5.9312371983954219E-2</v>
      </c>
      <c r="AT195" s="7">
        <f t="shared" ca="1" si="245"/>
        <v>0.41632722642583248</v>
      </c>
      <c r="AU195" s="23">
        <f t="shared" ca="1" si="259"/>
        <v>0.22781180770862824</v>
      </c>
      <c r="AV195" s="23">
        <f t="shared" ca="1" si="248"/>
        <v>-3.2735250000030192E-2</v>
      </c>
      <c r="BK195" s="21" t="s">
        <v>377</v>
      </c>
      <c r="BL195" s="1">
        <v>42814</v>
      </c>
      <c r="BM195" s="34" cm="1">
        <f t="array" aca="1" ref="BM195" ca="1">INDIRECT("'"&amp;$B32&amp;"'!"&amp;(D$5&amp;$P$33))</f>
        <v>1844378.80055</v>
      </c>
      <c r="BN195" s="34" cm="1">
        <f t="array" aca="1" ref="BN195" ca="1">INDIRECT("'"&amp;$B32&amp;"'!"&amp;(E$5&amp;$P$33))</f>
        <v>5595386.1824770002</v>
      </c>
      <c r="BO195" s="34" cm="1">
        <f t="array" aca="1" ref="BO195" ca="1">INDIRECT("'"&amp;$B32&amp;"'!"&amp;(F$5&amp;$P$33))</f>
        <v>310.76100700000001</v>
      </c>
      <c r="BP195" s="7">
        <f t="shared" ca="1" si="253"/>
        <v>2.7640633851123697E-2</v>
      </c>
      <c r="BQ195" s="7" cm="1">
        <f t="array" aca="1" ref="BQ195" ca="1">INDIRECT("'"&amp;BK195&amp;"'!"&amp;$H$5&amp;$P$33)+0.01</f>
        <v>3.0376E-2</v>
      </c>
      <c r="BR195" s="23">
        <f t="shared" ca="1" si="254"/>
        <v>-6.126999999992222E-3</v>
      </c>
      <c r="BS195" s="7">
        <f t="shared" ca="1" si="255"/>
        <v>2.8311565987980774E-2</v>
      </c>
      <c r="BT195" s="7">
        <f ca="1">(BS195/(BL195-BL196))*31</f>
        <v>9.1422765169521247E-3</v>
      </c>
      <c r="BU195" s="23">
        <f t="shared" ca="1" si="256"/>
        <v>0.11405653774348694</v>
      </c>
      <c r="BV195" s="23">
        <f t="shared" ca="1" si="257"/>
        <v>6.4612499999725514E-3</v>
      </c>
    </row>
    <row r="196" spans="4:74" x14ac:dyDescent="0.3">
      <c r="D196" s="46">
        <v>42666</v>
      </c>
      <c r="E196" s="23">
        <f t="shared" ca="1" si="239"/>
        <v>12.036609250340254</v>
      </c>
      <c r="F196" s="23">
        <f t="shared" ca="1" si="249"/>
        <v>19.113984053400713</v>
      </c>
      <c r="G196" s="23">
        <f t="shared" ca="1" si="240"/>
        <v>8.0602417276749936</v>
      </c>
      <c r="H196" s="23">
        <f t="shared" ca="1" si="241"/>
        <v>6.9744658377968225</v>
      </c>
      <c r="I196" s="23"/>
      <c r="J196" s="23"/>
      <c r="K196" s="23"/>
      <c r="L196" s="23"/>
      <c r="M196" s="23"/>
      <c r="N196" s="21"/>
      <c r="O196" s="46">
        <v>42666</v>
      </c>
      <c r="P196" s="23">
        <f t="shared" ca="1" si="242"/>
        <v>0.96166196914497692</v>
      </c>
      <c r="Q196" s="23">
        <f t="shared" ca="1" si="250"/>
        <v>1.9278239661618175</v>
      </c>
      <c r="R196" s="23">
        <f t="shared" ca="1" si="243"/>
        <v>0.51079883673684157</v>
      </c>
      <c r="S196" s="23">
        <f t="shared" ca="1" si="244"/>
        <v>0.87817136326795153</v>
      </c>
      <c r="T196" s="23"/>
      <c r="AK196" s="3" t="s">
        <v>379</v>
      </c>
      <c r="AL196" s="1">
        <v>42666</v>
      </c>
      <c r="AM196" s="23" cm="1">
        <f t="array" aca="1" ref="AM196" ca="1">INDIRECT("'"&amp;$B34&amp;"'!"&amp;(D$5&amp;$P$25))</f>
        <v>1844189.9166939999</v>
      </c>
      <c r="AN196" s="23" cm="1">
        <f t="array" aca="1" ref="AN196" ca="1">INDIRECT("'"&amp;$B34&amp;"'!"&amp;(E$5&amp;$P$25))</f>
        <v>5596021.5938410005</v>
      </c>
      <c r="AO196" s="23" cm="1">
        <f t="array" aca="1" ref="AO196" ca="1">INDIRECT("'"&amp;$B34&amp;"'!"&amp;(F$5&amp;$P$25))</f>
        <v>395.98666200000002</v>
      </c>
      <c r="AP196" s="21">
        <f t="shared" ca="1" si="251"/>
        <v>9.0008279347319142E-2</v>
      </c>
      <c r="AQ196" s="21" cm="1">
        <f t="array" aca="1" ref="AQ196" ca="1">INDIRECT("'"&amp;AK196&amp;"'!"&amp;$H$5&amp;$P$25)+0.01</f>
        <v>3.0643999999999998E-2</v>
      </c>
      <c r="AR196" s="23">
        <f t="shared" ca="1" si="252"/>
        <v>-1.5442000000007283E-2</v>
      </c>
      <c r="AS196" s="7">
        <f t="shared" ca="1" si="258"/>
        <v>9.1323303242191484E-2</v>
      </c>
      <c r="AT196" s="7">
        <f t="shared" ca="1" si="245"/>
        <v>0.32050967003269126</v>
      </c>
      <c r="AU196" s="23">
        <f t="shared" ca="1" si="259"/>
        <v>0.16849943572467402</v>
      </c>
      <c r="AV196" s="23">
        <f t="shared" ca="1" si="248"/>
        <v>-4.0910250000024462E-2</v>
      </c>
      <c r="BK196" s="21" t="s">
        <v>378</v>
      </c>
      <c r="BL196" s="1">
        <v>42718</v>
      </c>
      <c r="BM196" s="34" cm="1">
        <f t="array" aca="1" ref="BM196" ca="1">INDIRECT("'"&amp;$B33&amp;"'!"&amp;(D$5&amp;$P$33))</f>
        <v>1844378.7885439999</v>
      </c>
      <c r="BN196" s="34" cm="1">
        <f t="array" aca="1" ref="BN196" ca="1">INDIRECT("'"&amp;$B33&amp;"'!"&amp;(E$5&amp;$P$33))</f>
        <v>5595386.207374</v>
      </c>
      <c r="BO196" s="34" cm="1">
        <f t="array" aca="1" ref="BO196" ca="1">INDIRECT("'"&amp;$B33&amp;"'!"&amp;(F$5&amp;$P$33))</f>
        <v>310.767134</v>
      </c>
      <c r="BP196" s="7">
        <f t="shared" ca="1" si="253"/>
        <v>2.6920985799261145E-2</v>
      </c>
      <c r="BQ196" s="7" cm="1">
        <f t="array" aca="1" ref="BQ196" ca="1">INDIRECT("'"&amp;BK196&amp;"'!"&amp;$H$5&amp;$P$33)+0.01</f>
        <v>2.5204999999999998E-2</v>
      </c>
      <c r="BR196" s="23">
        <f t="shared" ca="1" si="254"/>
        <v>2.6787999999953627E-2</v>
      </c>
      <c r="BS196" s="7">
        <f t="shared" ca="1" si="255"/>
        <v>3.7978104486684636E-2</v>
      </c>
      <c r="BT196" s="7">
        <f ca="1">(BS196/(BL196-BL197))*31</f>
        <v>2.2640793059369689E-2</v>
      </c>
      <c r="BU196" s="23">
        <f t="shared" ca="1" si="256"/>
        <v>8.5744971755506161E-2</v>
      </c>
      <c r="BV196" s="23">
        <f t="shared" ca="1" si="257"/>
        <v>1.2588249999964773E-2</v>
      </c>
    </row>
    <row r="197" spans="4:74" x14ac:dyDescent="0.3">
      <c r="D197" s="46">
        <v>42562</v>
      </c>
      <c r="E197" s="23">
        <f t="shared" ca="1" si="239"/>
        <v>8.8103884506280732</v>
      </c>
      <c r="F197" s="23">
        <f t="shared" ca="1" si="249"/>
        <v>12.646445586277196</v>
      </c>
      <c r="G197" s="23"/>
      <c r="H197" s="23">
        <f t="shared" ca="1" si="241"/>
        <v>4.0283425545753078</v>
      </c>
      <c r="I197" s="23"/>
      <c r="J197" s="23"/>
      <c r="K197" s="23"/>
      <c r="L197" s="23"/>
      <c r="M197" s="23"/>
      <c r="N197" s="21"/>
      <c r="O197" s="46">
        <v>42562</v>
      </c>
      <c r="P197" s="23">
        <f t="shared" ca="1" si="242"/>
        <v>0.2874579075829235</v>
      </c>
      <c r="Q197" s="23">
        <f t="shared" ca="1" si="250"/>
        <v>0.61959463590845121</v>
      </c>
      <c r="R197" s="23"/>
      <c r="S197" s="23">
        <f t="shared" ca="1" si="244"/>
        <v>0.34432802213528113</v>
      </c>
      <c r="T197" s="23"/>
      <c r="AK197" s="3" t="s">
        <v>380</v>
      </c>
      <c r="AL197" s="1">
        <v>42562</v>
      </c>
      <c r="AM197" s="23" cm="1">
        <f t="array" aca="1" ref="AM197" ca="1">INDIRECT("'"&amp;$B35&amp;"'!"&amp;(D$5&amp;$P$25))</f>
        <v>1844189.924113</v>
      </c>
      <c r="AN197" s="23" cm="1">
        <f t="array" aca="1" ref="AN197" ca="1">INDIRECT("'"&amp;$B35&amp;"'!"&amp;(E$5&amp;$P$25))</f>
        <v>5596021.6835430004</v>
      </c>
      <c r="AO197" s="23" cm="1">
        <f t="array" aca="1" ref="AO197" ca="1">INDIRECT("'"&amp;$B35&amp;"'!"&amp;(F$5&amp;$P$25))</f>
        <v>396.00210400000003</v>
      </c>
      <c r="AP197" s="21">
        <f t="shared" ca="1" si="251"/>
        <v>3.9438505433751631E-2</v>
      </c>
      <c r="AQ197" s="21" cm="1">
        <f t="array" aca="1" ref="AQ197" ca="1">INDIRECT("'"&amp;AK197&amp;"'!"&amp;$H$5&amp;$P$25)+0.01</f>
        <v>2.264E-2</v>
      </c>
      <c r="AR197" s="23">
        <f t="shared" ca="1" si="252"/>
        <v>1.9932499999981701E-3</v>
      </c>
      <c r="AS197" s="7">
        <f t="shared" ca="1" si="258"/>
        <v>3.9488843442300886E-2</v>
      </c>
      <c r="AT197" s="7">
        <f t="shared" ca="1" si="245"/>
        <v>0.12425368841758469</v>
      </c>
      <c r="AU197" s="23">
        <f t="shared" ca="1" si="259"/>
        <v>7.7176132482482548E-2</v>
      </c>
      <c r="AV197" s="23">
        <f t="shared" ca="1" si="248"/>
        <v>-2.5468250000017179E-2</v>
      </c>
      <c r="BK197" s="21" t="s">
        <v>379</v>
      </c>
      <c r="BL197" s="1">
        <v>42666</v>
      </c>
      <c r="BM197" s="34" cm="1">
        <f t="array" aca="1" ref="BM197" ca="1">INDIRECT("'"&amp;$B34&amp;"'!"&amp;(D$5&amp;$P$33))</f>
        <v>1844378.8146540001</v>
      </c>
      <c r="BN197" s="34" cm="1">
        <f t="array" aca="1" ref="BN197" ca="1">INDIRECT("'"&amp;$B34&amp;"'!"&amp;(E$5&amp;$P$33))</f>
        <v>5595386.2008159999</v>
      </c>
      <c r="BO197" s="34" cm="1">
        <f t="array" aca="1" ref="BO197" ca="1">INDIRECT("'"&amp;$B34&amp;"'!"&amp;(F$5&amp;$P$33))</f>
        <v>310.74034600000005</v>
      </c>
      <c r="BP197" s="7">
        <f t="shared" ca="1" si="253"/>
        <v>2.6356687382732547E-2</v>
      </c>
      <c r="BQ197" s="7" cm="1">
        <f t="array" aca="1" ref="BQ197" ca="1">INDIRECT("'"&amp;BK197&amp;"'!"&amp;$H$5&amp;$P$33)+0.01</f>
        <v>2.7319000000000003E-2</v>
      </c>
      <c r="BR197" s="23">
        <f t="shared" ca="1" si="254"/>
        <v>-9.3499999999835381E-3</v>
      </c>
      <c r="BS197" s="7">
        <f t="shared" ca="1" si="255"/>
        <v>2.7966005610218725E-2</v>
      </c>
      <c r="BT197" s="7">
        <f ca="1">(BS197/(BL197-BL198))*31</f>
        <v>8.3360209030459657E-3</v>
      </c>
      <c r="BU197" s="23">
        <f t="shared" ca="1" si="256"/>
        <v>4.7766867268821532E-2</v>
      </c>
      <c r="BV197" s="23">
        <f t="shared" ca="1" si="257"/>
        <v>-1.4199749999988853E-2</v>
      </c>
    </row>
    <row r="198" spans="4:74" x14ac:dyDescent="0.3">
      <c r="D198" s="46">
        <v>42446</v>
      </c>
      <c r="E198" s="23">
        <f t="shared" ca="1" si="239"/>
        <v>7.7347395061242299</v>
      </c>
      <c r="F198" s="23">
        <f t="shared" ca="1" si="249"/>
        <v>10.32796243255525</v>
      </c>
      <c r="G198" s="23">
        <f ca="1">BU215</f>
        <v>4.4352177250264404</v>
      </c>
      <c r="H198" s="23">
        <f t="shared" ca="1" si="241"/>
        <v>2.7398893104561912</v>
      </c>
      <c r="I198" s="23"/>
      <c r="J198" s="23"/>
      <c r="K198" s="23"/>
      <c r="L198" s="23"/>
      <c r="M198" s="23"/>
      <c r="N198" s="21"/>
      <c r="O198" s="46">
        <v>42446</v>
      </c>
      <c r="P198" s="23">
        <f t="shared" ca="1" si="242"/>
        <v>0.44181066614041098</v>
      </c>
      <c r="Q198" s="23">
        <f t="shared" ca="1" si="250"/>
        <v>0.3739914697905814</v>
      </c>
      <c r="R198" s="23">
        <f t="shared" ca="1" si="243"/>
        <v>0.31728113968395094</v>
      </c>
      <c r="S198" s="23">
        <f t="shared" ca="1" si="244"/>
        <v>0.37321277628024535</v>
      </c>
      <c r="T198" s="23"/>
      <c r="AK198" s="3" t="s">
        <v>381</v>
      </c>
      <c r="AL198" s="1">
        <v>42446</v>
      </c>
      <c r="AM198" s="23" cm="1">
        <f t="array" aca="1" ref="AM198" ca="1">INDIRECT("'"&amp;$B36&amp;"'!"&amp;(D$5&amp;$P$25))</f>
        <v>1844189.9246750001</v>
      </c>
      <c r="AN198" s="23" cm="1">
        <f t="array" aca="1" ref="AN198" ca="1">INDIRECT("'"&amp;$B36&amp;"'!"&amp;(E$5&amp;$P$25))</f>
        <v>5596021.7229775013</v>
      </c>
      <c r="AO198" s="23" cm="1">
        <f t="array" aca="1" ref="AO198" ca="1">INDIRECT("'"&amp;$B36&amp;"'!"&amp;(F$5&amp;$P$25))</f>
        <v>396.00011075000003</v>
      </c>
      <c r="AP198" s="21">
        <f t="shared" ca="1" si="251"/>
        <v>2.5810807289725634E-2</v>
      </c>
      <c r="AQ198" s="21" cm="1">
        <f t="array" aca="1" ref="AQ198" ca="1">INDIRECT("'"&amp;AK198&amp;"'!"&amp;$H$5&amp;$P$25)+0.01</f>
        <v>3.1572000000000003E-2</v>
      </c>
      <c r="AR198" s="23">
        <f t="shared" ca="1" si="252"/>
        <v>-2.7461500000015349E-2</v>
      </c>
      <c r="AS198" s="7">
        <f t="shared" ca="1" si="258"/>
        <v>3.7687289040181662E-2</v>
      </c>
      <c r="AT198" s="7">
        <f t="shared" ca="1" si="245"/>
        <v>0.1361966386105575</v>
      </c>
      <c r="AU198" s="23">
        <f t="shared" ca="1" si="259"/>
        <v>3.7687289040181662E-2</v>
      </c>
      <c r="AV198" s="23">
        <f t="shared" ca="1" si="248"/>
        <v>-2.7461500000015349E-2</v>
      </c>
      <c r="BK198" s="21" t="s">
        <v>380</v>
      </c>
      <c r="BL198" s="1">
        <v>42562</v>
      </c>
      <c r="BM198" s="34" cm="1">
        <f t="array" aca="1" ref="BM198" ca="1">INDIRECT("'"&amp;$B35&amp;"'!"&amp;(D$5&amp;$P$33))</f>
        <v>1844378.799572</v>
      </c>
      <c r="BN198" s="34" cm="1">
        <f t="array" aca="1" ref="BN198" ca="1">INDIRECT("'"&amp;$B35&amp;"'!"&amp;(E$5&amp;$P$33))</f>
        <v>5595386.2224310003</v>
      </c>
      <c r="BO198" s="34" cm="1">
        <f t="array" aca="1" ref="BO198" ca="1">INDIRECT("'"&amp;$B35&amp;"'!"&amp;(F$5&amp;$P$33))</f>
        <v>310.74969600000003</v>
      </c>
      <c r="BP198" s="7">
        <f t="shared" ca="1" si="253"/>
        <v>1.9197761519525531E-2</v>
      </c>
      <c r="BQ198" s="7" cm="1">
        <f t="array" aca="1" ref="BQ198" ca="1">INDIRECT("'"&amp;BK198&amp;"'!"&amp;$H$5&amp;$P$33)+0.01</f>
        <v>2.6605999999999998E-2</v>
      </c>
      <c r="BR198" s="23">
        <f t="shared" ca="1" si="254"/>
        <v>-4.8497500000053151E-3</v>
      </c>
      <c r="BS198" s="7">
        <f t="shared" ca="1" si="255"/>
        <v>1.9800861658602807E-2</v>
      </c>
      <c r="BT198" s="7">
        <f ca="1">(BS198/(BL198-BL199))*31</f>
        <v>5.2916095811783364E-3</v>
      </c>
      <c r="BU198" s="23">
        <f t="shared" ca="1" si="256"/>
        <v>1.9800861658602807E-2</v>
      </c>
      <c r="BV198" s="23">
        <f t="shared" ca="1" si="257"/>
        <v>-4.8497500000053151E-3</v>
      </c>
    </row>
    <row r="199" spans="4:74" x14ac:dyDescent="0.3">
      <c r="D199" s="46">
        <v>42345</v>
      </c>
      <c r="E199" s="23">
        <f t="shared" ca="1" si="239"/>
        <v>6.2952918519248264</v>
      </c>
      <c r="F199" s="23">
        <f t="shared" ca="1" si="249"/>
        <v>9.1094740954956137</v>
      </c>
      <c r="G199" s="23">
        <f ca="1">BU216</f>
        <v>3.4014953021851806</v>
      </c>
      <c r="H199" s="23">
        <f t="shared" ca="1" si="241"/>
        <v>1.5239380070915212</v>
      </c>
      <c r="I199" s="23"/>
      <c r="J199" s="23"/>
      <c r="K199" s="23"/>
      <c r="L199" s="23"/>
      <c r="M199" s="23"/>
      <c r="N199" s="21"/>
      <c r="O199" s="46">
        <v>42345</v>
      </c>
      <c r="P199" s="23">
        <f t="shared" ca="1" si="242"/>
        <v>1.3396766061301613</v>
      </c>
      <c r="Q199" s="23">
        <f t="shared" ca="1" si="250"/>
        <v>2.0430804141294554</v>
      </c>
      <c r="R199" s="23">
        <f t="shared" ca="1" si="243"/>
        <v>0.60840197100953297</v>
      </c>
      <c r="S199" s="23">
        <f t="shared" ca="1" si="244"/>
        <v>0.69473644440936999</v>
      </c>
      <c r="T199" s="23"/>
      <c r="AK199" s="3" t="s">
        <v>382</v>
      </c>
      <c r="AL199" s="1">
        <v>42345</v>
      </c>
      <c r="AM199" s="23" cm="1">
        <f t="array" aca="1" ref="AM199" ca="1">INDIRECT("'"&amp;$B37&amp;"'!"&amp;(D$5&amp;$P$25))</f>
        <v>1844189.9066960001</v>
      </c>
      <c r="AN199" s="23" cm="1">
        <f t="array" aca="1" ref="AN199" ca="1">INDIRECT("'"&amp;$B37&amp;"'!"&amp;(E$5&amp;$P$25))</f>
        <v>5596021.7414965006</v>
      </c>
      <c r="AO199" s="23" cm="1">
        <f t="array" aca="1" ref="AO199" ca="1">INDIRECT("'"&amp;$B37&amp;"'!"&amp;(F$5&amp;$P$25))</f>
        <v>396.02757225000005</v>
      </c>
      <c r="AP199" s="21"/>
      <c r="AQ199" s="21"/>
      <c r="AR199" s="23"/>
      <c r="AS199" s="7"/>
      <c r="AT199" s="7"/>
      <c r="AU199" s="23"/>
      <c r="AV199" s="23">
        <f t="shared" si="248"/>
        <v>0</v>
      </c>
      <c r="BK199" s="21" t="s">
        <v>381</v>
      </c>
      <c r="BL199" s="1">
        <v>42446</v>
      </c>
      <c r="BM199" s="34" cm="1">
        <f t="array" aca="1" ref="BM199" ca="1">INDIRECT("'"&amp;$B36&amp;"'!"&amp;(D$5&amp;$P$33))</f>
        <v>1844378.8008300001</v>
      </c>
      <c r="BN199" s="34" cm="1">
        <f t="array" aca="1" ref="BN199" ca="1">INDIRECT("'"&amp;$B36&amp;"'!"&amp;(E$5&amp;$P$33))</f>
        <v>5595386.2032745006</v>
      </c>
      <c r="BO199" s="34" cm="1">
        <f t="array" aca="1" ref="BO199" ca="1">INDIRECT("'"&amp;$B36&amp;"'!"&amp;(F$5&amp;$P$33))</f>
        <v>310.75454575000003</v>
      </c>
      <c r="BP199" s="7"/>
      <c r="BR199" s="23"/>
      <c r="BS199" s="7"/>
      <c r="BT199" s="7"/>
      <c r="BU199" s="23"/>
      <c r="BV199" s="23"/>
    </row>
    <row r="200" spans="4:74" x14ac:dyDescent="0.3">
      <c r="D200" s="46">
        <v>42277</v>
      </c>
      <c r="E200" s="23">
        <f t="shared" ca="1" si="239"/>
        <v>3.3566463933167312</v>
      </c>
      <c r="F200" s="23">
        <f t="shared" ca="1" si="249"/>
        <v>4.6278783483729384</v>
      </c>
      <c r="G200" s="23">
        <f ca="1">BU217</f>
        <v>2.0669361399707213</v>
      </c>
      <c r="H200" s="23">
        <f t="shared" si="241"/>
        <v>0</v>
      </c>
      <c r="I200" s="23"/>
      <c r="J200" s="23"/>
      <c r="K200" s="23"/>
      <c r="L200" s="23"/>
      <c r="M200" s="23"/>
      <c r="N200" s="21"/>
      <c r="O200" s="46">
        <v>42277</v>
      </c>
      <c r="P200" s="23">
        <f t="shared" ca="1" si="242"/>
        <v>1.1691689684586368</v>
      </c>
      <c r="Q200" s="23">
        <f t="shared" ca="1" si="250"/>
        <v>1.6119576269613607</v>
      </c>
      <c r="R200" s="23">
        <f t="shared" ca="1" si="243"/>
        <v>0.71994404875384677</v>
      </c>
      <c r="S200" s="23">
        <f t="shared" si="244"/>
        <v>0</v>
      </c>
      <c r="T200" s="23"/>
      <c r="AK200" s="3" t="s">
        <v>383</v>
      </c>
      <c r="AL200" s="1">
        <v>42277</v>
      </c>
      <c r="AM200" s="23"/>
      <c r="AN200" s="23"/>
      <c r="AO200" s="23"/>
      <c r="AP200" s="21"/>
      <c r="AQ200" s="21"/>
      <c r="AR200" s="23"/>
      <c r="AS200" s="7"/>
      <c r="AT200" s="7"/>
      <c r="AU200" s="23"/>
      <c r="AV200" s="23">
        <f>AV201+AR200</f>
        <v>0</v>
      </c>
      <c r="BK200" s="21" t="s">
        <v>382</v>
      </c>
      <c r="BL200" s="1"/>
      <c r="BM200" s="34"/>
      <c r="BN200" s="34"/>
      <c r="BO200" s="34"/>
      <c r="BP200" s="21"/>
      <c r="BR200" s="23"/>
      <c r="BS200" s="7"/>
      <c r="BT200" s="7"/>
      <c r="BU200" s="23"/>
      <c r="BV200" s="23"/>
    </row>
    <row r="201" spans="4:74" x14ac:dyDescent="0.3">
      <c r="D201" s="46">
        <v>42188</v>
      </c>
      <c r="E201" s="23">
        <f t="shared" si="239"/>
        <v>0</v>
      </c>
      <c r="F201" s="23">
        <f t="shared" si="249"/>
        <v>0</v>
      </c>
      <c r="G201" s="23">
        <f>BU218</f>
        <v>0</v>
      </c>
      <c r="H201" s="23"/>
      <c r="I201" s="23"/>
      <c r="J201" s="23"/>
      <c r="K201" s="23"/>
      <c r="L201" s="23"/>
      <c r="M201" s="23"/>
      <c r="N201" s="21"/>
      <c r="O201" s="46">
        <v>42188</v>
      </c>
      <c r="P201" s="23">
        <f t="shared" si="242"/>
        <v>0</v>
      </c>
      <c r="Q201" s="23">
        <f t="shared" si="250"/>
        <v>0</v>
      </c>
      <c r="R201" s="23">
        <f t="shared" si="243"/>
        <v>0</v>
      </c>
      <c r="S201" s="23"/>
      <c r="T201" s="23"/>
      <c r="AK201" s="3" t="s">
        <v>384</v>
      </c>
      <c r="AL201" s="1">
        <v>42188</v>
      </c>
      <c r="AM201" s="23"/>
      <c r="AN201" s="23"/>
      <c r="AO201" s="23"/>
      <c r="AP201" s="21"/>
      <c r="AQ201" s="21"/>
      <c r="AR201" s="23"/>
      <c r="AS201" s="7"/>
      <c r="AT201" s="7"/>
      <c r="AU201" s="10"/>
      <c r="AV201" s="21">
        <v>0</v>
      </c>
      <c r="BK201" s="21" t="s">
        <v>383</v>
      </c>
      <c r="BL201" s="1"/>
      <c r="BM201" s="34"/>
      <c r="BN201" s="34"/>
      <c r="BO201" s="34"/>
      <c r="BP201" s="21"/>
      <c r="BR201" s="23"/>
      <c r="BS201" s="7"/>
      <c r="BT201" s="7"/>
      <c r="BU201" s="23"/>
      <c r="BV201" s="23"/>
    </row>
    <row r="202" spans="4:74" x14ac:dyDescent="0.3">
      <c r="AL202" s="1"/>
      <c r="BK202" s="21" t="s">
        <v>384</v>
      </c>
      <c r="BL202" s="1"/>
      <c r="BM202" s="34"/>
      <c r="BN202" s="34"/>
      <c r="BO202" s="34"/>
      <c r="BP202" s="21"/>
      <c r="BR202" s="21"/>
      <c r="BS202" s="21"/>
      <c r="BT202" s="21"/>
      <c r="BU202" s="21"/>
      <c r="BV202" s="21"/>
    </row>
    <row r="203" spans="4:74" x14ac:dyDescent="0.3">
      <c r="E203" s="23">
        <f t="shared" ref="E203:E215" ca="1" si="260">BQ158</f>
        <v>2.0539000000000002E-2</v>
      </c>
      <c r="F203" s="23">
        <f t="shared" ref="F203:F215" si="261">BQ174</f>
        <v>0</v>
      </c>
      <c r="G203" s="23">
        <f t="shared" ref="G203:G215" ca="1" si="262">BQ206</f>
        <v>1.9868E-2</v>
      </c>
      <c r="H203" s="23">
        <f t="shared" ref="H203:H215" ca="1" si="263">BQ222</f>
        <v>2.6509999999999999E-2</v>
      </c>
      <c r="O203" s="21" t="s">
        <v>667</v>
      </c>
      <c r="P203" s="23">
        <f ca="1">P192/P191</f>
        <v>2.5473011813826498</v>
      </c>
      <c r="Q203" s="23">
        <f t="shared" ref="Q203:S203" ca="1" si="264">Q192/Q191</f>
        <v>1.5092604218408301</v>
      </c>
      <c r="R203" s="23">
        <f t="shared" ca="1" si="264"/>
        <v>1.6874736213193131</v>
      </c>
      <c r="S203" s="23">
        <f t="shared" ca="1" si="264"/>
        <v>1.7253687568609803</v>
      </c>
      <c r="AL203" s="1"/>
    </row>
    <row r="204" spans="4:74" x14ac:dyDescent="0.3">
      <c r="E204" s="23">
        <f t="shared" ca="1" si="260"/>
        <v>2.6354000000000002E-2</v>
      </c>
      <c r="F204" s="23">
        <f t="shared" si="261"/>
        <v>0</v>
      </c>
      <c r="G204" s="23">
        <f t="shared" ca="1" si="262"/>
        <v>2.9900000000000003E-2</v>
      </c>
      <c r="H204" s="23">
        <f t="shared" ca="1" si="263"/>
        <v>3.0267000000000002E-2</v>
      </c>
      <c r="O204" s="21" t="s">
        <v>665</v>
      </c>
      <c r="P204">
        <f ca="1">P195/P194</f>
        <v>2.8157050937645116</v>
      </c>
      <c r="Q204" s="21">
        <f t="shared" ref="Q204:S204" ca="1" si="265">Q195/Q194</f>
        <v>2.7503128264788104</v>
      </c>
      <c r="R204" s="21">
        <f t="shared" ca="1" si="265"/>
        <v>2.0556481517596872</v>
      </c>
      <c r="S204" s="21">
        <f t="shared" ca="1" si="265"/>
        <v>2.2982741097106816</v>
      </c>
      <c r="AK204" s="21" t="s">
        <v>598</v>
      </c>
      <c r="AL204" s="1"/>
      <c r="AM204" s="21" t="s">
        <v>541</v>
      </c>
      <c r="AN204" s="21" t="s">
        <v>542</v>
      </c>
      <c r="AO204" s="21" t="s">
        <v>543</v>
      </c>
      <c r="AP204" s="7" t="s">
        <v>427</v>
      </c>
      <c r="AQ204" s="7" t="s">
        <v>525</v>
      </c>
      <c r="AR204" s="21" t="s">
        <v>428</v>
      </c>
      <c r="AS204" s="21" t="s">
        <v>429</v>
      </c>
      <c r="AT204" s="21" t="s">
        <v>606</v>
      </c>
      <c r="AU204" s="21" t="s">
        <v>430</v>
      </c>
      <c r="AV204" s="33" t="s">
        <v>582</v>
      </c>
    </row>
    <row r="205" spans="4:74" x14ac:dyDescent="0.3">
      <c r="E205" s="23">
        <f t="shared" ca="1" si="260"/>
        <v>2.9095000000000003E-2</v>
      </c>
      <c r="F205" s="23">
        <f t="shared" ca="1" si="261"/>
        <v>2.7227000000000001E-2</v>
      </c>
      <c r="G205" s="23">
        <f t="shared" ca="1" si="262"/>
        <v>4.1008999999999997E-2</v>
      </c>
      <c r="H205" s="23">
        <f t="shared" ca="1" si="263"/>
        <v>3.4554000000000001E-2</v>
      </c>
      <c r="O205" s="21" t="s">
        <v>666</v>
      </c>
      <c r="P205">
        <f ca="1">P199/P198</f>
        <v>3.032241430098026</v>
      </c>
      <c r="Q205" s="21">
        <f t="shared" ref="Q205:S205" ca="1" si="266">Q199/Q198</f>
        <v>5.462906454185946</v>
      </c>
      <c r="R205" s="21">
        <f t="shared" ca="1" si="266"/>
        <v>1.917548492215996</v>
      </c>
      <c r="S205" s="21">
        <f t="shared" ca="1" si="266"/>
        <v>1.8615023079694695</v>
      </c>
      <c r="AK205" s="21" t="s">
        <v>526</v>
      </c>
      <c r="AL205" s="1">
        <v>43817</v>
      </c>
      <c r="AM205" s="23" cm="1">
        <f t="array" aca="1" ref="AM205" ca="1">INDIRECT("'"&amp;$B27&amp;"'!"&amp;(D$5&amp;$P$36))</f>
        <v>1844303.0701860001</v>
      </c>
      <c r="AN205" s="23" cm="1">
        <f t="array" aca="1" ref="AN205" ca="1">INDIRECT("'"&amp;$B27&amp;"'!"&amp;(E$5&amp;$P$36))</f>
        <v>5595520.0634059999</v>
      </c>
      <c r="AO205" s="23" cm="1">
        <f t="array" aca="1" ref="AO205" ca="1">INDIRECT("'"&amp;$B27&amp;"'!"&amp;(F$5&amp;$P$36))</f>
        <v>314.61509699999999</v>
      </c>
      <c r="AP205" s="7">
        <f ca="1">SQRT(((AM205-AM206)^2)+((AN205-AN206)^2))</f>
        <v>5.6259470583039338E-2</v>
      </c>
      <c r="AQ205" s="7" cm="1">
        <f t="array" aca="1" ref="AQ205" ca="1">INDIRECT("'"&amp;AK205&amp;"'!"&amp;$H$5&amp;$P$36)+0.01</f>
        <v>2.0982000000000001E-2</v>
      </c>
      <c r="AR205" s="23">
        <f ca="1">AO205-AO206</f>
        <v>4.179599999997663E-2</v>
      </c>
      <c r="AS205" s="7">
        <f ca="1">SQRT((AP205^2)+(AR205^2))</f>
        <v>7.0085901908172057E-2</v>
      </c>
      <c r="AT205" s="7">
        <f ca="1">(AS205/(AL205-AL206))*31</f>
        <v>4.9946274923065147E-3</v>
      </c>
      <c r="AU205" s="23">
        <f ca="1">AU206+AS205</f>
        <v>0.4829709271967832</v>
      </c>
      <c r="AV205" s="23">
        <f ca="1">AV206+AR205</f>
        <v>0.1385512499999777</v>
      </c>
      <c r="BK205" s="21" t="s">
        <v>596</v>
      </c>
      <c r="BL205" s="1"/>
      <c r="BM205" s="21" t="s">
        <v>541</v>
      </c>
      <c r="BN205" s="21" t="s">
        <v>542</v>
      </c>
      <c r="BO205" s="21" t="s">
        <v>543</v>
      </c>
      <c r="BP205" s="7" t="s">
        <v>427</v>
      </c>
      <c r="BQ205" s="7" t="s">
        <v>525</v>
      </c>
      <c r="BR205" s="21" t="s">
        <v>428</v>
      </c>
      <c r="BS205" s="21" t="s">
        <v>429</v>
      </c>
      <c r="BT205" s="21" t="s">
        <v>606</v>
      </c>
      <c r="BU205" s="21" t="s">
        <v>430</v>
      </c>
      <c r="BV205" s="33" t="s">
        <v>582</v>
      </c>
    </row>
    <row r="206" spans="4:74" x14ac:dyDescent="0.3">
      <c r="E206" s="23">
        <f t="shared" ca="1" si="260"/>
        <v>3.8690000000000002E-2</v>
      </c>
      <c r="F206" s="23">
        <f t="shared" ca="1" si="261"/>
        <v>3.0688E-2</v>
      </c>
      <c r="G206" s="23">
        <f t="shared" ca="1" si="262"/>
        <v>2.1760000000000002E-2</v>
      </c>
      <c r="H206" s="23">
        <f t="shared" ca="1" si="263"/>
        <v>4.3532000000000001E-2</v>
      </c>
      <c r="AK206" s="21" t="s">
        <v>373</v>
      </c>
      <c r="AL206" s="1">
        <v>43382</v>
      </c>
      <c r="AM206" s="23" cm="1">
        <f t="array" aca="1" ref="AM206" ca="1">INDIRECT("'"&amp;$B28&amp;"'!"&amp;(D$5&amp;$P$36))</f>
        <v>1844303.097658</v>
      </c>
      <c r="AN206" s="23" cm="1">
        <f t="array" aca="1" ref="AN206" ca="1">INDIRECT("'"&amp;$B28&amp;"'!"&amp;(E$5&amp;$P$36))</f>
        <v>5595520.1125020003</v>
      </c>
      <c r="AO206" s="23" cm="1">
        <f t="array" aca="1" ref="AO206" ca="1">INDIRECT("'"&amp;$B28&amp;"'!"&amp;(F$5&amp;$P$36))</f>
        <v>314.57330100000001</v>
      </c>
      <c r="AP206" s="7">
        <f t="shared" ref="AP206:AP215" ca="1" si="267">SQRT(((AM206-AM207)^2)+((AN206-AN207)^2))</f>
        <v>4.5926717600295611E-2</v>
      </c>
      <c r="AQ206" s="7" cm="1">
        <f t="array" aca="1" ref="AQ206" ca="1">INDIRECT("'"&amp;AK206&amp;"'!"&amp;$H$5&amp;$P$36)+0.01</f>
        <v>2.6064999999999998E-2</v>
      </c>
      <c r="AR206" s="23">
        <f t="shared" ref="AR206:AR215" ca="1" si="268">AO206-AO207</f>
        <v>2.4666000000024724E-2</v>
      </c>
      <c r="AS206" s="7">
        <f t="shared" ref="AS206:AS215" ca="1" si="269">SQRT((AP206^2)+(AR206^2))</f>
        <v>5.2131324034005909E-2</v>
      </c>
      <c r="AT206" s="7">
        <f ca="1">(AS206/(AL206-AL207))*31</f>
        <v>8.245260433949915E-3</v>
      </c>
      <c r="AU206" s="23">
        <f t="shared" ref="AU206:AU216" ca="1" si="270">AU207+AS206</f>
        <v>0.41288502528861115</v>
      </c>
      <c r="AV206" s="23">
        <f t="shared" ref="AV206:AV216" ca="1" si="271">AV207+AR206</f>
        <v>9.675525000000107E-2</v>
      </c>
      <c r="BK206" s="21" t="s">
        <v>526</v>
      </c>
      <c r="BL206" s="1">
        <v>43817</v>
      </c>
      <c r="BM206" s="34" cm="1">
        <f t="array" aca="1" ref="BM206" ca="1">INDIRECT("'"&amp;$B27&amp;"'!"&amp;(D$5&amp;$P$34))</f>
        <v>1844366.2500849999</v>
      </c>
      <c r="BN206" s="34" cm="1">
        <f t="array" aca="1" ref="BN206" ca="1">INDIRECT("'"&amp;$B27&amp;"'!"&amp;(E$5&amp;$P$34))</f>
        <v>5595605.1841869997</v>
      </c>
      <c r="BO206" s="34" cm="1">
        <f t="array" aca="1" ref="BO206" ca="1">INDIRECT("'"&amp;$B27&amp;"'!"&amp;(F$5&amp;$P$34))</f>
        <v>326.93478699999997</v>
      </c>
      <c r="BP206" s="7">
        <f ca="1">SQRT(((BM206-BM207)^2)+((BN206-BN207)^2))</f>
        <v>5.2620573679529556</v>
      </c>
      <c r="BQ206" s="7" cm="1">
        <f t="array" aca="1" ref="BQ206" ca="1">INDIRECT("'"&amp;BK206&amp;"'!"&amp;$H$5&amp;$P$33)+0.01</f>
        <v>1.9868E-2</v>
      </c>
      <c r="BR206" s="23">
        <f ca="1">BO206-BO207</f>
        <v>1.2493999999946936E-2</v>
      </c>
      <c r="BS206" s="7">
        <f ca="1">SQRT((BP206^2)+(BR206^2))</f>
        <v>5.26207220053697</v>
      </c>
      <c r="BT206" s="7">
        <f t="shared" ref="BT206:BT212" ca="1" si="272">(BS206/(BL206-BL207))*31</f>
        <v>0.37499824877389898</v>
      </c>
      <c r="BU206" s="23">
        <f ca="1">BU207+BS206</f>
        <v>26.205872217523332</v>
      </c>
      <c r="BV206" s="23">
        <f ca="1">BV207+BR206</f>
        <v>-8.5758750000024975E-2</v>
      </c>
    </row>
    <row r="207" spans="4:74" x14ac:dyDescent="0.3">
      <c r="E207" s="23">
        <f t="shared" ca="1" si="260"/>
        <v>3.2587999999999999E-2</v>
      </c>
      <c r="F207" s="23">
        <f t="shared" ca="1" si="261"/>
        <v>3.0381999999999999E-2</v>
      </c>
      <c r="G207" s="23">
        <f t="shared" ca="1" si="262"/>
        <v>3.8001E-2</v>
      </c>
      <c r="H207" s="23">
        <f t="shared" ca="1" si="263"/>
        <v>5.1546000000000002E-2</v>
      </c>
      <c r="AK207" s="21" t="s">
        <v>375</v>
      </c>
      <c r="AL207" s="1">
        <v>43186</v>
      </c>
      <c r="AM207" s="23" cm="1">
        <f t="array" aca="1" ref="AM207" ca="1">INDIRECT("'"&amp;$B29&amp;"'!"&amp;(D$5&amp;$P$36))</f>
        <v>1844303.1300550001</v>
      </c>
      <c r="AN207" s="23" cm="1">
        <f t="array" aca="1" ref="AN207" ca="1">INDIRECT("'"&amp;$B29&amp;"'!"&amp;(E$5&amp;$P$36))</f>
        <v>5595520.1450549997</v>
      </c>
      <c r="AO207" s="23" cm="1">
        <f t="array" aca="1" ref="AO207" ca="1">INDIRECT("'"&amp;$B29&amp;"'!"&amp;(F$5&amp;$P$36))</f>
        <v>314.54863499999999</v>
      </c>
      <c r="AP207" s="7">
        <f t="shared" ca="1" si="267"/>
        <v>1.9331833043100564E-2</v>
      </c>
      <c r="AQ207" s="7" cm="1">
        <f t="array" aca="1" ref="AQ207" ca="1">INDIRECT("'"&amp;AK207&amp;"'!"&amp;$H$5&amp;$P$36)+0.01</f>
        <v>3.3488999999999998E-2</v>
      </c>
      <c r="AR207" s="23">
        <f t="shared" ca="1" si="268"/>
        <v>1.7343999999980042E-2</v>
      </c>
      <c r="AS207" s="7">
        <f t="shared" ca="1" si="269"/>
        <v>2.5971794408658454E-2</v>
      </c>
      <c r="AT207" s="7">
        <f ca="1">(AS207/(AL207-AL208))*31</f>
        <v>4.8211115369365997E-3</v>
      </c>
      <c r="AU207" s="23">
        <f t="shared" ca="1" si="270"/>
        <v>0.36075370125460526</v>
      </c>
      <c r="AV207" s="23">
        <f t="shared" ca="1" si="271"/>
        <v>7.2089249999976346E-2</v>
      </c>
      <c r="BK207" s="21" t="s">
        <v>373</v>
      </c>
      <c r="BL207" s="1">
        <v>43382</v>
      </c>
      <c r="BM207" s="34" cm="1">
        <f t="array" aca="1" ref="BM207" ca="1">INDIRECT("'"&amp;$B28&amp;"'!"&amp;(D$5&amp;$P$34))</f>
        <v>1844365.2979870001</v>
      </c>
      <c r="BN207" s="34" cm="1">
        <f t="array" aca="1" ref="BN207" ca="1">INDIRECT("'"&amp;$B28&amp;"'!"&amp;(E$5&amp;$P$34))</f>
        <v>5595610.3593929997</v>
      </c>
      <c r="BO207" s="34" cm="1">
        <f t="array" aca="1" ref="BO207" ca="1">INDIRECT("'"&amp;$B28&amp;"'!"&amp;(F$5&amp;$P$34))</f>
        <v>326.92229300000002</v>
      </c>
      <c r="BP207" s="7">
        <f t="shared" ref="BP207:BP212" ca="1" si="273">SQRT(((BM207-BM208)^2)+((BN207-BN208)^2))</f>
        <v>3.8792778989897974</v>
      </c>
      <c r="BQ207" s="7" cm="1">
        <f t="array" aca="1" ref="BQ207" ca="1">INDIRECT("'"&amp;BK207&amp;"'!"&amp;$H$5&amp;$P$33)+0.01</f>
        <v>2.9900000000000003E-2</v>
      </c>
      <c r="BR207" s="23">
        <f t="shared" ref="BR207:BR212" ca="1" si="274">BO207-BO208</f>
        <v>-8.0492999999989934E-2</v>
      </c>
      <c r="BS207" s="7">
        <f t="shared" ref="BS207:BS211" ca="1" si="275">SQRT((BP207^2)+(BR207^2))</f>
        <v>3.8801129030789419</v>
      </c>
      <c r="BT207" s="7">
        <f t="shared" ca="1" si="272"/>
        <v>0.61369132650738367</v>
      </c>
      <c r="BU207" s="23">
        <f t="shared" ref="BU207:BU212" ca="1" si="276">BU208+BS207</f>
        <v>20.943800016986362</v>
      </c>
      <c r="BV207" s="23">
        <f t="shared" ref="BV207:BV212" ca="1" si="277">BV208+BR207</f>
        <v>-9.8252749999971911E-2</v>
      </c>
    </row>
    <row r="208" spans="4:74" x14ac:dyDescent="0.3">
      <c r="E208" s="23">
        <f t="shared" ca="1" si="260"/>
        <v>5.4443000000000005E-2</v>
      </c>
      <c r="F208" s="23">
        <f t="shared" ca="1" si="261"/>
        <v>3.9334000000000001E-2</v>
      </c>
      <c r="G208" s="23">
        <f t="shared" ca="1" si="262"/>
        <v>3.0376E-2</v>
      </c>
      <c r="H208" s="23">
        <f t="shared" ca="1" si="263"/>
        <v>4.0388E-2</v>
      </c>
      <c r="AK208" s="21" t="s">
        <v>374</v>
      </c>
      <c r="AL208" s="1">
        <v>43019</v>
      </c>
      <c r="AM208" s="23" cm="1">
        <f t="array" aca="1" ref="AM208" ca="1">INDIRECT("'"&amp;$B30&amp;"'!"&amp;(D$5&amp;$P$36))</f>
        <v>1844303.142067</v>
      </c>
      <c r="AN208" s="23" cm="1">
        <f t="array" aca="1" ref="AN208" ca="1">INDIRECT("'"&amp;$B30&amp;"'!"&amp;(E$5&amp;$P$36))</f>
        <v>5595520.1602020003</v>
      </c>
      <c r="AO208" s="23" cm="1">
        <f t="array" aca="1" ref="AO208" ca="1">INDIRECT("'"&amp;$B30&amp;"'!"&amp;(F$5&amp;$P$36))</f>
        <v>314.53129100000001</v>
      </c>
      <c r="AP208" s="7">
        <f ca="1">SQRT(((AM208-AM210)^2)+((AN208-AN210)^2))</f>
        <v>3.5629346161981705E-2</v>
      </c>
      <c r="AQ208" s="7" cm="1">
        <f t="array" aca="1" ref="AQ208" ca="1">INDIRECT("'"&amp;AK208&amp;"'!"&amp;$H$5&amp;$P$36)+0.01</f>
        <v>4.0834000000000002E-2</v>
      </c>
      <c r="AR208" s="23">
        <f ca="1">AO208-AO210</f>
        <v>-1.8180000000143082E-3</v>
      </c>
      <c r="AS208" s="7">
        <f t="shared" ca="1" si="269"/>
        <v>3.5675698058067098E-2</v>
      </c>
      <c r="AT208" s="7">
        <f ca="1">(AS208/(AL208-AL210))*31</f>
        <v>5.3948616575613664E-3</v>
      </c>
      <c r="AU208" s="23">
        <f ca="1">AU210+AS208</f>
        <v>0.33478190684594683</v>
      </c>
      <c r="AV208" s="23">
        <f ca="1">AV210+AR208</f>
        <v>5.4745249999996304E-2</v>
      </c>
      <c r="BK208" s="21" t="s">
        <v>375</v>
      </c>
      <c r="BL208" s="1">
        <v>43186</v>
      </c>
      <c r="BM208" s="34" cm="1">
        <f t="array" aca="1" ref="BM208" ca="1">INDIRECT("'"&amp;$B29&amp;"'!"&amp;(D$5&amp;$P$34))</f>
        <v>1844364.6339789999</v>
      </c>
      <c r="BN208" s="34" cm="1">
        <f t="array" aca="1" ref="BN208" ca="1">INDIRECT("'"&amp;$B29&amp;"'!"&amp;(E$5&amp;$P$34))</f>
        <v>5595614.1814200003</v>
      </c>
      <c r="BO208" s="34" cm="1">
        <f t="array" aca="1" ref="BO208" ca="1">INDIRECT("'"&amp;$B29&amp;"'!"&amp;(F$5&amp;$P$34))</f>
        <v>327.00278600000001</v>
      </c>
      <c r="BP208" s="7">
        <f t="shared" ca="1" si="273"/>
        <v>2.5701006522030108</v>
      </c>
      <c r="BQ208" s="7" cm="1">
        <f t="array" aca="1" ref="BQ208" ca="1">INDIRECT("'"&amp;BK208&amp;"'!"&amp;$H$5&amp;$P$33)+0.01</f>
        <v>4.1008999999999997E-2</v>
      </c>
      <c r="BR208" s="23">
        <f t="shared" ca="1" si="274"/>
        <v>2.449500000000171E-2</v>
      </c>
      <c r="BS208" s="7">
        <f t="shared" ca="1" si="275"/>
        <v>2.5702173774759483</v>
      </c>
      <c r="BT208" s="7">
        <f t="shared" ca="1" si="272"/>
        <v>0.47710621977098444</v>
      </c>
      <c r="BU208" s="23">
        <f t="shared" ca="1" si="276"/>
        <v>17.06368711390742</v>
      </c>
      <c r="BV208" s="23">
        <f t="shared" ca="1" si="277"/>
        <v>-1.7759749999981977E-2</v>
      </c>
    </row>
    <row r="209" spans="5:74" x14ac:dyDescent="0.3">
      <c r="E209" s="23">
        <f t="shared" ca="1" si="260"/>
        <v>2.9166999999999998E-2</v>
      </c>
      <c r="F209" s="23">
        <f t="shared" ca="1" si="261"/>
        <v>2.7864E-2</v>
      </c>
      <c r="G209" s="23">
        <f t="shared" ca="1" si="262"/>
        <v>2.5204999999999998E-2</v>
      </c>
      <c r="H209" s="23">
        <f t="shared" ca="1" si="263"/>
        <v>3.9657999999999999E-2</v>
      </c>
      <c r="O209" t="s">
        <v>668</v>
      </c>
      <c r="P209" t="s">
        <v>669</v>
      </c>
      <c r="AK209" s="21" t="s">
        <v>376</v>
      </c>
      <c r="AL209" s="1"/>
      <c r="AM209" s="23"/>
      <c r="AN209" s="23"/>
      <c r="AO209" s="23"/>
      <c r="AP209" s="7"/>
      <c r="AQ209" s="7"/>
      <c r="AR209" s="23"/>
      <c r="AS209" s="7"/>
      <c r="AT209" s="7"/>
      <c r="AU209" s="23"/>
      <c r="AV209" s="23"/>
      <c r="BK209" s="21" t="s">
        <v>374</v>
      </c>
      <c r="BL209" s="1">
        <v>43019</v>
      </c>
      <c r="BM209" s="34" cm="1">
        <f t="array" aca="1" ref="BM209" ca="1">INDIRECT("'"&amp;$B30&amp;"'!"&amp;(D$5&amp;$P$34))</f>
        <v>1844364.2499530001</v>
      </c>
      <c r="BN209" s="34" cm="1">
        <f t="array" aca="1" ref="BN209" ca="1">INDIRECT("'"&amp;$B30&amp;"'!"&amp;(E$5&amp;$P$34))</f>
        <v>5595616.7226679996</v>
      </c>
      <c r="BO209" s="34" cm="1">
        <f t="array" aca="1" ref="BO209" ca="1">INDIRECT("'"&amp;$B30&amp;"'!"&amp;(F$5&amp;$P$34))</f>
        <v>326.97829100000001</v>
      </c>
      <c r="BP209" s="7">
        <f t="shared" ca="1" si="273"/>
        <v>2.6998336207595806</v>
      </c>
      <c r="BQ209" s="7" cm="1">
        <f t="array" aca="1" ref="BQ209" ca="1">INDIRECT("'"&amp;BK209&amp;"'!"&amp;$H$5&amp;$P$33)+0.01</f>
        <v>2.1760000000000002E-2</v>
      </c>
      <c r="BR209" s="23">
        <f t="shared" ca="1" si="274"/>
        <v>-7.9184999999995398E-2</v>
      </c>
      <c r="BS209" s="7">
        <f t="shared" ca="1" si="275"/>
        <v>2.7009946027359599</v>
      </c>
      <c r="BT209" s="7">
        <f t="shared" ca="1" si="272"/>
        <v>0.80510416043091115</v>
      </c>
      <c r="BU209" s="23">
        <f t="shared" ca="1" si="276"/>
        <v>14.493469736431472</v>
      </c>
      <c r="BV209" s="23">
        <f t="shared" ca="1" si="277"/>
        <v>-4.2254749999983687E-2</v>
      </c>
    </row>
    <row r="210" spans="5:74" x14ac:dyDescent="0.3">
      <c r="E210" s="23">
        <f t="shared" ca="1" si="260"/>
        <v>3.2018999999999999E-2</v>
      </c>
      <c r="F210" s="23">
        <f t="shared" ca="1" si="261"/>
        <v>2.8823000000000001E-2</v>
      </c>
      <c r="G210" s="23">
        <f t="shared" ca="1" si="262"/>
        <v>2.7319000000000003E-2</v>
      </c>
      <c r="H210" s="23">
        <f t="shared" ca="1" si="263"/>
        <v>5.8892E-2</v>
      </c>
      <c r="O210" s="23">
        <f ca="1">AVERAGE(P203:S205,P159:T161,P114:U116,O70:V72)</f>
        <v>2.2662860625160288</v>
      </c>
      <c r="P210" s="23">
        <f ca="1">AVERAGE(P203:S203,P159:T159,P114:U114,O70:V70)</f>
        <v>1.7717141239173693</v>
      </c>
      <c r="Q210" s="23">
        <f ca="1">AVERAGE(P204:S204,P160:T160,P115:U115,O71:V71)</f>
        <v>2.8429137454976967</v>
      </c>
      <c r="R210" s="23">
        <f ca="1">AVERAGE(P205:S205,P161:T161,P116:U116,O72:V72)</f>
        <v>2.1796716656672981</v>
      </c>
      <c r="AK210" s="21" t="s">
        <v>377</v>
      </c>
      <c r="AL210" s="1">
        <v>42814</v>
      </c>
      <c r="AM210" s="23" cm="1">
        <f t="array" aca="1" ref="AM210" ca="1">INDIRECT("'"&amp;$B32&amp;"'!"&amp;(D$5&amp;$P$36))</f>
        <v>1844303.1539</v>
      </c>
      <c r="AN210" s="23" cm="1">
        <f t="array" aca="1" ref="AN210" ca="1">INDIRECT("'"&amp;$B32&amp;"'!"&amp;(E$5&amp;$P$36))</f>
        <v>5595520.1938089998</v>
      </c>
      <c r="AO210" s="23" cm="1">
        <f t="array" aca="1" ref="AO210" ca="1">INDIRECT("'"&amp;$B32&amp;"'!"&amp;(F$5&amp;$P$36))</f>
        <v>314.53310900000002</v>
      </c>
      <c r="AP210" s="7">
        <f t="shared" ca="1" si="267"/>
        <v>1.4326817150057397E-2</v>
      </c>
      <c r="AQ210" s="7" cm="1">
        <f t="array" aca="1" ref="AQ210" ca="1">INDIRECT("'"&amp;AK210&amp;"'!"&amp;$H$5&amp;$P$36)+0.01</f>
        <v>2.3490999999999998E-2</v>
      </c>
      <c r="AR210" s="23">
        <f t="shared" ca="1" si="268"/>
        <v>1.3250000000084583E-3</v>
      </c>
      <c r="AS210" s="7">
        <f t="shared" ca="1" si="269"/>
        <v>1.4387957278613292E-2</v>
      </c>
      <c r="AT210" s="7">
        <f t="shared" ref="AT210:AT215" ca="1" si="278">(AS210/(AL210-AL211))*31</f>
        <v>4.646111204552209E-3</v>
      </c>
      <c r="AU210" s="23">
        <f t="shared" ca="1" si="270"/>
        <v>0.29910620878787975</v>
      </c>
      <c r="AV210" s="23">
        <f t="shared" ca="1" si="271"/>
        <v>5.6563250000010612E-2</v>
      </c>
      <c r="BK210" s="21" t="s">
        <v>376</v>
      </c>
      <c r="BL210" s="1">
        <v>42915</v>
      </c>
      <c r="BM210" s="34" cm="1">
        <f t="array" aca="1" ref="BM210" ca="1">INDIRECT("'"&amp;$B31&amp;"'!"&amp;(D$5&amp;$P$34))</f>
        <v>1844363.7970100001</v>
      </c>
      <c r="BN210" s="34" cm="1">
        <f t="array" aca="1" ref="BN210" ca="1">INDIRECT("'"&amp;$B31&amp;"'!"&amp;(E$5&amp;$P$34))</f>
        <v>5595619.3842359995</v>
      </c>
      <c r="BO210" s="34" cm="1">
        <f t="array" aca="1" ref="BO210" ca="1">INDIRECT("'"&amp;$B31&amp;"'!"&amp;(F$5&amp;$P$34))</f>
        <v>327.05747600000001</v>
      </c>
      <c r="BP210" s="7">
        <f t="shared" ca="1" si="273"/>
        <v>1.9179887991386972</v>
      </c>
      <c r="BQ210" s="7" cm="1">
        <f t="array" aca="1" ref="BQ210" ca="1">INDIRECT("'"&amp;BK210&amp;"'!"&amp;$H$5&amp;$P$33)+0.01</f>
        <v>3.8001E-2</v>
      </c>
      <c r="BR210" s="23">
        <f t="shared" ca="1" si="274"/>
        <v>3.6283000000025822E-2</v>
      </c>
      <c r="BS210" s="7">
        <f t="shared" ca="1" si="275"/>
        <v>1.9183319550355471</v>
      </c>
      <c r="BT210" s="7">
        <f t="shared" ca="1" si="272"/>
        <v>0.58879495649605906</v>
      </c>
      <c r="BU210" s="23">
        <f t="shared" ca="1" si="276"/>
        <v>11.792475133695511</v>
      </c>
      <c r="BV210" s="23">
        <f t="shared" ca="1" si="277"/>
        <v>3.6930250000011711E-2</v>
      </c>
    </row>
    <row r="211" spans="5:74" x14ac:dyDescent="0.3">
      <c r="E211" s="23">
        <f t="shared" ca="1" si="260"/>
        <v>3.0706999999999998E-2</v>
      </c>
      <c r="F211" s="23">
        <f t="shared" ca="1" si="261"/>
        <v>4.1001000000000003E-2</v>
      </c>
      <c r="G211" s="23">
        <f t="shared" si="262"/>
        <v>0</v>
      </c>
      <c r="H211" s="23">
        <f t="shared" ca="1" si="263"/>
        <v>3.5060000000000001E-2</v>
      </c>
      <c r="O211" s="23">
        <f ca="1">_xlfn.STDEV.S(P203:S205,P159:T161,P114:U116,O70:V72)</f>
        <v>1.1622995626761317</v>
      </c>
      <c r="AK211" s="21" t="s">
        <v>378</v>
      </c>
      <c r="AL211" s="1">
        <v>42718</v>
      </c>
      <c r="AM211" s="23" cm="1">
        <f t="array" aca="1" ref="AM211" ca="1">INDIRECT("'"&amp;$B33&amp;"'!"&amp;(D$5&amp;$P$36))</f>
        <v>1844303.1630780001</v>
      </c>
      <c r="AN211" s="23" cm="1">
        <f t="array" aca="1" ref="AN211" ca="1">INDIRECT("'"&amp;$B33&amp;"'!"&amp;(E$5&amp;$P$36))</f>
        <v>5595520.1828079997</v>
      </c>
      <c r="AO211" s="23" cm="1">
        <f t="array" aca="1" ref="AO211" ca="1">INDIRECT("'"&amp;$B33&amp;"'!"&amp;(F$5&amp;$P$36))</f>
        <v>314.53178400000002</v>
      </c>
      <c r="AP211" s="7">
        <f t="shared" ca="1" si="267"/>
        <v>2.3764063772689498E-2</v>
      </c>
      <c r="AQ211" s="7" cm="1">
        <f t="array" aca="1" ref="AQ211" ca="1">INDIRECT("'"&amp;AK211&amp;"'!"&amp;$H$5&amp;$P$36)+0.01</f>
        <v>2.9884000000000001E-2</v>
      </c>
      <c r="AR211" s="23">
        <f t="shared" ca="1" si="268"/>
        <v>2.4691000000018448E-2</v>
      </c>
      <c r="AS211" s="7">
        <f t="shared" ca="1" si="269"/>
        <v>3.4269172852483092E-2</v>
      </c>
      <c r="AT211" s="7">
        <f t="shared" ca="1" si="278"/>
        <v>2.0429699200518764E-2</v>
      </c>
      <c r="AU211" s="23">
        <f t="shared" ca="1" si="270"/>
        <v>0.28471825150926644</v>
      </c>
      <c r="AV211" s="23">
        <f t="shared" ca="1" si="271"/>
        <v>5.5238250000002154E-2</v>
      </c>
      <c r="BK211" s="21" t="s">
        <v>377</v>
      </c>
      <c r="BL211" s="1">
        <v>42814</v>
      </c>
      <c r="BM211" s="34" cm="1">
        <f t="array" aca="1" ref="BM211" ca="1">INDIRECT("'"&amp;$B32&amp;"'!"&amp;(D$5&amp;$P$34))</f>
        <v>1844363.5625390001</v>
      </c>
      <c r="BN211" s="34" cm="1">
        <f t="array" aca="1" ref="BN211" ca="1">INDIRECT("'"&amp;$B32&amp;"'!"&amp;(E$5&amp;$P$34))</f>
        <v>5595621.2878390001</v>
      </c>
      <c r="BO211" s="34" cm="1">
        <f t="array" aca="1" ref="BO211" ca="1">INDIRECT("'"&amp;$B32&amp;"'!"&amp;(F$5&amp;$P$34))</f>
        <v>327.02119299999998</v>
      </c>
      <c r="BP211" s="7">
        <f t="shared" ca="1" si="273"/>
        <v>0.84918335968792058</v>
      </c>
      <c r="BQ211" s="7" cm="1">
        <f t="array" aca="1" ref="BQ211" ca="1">INDIRECT("'"&amp;BK211&amp;"'!"&amp;$H$5&amp;$P$33)+0.01</f>
        <v>3.0376E-2</v>
      </c>
      <c r="BR211" s="23">
        <f t="shared" ca="1" si="274"/>
        <v>0.12445600000000923</v>
      </c>
      <c r="BS211" s="7">
        <f t="shared" ca="1" si="275"/>
        <v>0.85825501705895468</v>
      </c>
      <c r="BT211" s="7">
        <f t="shared" ca="1" si="272"/>
        <v>0.27714484925862076</v>
      </c>
      <c r="BU211" s="23">
        <f t="shared" ca="1" si="276"/>
        <v>9.8741431786599634</v>
      </c>
      <c r="BV211" s="23">
        <f t="shared" ca="1" si="277"/>
        <v>6.4724999998588828E-4</v>
      </c>
    </row>
    <row r="212" spans="5:74" x14ac:dyDescent="0.3">
      <c r="E212" s="23">
        <f t="shared" ca="1" si="260"/>
        <v>3.0205999999999997E-2</v>
      </c>
      <c r="F212" s="23">
        <f t="shared" ca="1" si="261"/>
        <v>2.7968E-2</v>
      </c>
      <c r="G212" s="23">
        <f t="shared" ca="1" si="262"/>
        <v>2.4746000000000001E-2</v>
      </c>
      <c r="H212" s="23">
        <f t="shared" ca="1" si="263"/>
        <v>3.8824999999999998E-2</v>
      </c>
      <c r="O212" s="23">
        <f ca="1">MIN(P203:S205,P159:T161,P114:U116,O70:V72)</f>
        <v>0.65719073073505407</v>
      </c>
      <c r="AK212" s="21" t="s">
        <v>379</v>
      </c>
      <c r="AL212" s="1">
        <v>42666</v>
      </c>
      <c r="AM212" s="23" cm="1">
        <f t="array" aca="1" ref="AM212" ca="1">INDIRECT("'"&amp;$B34&amp;"'!"&amp;(D$5&amp;$P$36))</f>
        <v>1844303.1843999999</v>
      </c>
      <c r="AN212" s="23" cm="1">
        <f t="array" aca="1" ref="AN212" ca="1">INDIRECT("'"&amp;$B34&amp;"'!"&amp;(E$5&amp;$P$36))</f>
        <v>5595520.1933009997</v>
      </c>
      <c r="AO212" s="23" cm="1">
        <f t="array" aca="1" ref="AO212" ca="1">INDIRECT("'"&amp;$B34&amp;"'!"&amp;(F$5&amp;$P$36))</f>
        <v>314.507093</v>
      </c>
      <c r="AP212" s="7">
        <f t="shared" ca="1" si="267"/>
        <v>2.7603209105498214E-2</v>
      </c>
      <c r="AQ212" s="7" cm="1">
        <f t="array" aca="1" ref="AQ212" ca="1">INDIRECT("'"&amp;AK212&amp;"'!"&amp;$H$5&amp;$P$36)+0.01</f>
        <v>4.3029000000000005E-2</v>
      </c>
      <c r="AR212" s="23">
        <f t="shared" ca="1" si="268"/>
        <v>4.4899999999756801E-3</v>
      </c>
      <c r="AS212" s="7">
        <f t="shared" ca="1" si="269"/>
        <v>2.796600173284771E-2</v>
      </c>
      <c r="AT212" s="7">
        <f t="shared" ca="1" si="278"/>
        <v>8.336019747291144E-3</v>
      </c>
      <c r="AU212" s="23">
        <f t="shared" ca="1" si="270"/>
        <v>0.25044907865678334</v>
      </c>
      <c r="AV212" s="23">
        <f t="shared" ca="1" si="271"/>
        <v>3.0547249999983705E-2</v>
      </c>
      <c r="BK212" s="21" t="s">
        <v>378</v>
      </c>
      <c r="BL212" s="1">
        <v>42718</v>
      </c>
      <c r="BM212" s="34" cm="1">
        <f t="array" aca="1" ref="BM212" ca="1">INDIRECT("'"&amp;$B33&amp;"'!"&amp;(D$5&amp;$P$34))</f>
        <v>1844363.4426170001</v>
      </c>
      <c r="BN212" s="34" cm="1">
        <f t="array" aca="1" ref="BN212" ca="1">INDIRECT("'"&amp;$B33&amp;"'!"&amp;(E$5&amp;$P$34))</f>
        <v>5595622.1285119997</v>
      </c>
      <c r="BO212" s="34" cm="1">
        <f t="array" aca="1" ref="BO212" ca="1">INDIRECT("'"&amp;$B33&amp;"'!"&amp;(F$5&amp;$P$34))</f>
        <v>326.89673699999997</v>
      </c>
      <c r="BP212" s="7">
        <f t="shared" ca="1" si="273"/>
        <v>0.94656023139127154</v>
      </c>
      <c r="BQ212" s="7" cm="1">
        <f t="array" aca="1" ref="BQ212" ca="1">INDIRECT("'"&amp;BK212&amp;"'!"&amp;$H$5&amp;$P$33)+0.01</f>
        <v>2.5204999999999998E-2</v>
      </c>
      <c r="BR212" s="23">
        <f t="shared" ca="1" si="274"/>
        <v>-0.13146800000004077</v>
      </c>
      <c r="BS212" s="7">
        <f ca="1">SQRT((BP212^2)+(BR212^2))</f>
        <v>0.95564643392601445</v>
      </c>
      <c r="BT212" s="7">
        <f t="shared" ca="1" si="272"/>
        <v>0.56971229714820093</v>
      </c>
      <c r="BU212" s="23">
        <f t="shared" ca="1" si="276"/>
        <v>9.0158881616010085</v>
      </c>
      <c r="BV212" s="23">
        <f t="shared" ca="1" si="277"/>
        <v>-0.12380875000002334</v>
      </c>
    </row>
    <row r="213" spans="5:74" x14ac:dyDescent="0.3">
      <c r="E213" s="23">
        <f t="shared" ca="1" si="260"/>
        <v>1.9E-2</v>
      </c>
      <c r="F213" s="23">
        <f t="shared" ca="1" si="261"/>
        <v>5.5E-2</v>
      </c>
      <c r="G213" s="23">
        <f t="shared" ca="1" si="262"/>
        <v>3.1E-2</v>
      </c>
      <c r="H213" s="23">
        <f t="shared" ca="1" si="263"/>
        <v>3.5000000000000003E-2</v>
      </c>
      <c r="O213" s="23">
        <f ca="1">MAX(P203:S205,P159:T161,P114:U116,O70:V72)</f>
        <v>5.9502908240627068</v>
      </c>
      <c r="AK213" s="21" t="s">
        <v>380</v>
      </c>
      <c r="AL213" s="1">
        <v>42562</v>
      </c>
      <c r="AM213" s="23" cm="1">
        <f t="array" aca="1" ref="AM213" ca="1">INDIRECT("'"&amp;$B35&amp;"'!"&amp;(D$5&amp;$P$36))</f>
        <v>1844303.201345</v>
      </c>
      <c r="AN213" s="23" cm="1">
        <f t="array" aca="1" ref="AN213" ca="1">INDIRECT("'"&amp;$B35&amp;"'!"&amp;(E$5&amp;$P$36))</f>
        <v>5595520.2150910003</v>
      </c>
      <c r="AO213" s="23" cm="1">
        <f t="array" aca="1" ref="AO213" ca="1">INDIRECT("'"&amp;$B35&amp;"'!"&amp;(F$5&amp;$P$36))</f>
        <v>314.50260300000002</v>
      </c>
      <c r="AP213" s="7">
        <f t="shared" ca="1" si="267"/>
        <v>3.731759759912572E-3</v>
      </c>
      <c r="AQ213" s="7" cm="1">
        <f t="array" aca="1" ref="AQ213" ca="1">INDIRECT("'"&amp;AK213&amp;"'!"&amp;$H$5&amp;$P$36)+0.01</f>
        <v>3.7111999999999999E-2</v>
      </c>
      <c r="AR213" s="23">
        <f t="shared" ca="1" si="268"/>
        <v>-2.3487500000101136E-3</v>
      </c>
      <c r="AS213" s="7">
        <f t="shared" ca="1" si="269"/>
        <v>4.4093828897307438E-3</v>
      </c>
      <c r="AT213" s="7">
        <f t="shared" ca="1" si="278"/>
        <v>1.1783695653590782E-3</v>
      </c>
      <c r="AU213" s="23">
        <f t="shared" ca="1" si="270"/>
        <v>0.22248307692393565</v>
      </c>
      <c r="AV213" s="23">
        <f t="shared" ca="1" si="271"/>
        <v>2.6057250000008025E-2</v>
      </c>
      <c r="BK213" s="21" t="s">
        <v>379</v>
      </c>
      <c r="BL213" s="1">
        <v>42666</v>
      </c>
      <c r="BM213" s="34" cm="1">
        <f t="array" aca="1" ref="BM213" ca="1">INDIRECT("'"&amp;$B34&amp;"'!"&amp;(D$5&amp;$P$34))</f>
        <v>1844363.3221489999</v>
      </c>
      <c r="BN213" s="34" cm="1">
        <f t="array" aca="1" ref="BN213" ca="1">INDIRECT("'"&amp;$B34&amp;"'!"&amp;(E$5&amp;$P$34))</f>
        <v>5595623.0673749996</v>
      </c>
      <c r="BO213" s="34" cm="1">
        <f t="array" aca="1" ref="BO213" ca="1">INDIRECT("'"&amp;$B34&amp;"'!"&amp;(F$5&amp;$P$34))</f>
        <v>327.02820500000001</v>
      </c>
      <c r="BP213" s="7">
        <f ca="1">SQRT(((BM213-BM215)^2)+((BN213-BN215)^2))</f>
        <v>3.6249836266309643</v>
      </c>
      <c r="BQ213" s="7" cm="1">
        <f t="array" aca="1" ref="BQ213" ca="1">INDIRECT("'"&amp;BK213&amp;"'!"&amp;$H$5&amp;$P$33)+0.01</f>
        <v>2.7319000000000003E-2</v>
      </c>
      <c r="BR213" s="23">
        <f ca="1">BO213-BO215</f>
        <v>1.7109249999975873E-2</v>
      </c>
      <c r="BS213" s="7">
        <f ca="1">SQRT((BP213^2)+(BR213^2))</f>
        <v>3.6250240026485536</v>
      </c>
      <c r="BT213" s="7">
        <f ca="1">(BS213/(BL213-BL215))*31</f>
        <v>0.51079883673684157</v>
      </c>
      <c r="BU213" s="23">
        <f ca="1">BU215+BS213</f>
        <v>8.0602417276749936</v>
      </c>
      <c r="BV213" s="23">
        <f ca="1">BV215+BR213</f>
        <v>7.6592500000174368E-3</v>
      </c>
    </row>
    <row r="214" spans="5:74" x14ac:dyDescent="0.3">
      <c r="E214" s="23">
        <f t="shared" ca="1" si="260"/>
        <v>1.8000000000000002E-2</v>
      </c>
      <c r="F214" s="23">
        <f t="shared" ca="1" si="261"/>
        <v>2.0999999999999998E-2</v>
      </c>
      <c r="G214" s="23">
        <f t="shared" ca="1" si="262"/>
        <v>1.6E-2</v>
      </c>
      <c r="H214" s="23">
        <f t="shared" si="263"/>
        <v>0</v>
      </c>
      <c r="AK214" s="21" t="s">
        <v>381</v>
      </c>
      <c r="AL214" s="1">
        <v>42446</v>
      </c>
      <c r="AM214" s="23" cm="1">
        <f t="array" aca="1" ref="AM214" ca="1">INDIRECT("'"&amp;$B36&amp;"'!"&amp;(D$5&amp;$P$36))</f>
        <v>1844303.2013010001</v>
      </c>
      <c r="AN214" s="23" cm="1">
        <f t="array" aca="1" ref="AN214" ca="1">INDIRECT("'"&amp;$B36&amp;"'!"&amp;(E$5&amp;$P$36))</f>
        <v>5595520.2188225007</v>
      </c>
      <c r="AO214" s="23" cm="1">
        <f t="array" aca="1" ref="AO214" ca="1">INDIRECT("'"&amp;$B36&amp;"'!"&amp;(F$5&amp;$P$36))</f>
        <v>314.50495175000003</v>
      </c>
      <c r="AP214" s="7">
        <f t="shared" ca="1" si="267"/>
        <v>5.362367308522159E-2</v>
      </c>
      <c r="AQ214" s="7" cm="1">
        <f t="array" aca="1" ref="AQ214" ca="1">INDIRECT("'"&amp;AK214&amp;"'!"&amp;$H$5&amp;$P$36)+0.01</f>
        <v>3.9140000000000001E-2</v>
      </c>
      <c r="AR214" s="23">
        <f t="shared" ca="1" si="268"/>
        <v>0.11337950000000774</v>
      </c>
      <c r="AS214" s="7">
        <f t="shared" ca="1" si="269"/>
        <v>0.12542092861800408</v>
      </c>
      <c r="AT214" s="7">
        <f t="shared" ca="1" si="278"/>
        <v>3.8495532546120058E-2</v>
      </c>
      <c r="AU214" s="23">
        <f t="shared" ca="1" si="270"/>
        <v>0.2180736940342049</v>
      </c>
      <c r="AV214" s="23">
        <f t="shared" ca="1" si="271"/>
        <v>2.8406000000018139E-2</v>
      </c>
      <c r="BK214" s="21" t="s">
        <v>380</v>
      </c>
      <c r="BL214" s="1"/>
      <c r="BM214" s="34"/>
      <c r="BN214" s="34"/>
      <c r="BO214" s="34"/>
      <c r="BP214" s="7"/>
      <c r="BR214" s="23"/>
      <c r="BS214" s="7"/>
      <c r="BT214" s="7"/>
      <c r="BU214" s="23"/>
      <c r="BV214" s="23"/>
    </row>
    <row r="215" spans="5:74" x14ac:dyDescent="0.3">
      <c r="E215" s="23">
        <f t="shared" si="260"/>
        <v>0</v>
      </c>
      <c r="F215" s="23">
        <f t="shared" si="261"/>
        <v>0</v>
      </c>
      <c r="G215" s="23">
        <f t="shared" si="262"/>
        <v>0</v>
      </c>
      <c r="H215" s="23">
        <f t="shared" si="263"/>
        <v>0</v>
      </c>
      <c r="O215" s="23"/>
      <c r="AK215" s="21" t="s">
        <v>382</v>
      </c>
      <c r="AL215" s="1">
        <v>42345</v>
      </c>
      <c r="AM215" s="23" cm="1">
        <f t="array" aca="1" ref="AM215" ca="1">INDIRECT("'"&amp;$B37&amp;"'!"&amp;(D$5&amp;$P$36))</f>
        <v>1844303.2516960001</v>
      </c>
      <c r="AN215" s="23" cm="1">
        <f t="array" aca="1" ref="AN215" ca="1">INDIRECT("'"&amp;$B37&amp;"'!"&amp;(E$5&amp;$P$36))</f>
        <v>5595520.2004965004</v>
      </c>
      <c r="AO215" s="23" cm="1">
        <f t="array" aca="1" ref="AO215" ca="1">INDIRECT("'"&amp;$B37&amp;"'!"&amp;(F$5&amp;$P$36))</f>
        <v>314.39157225000002</v>
      </c>
      <c r="AP215" s="7">
        <f t="shared" ca="1" si="267"/>
        <v>3.6932901822376581E-2</v>
      </c>
      <c r="AQ215" s="7" cm="1">
        <f t="array" aca="1" ref="AQ215" ca="1">INDIRECT("'"&amp;AK215&amp;"'!"&amp;$H$5&amp;$P$36)+0.01</f>
        <v>1.8000000000000002E-2</v>
      </c>
      <c r="AR215" s="23">
        <f t="shared" ca="1" si="268"/>
        <v>-8.4973499999989599E-2</v>
      </c>
      <c r="AS215" s="7">
        <f t="shared" ca="1" si="269"/>
        <v>9.2652765416200822E-2</v>
      </c>
      <c r="AT215" s="7">
        <f t="shared" ca="1" si="278"/>
        <v>4.2238760704444496E-2</v>
      </c>
      <c r="AU215" s="23">
        <f t="shared" ca="1" si="270"/>
        <v>9.2652765416200822E-2</v>
      </c>
      <c r="AV215" s="23">
        <f t="shared" ca="1" si="271"/>
        <v>-8.4973499999989599E-2</v>
      </c>
      <c r="BK215" s="21" t="s">
        <v>381</v>
      </c>
      <c r="BL215" s="1">
        <v>42446</v>
      </c>
      <c r="BM215" s="34" cm="1">
        <f t="array" aca="1" ref="BM215" ca="1">INDIRECT("'"&amp;$B36&amp;"'!"&amp;(D$5&amp;$P$34))</f>
        <v>1844362.8509050002</v>
      </c>
      <c r="BN215" s="34" cm="1">
        <f t="array" aca="1" ref="BN215" ca="1">INDIRECT("'"&amp;$B36&amp;"'!"&amp;(E$5&amp;$P$34))</f>
        <v>5595626.6615975006</v>
      </c>
      <c r="BO215" s="34" cm="1">
        <f t="array" aca="1" ref="BO215" ca="1">INDIRECT("'"&amp;$B36&amp;"'!"&amp;(F$5&amp;$P$34))</f>
        <v>327.01109575000004</v>
      </c>
      <c r="BP215" s="7">
        <f t="shared" ref="BP215" ca="1" si="279">SQRT(((BM215-BM216)^2)+((BN215-BN216)^2))</f>
        <v>1.0330043501518056</v>
      </c>
      <c r="BQ215" s="7" cm="1">
        <f t="array" aca="1" ref="BQ215" ca="1">INDIRECT("'"&amp;BK215&amp;"'!"&amp;$H$5&amp;$P$33)+0.01</f>
        <v>2.4746000000000001E-2</v>
      </c>
      <c r="BR215" s="23">
        <f t="shared" ref="BR215" ca="1" si="280">BO215-BO216</f>
        <v>3.8523499999996602E-2</v>
      </c>
      <c r="BS215" s="7">
        <f t="shared" ref="BS215" ca="1" si="281">SQRT((BP215^2)+(BR215^2))</f>
        <v>1.0337224228412596</v>
      </c>
      <c r="BT215" s="7">
        <f ca="1">(BS215/(BL215-BL216))*31</f>
        <v>0.31728113968395094</v>
      </c>
      <c r="BU215" s="23">
        <f t="shared" ref="BU215" ca="1" si="282">BU216+BS215</f>
        <v>4.4352177250264404</v>
      </c>
      <c r="BV215" s="23">
        <f t="shared" ref="BV215" ca="1" si="283">BV216+BR215</f>
        <v>-9.4499999999584361E-3</v>
      </c>
    </row>
    <row r="216" spans="5:74" x14ac:dyDescent="0.3">
      <c r="E216" s="23">
        <f ca="1">E203</f>
        <v>2.0539000000000002E-2</v>
      </c>
      <c r="F216" s="23">
        <f t="shared" ref="F216:H216" si="284">F203</f>
        <v>0</v>
      </c>
      <c r="G216" s="23">
        <f t="shared" ca="1" si="284"/>
        <v>1.9868E-2</v>
      </c>
      <c r="H216" s="23">
        <f t="shared" ca="1" si="284"/>
        <v>2.6509999999999999E-2</v>
      </c>
      <c r="AK216" s="21" t="s">
        <v>383</v>
      </c>
      <c r="AL216" s="1">
        <v>42277</v>
      </c>
      <c r="AM216" s="23" cm="1">
        <f t="array" aca="1" ref="AM216" ca="1">INDIRECT("'"&amp;$B38&amp;"'!"&amp;(D$5&amp;$P$36))</f>
        <v>1844303.2148300002</v>
      </c>
      <c r="AN216" s="23" cm="1">
        <f t="array" aca="1" ref="AN216" ca="1">INDIRECT("'"&amp;$B38&amp;"'!"&amp;(E$5&amp;$P$36))</f>
        <v>5595520.1982744997</v>
      </c>
      <c r="AO216" s="23" cm="1">
        <f t="array" aca="1" ref="AO216" ca="1">INDIRECT("'"&amp;$B38&amp;"'!"&amp;(F$5&amp;$P$36))</f>
        <v>314.47654575000001</v>
      </c>
      <c r="AP216" s="7"/>
      <c r="AQ216" s="7"/>
      <c r="AR216" s="23"/>
      <c r="AS216" s="7"/>
      <c r="AT216" s="7"/>
      <c r="AU216" s="23">
        <f t="shared" si="270"/>
        <v>0</v>
      </c>
      <c r="AV216" s="23">
        <f t="shared" si="271"/>
        <v>0</v>
      </c>
      <c r="BK216" s="21" t="s">
        <v>382</v>
      </c>
      <c r="BL216" s="1">
        <v>42345</v>
      </c>
      <c r="BM216" s="34" cm="1">
        <f t="array" aca="1" ref="BM216" ca="1">INDIRECT("'"&amp;$B37&amp;"'!"&amp;(D$5&amp;$P$34))</f>
        <v>1844362.6636960001</v>
      </c>
      <c r="BN216" s="34" cm="1">
        <f t="array" aca="1" ref="BN216" ca="1">INDIRECT("'"&amp;$B37&amp;"'!"&amp;(E$5&amp;$P$34))</f>
        <v>5595627.6774965003</v>
      </c>
      <c r="BO216" s="34" cm="1">
        <f t="array" aca="1" ref="BO216" ca="1">INDIRECT("'"&amp;$B37&amp;"'!"&amp;(F$5&amp;$P$34))</f>
        <v>326.97257225000004</v>
      </c>
      <c r="BP216" s="7">
        <f t="shared" ref="BP216:BP217" ca="1" si="285">SQRT(((BM216-BM217)^2)+((BN216-BN217)^2))</f>
        <v>1.3337303572117971</v>
      </c>
      <c r="BQ216" s="7" cm="1">
        <f t="array" aca="1" ref="BQ216" ca="1">INDIRECT("'"&amp;BK216&amp;"'!"&amp;$H$5&amp;$P$33)+0.01</f>
        <v>3.1E-2</v>
      </c>
      <c r="BR216" s="23">
        <f t="shared" ref="BR216:BR217" ca="1" si="286">BO216-BO217</f>
        <v>4.7026500000015403E-2</v>
      </c>
      <c r="BS216" s="7">
        <f t="shared" ref="BS216:BS217" ca="1" si="287">SQRT((BP216^2)+(BR216^2))</f>
        <v>1.3345591622144592</v>
      </c>
      <c r="BT216" s="7">
        <f ca="1">(BS216/(BL216-BL217))*31</f>
        <v>0.60840197100953297</v>
      </c>
      <c r="BU216" s="23">
        <f t="shared" ref="BU216:BU217" ca="1" si="288">BU217+BS216</f>
        <v>3.4014953021851806</v>
      </c>
      <c r="BV216" s="23">
        <f t="shared" ref="BV216:BV217" ca="1" si="289">BV217+BR216</f>
        <v>-4.7973499999955038E-2</v>
      </c>
    </row>
    <row r="217" spans="5:74" x14ac:dyDescent="0.3">
      <c r="E217" s="23">
        <f t="shared" ref="E217:H228" ca="1" si="290">E204</f>
        <v>2.6354000000000002E-2</v>
      </c>
      <c r="F217" s="23">
        <f t="shared" si="290"/>
        <v>0</v>
      </c>
      <c r="G217" s="23">
        <f t="shared" ca="1" si="290"/>
        <v>2.9900000000000003E-2</v>
      </c>
      <c r="H217" s="23">
        <f t="shared" ca="1" si="290"/>
        <v>3.0267000000000002E-2</v>
      </c>
      <c r="AK217" s="21" t="s">
        <v>384</v>
      </c>
      <c r="AL217" s="1"/>
      <c r="AM217" s="23"/>
      <c r="AN217" s="23"/>
      <c r="AO217" s="23"/>
      <c r="AP217" s="7"/>
      <c r="AQ217" s="7"/>
      <c r="AR217" s="21"/>
      <c r="AS217" s="21"/>
      <c r="AT217" s="21"/>
      <c r="AU217" s="21"/>
      <c r="AV217" s="21"/>
      <c r="BK217" s="21" t="s">
        <v>383</v>
      </c>
      <c r="BL217" s="1">
        <v>42277</v>
      </c>
      <c r="BM217" s="34" cm="1">
        <f t="array" aca="1" ref="BM217" ca="1">INDIRECT("'"&amp;$B38&amp;"'!"&amp;(D$5&amp;$P$34))</f>
        <v>1844362.5378300003</v>
      </c>
      <c r="BN217" s="34" cm="1">
        <f t="array" aca="1" ref="BN217" ca="1">INDIRECT("'"&amp;$B38&amp;"'!"&amp;(E$5&amp;$P$34))</f>
        <v>5595629.0052744998</v>
      </c>
      <c r="BO217" s="34" cm="1">
        <f t="array" aca="1" ref="BO217" ca="1">INDIRECT("'"&amp;$B38&amp;"'!"&amp;(F$5&amp;$P$34))</f>
        <v>326.92554575000003</v>
      </c>
      <c r="BP217" s="7">
        <f t="shared" ca="1" si="285"/>
        <v>2.0647518026913239</v>
      </c>
      <c r="BQ217" s="7" cm="1">
        <f t="array" aca="1" ref="BQ217" ca="1">INDIRECT("'"&amp;BK217&amp;"'!"&amp;$H$5&amp;$P$33)+0.01</f>
        <v>1.6E-2</v>
      </c>
      <c r="BR217" s="23">
        <f t="shared" ca="1" si="286"/>
        <v>-9.4999999999970441E-2</v>
      </c>
      <c r="BS217" s="7">
        <f t="shared" ca="1" si="287"/>
        <v>2.0669361399707213</v>
      </c>
      <c r="BT217" s="7">
        <f ca="1">(BS217/(BL217-BL218))*31</f>
        <v>0.71994404875384677</v>
      </c>
      <c r="BU217" s="23">
        <f t="shared" ca="1" si="288"/>
        <v>2.0669361399707213</v>
      </c>
      <c r="BV217" s="23">
        <f t="shared" ca="1" si="289"/>
        <v>-9.4999999999970441E-2</v>
      </c>
    </row>
    <row r="218" spans="5:74" x14ac:dyDescent="0.3">
      <c r="E218" s="23">
        <f t="shared" ca="1" si="290"/>
        <v>2.9095000000000003E-2</v>
      </c>
      <c r="F218" s="23">
        <f t="shared" ca="1" si="290"/>
        <v>2.7227000000000001E-2</v>
      </c>
      <c r="G218" s="23">
        <f t="shared" ca="1" si="290"/>
        <v>4.1008999999999997E-2</v>
      </c>
      <c r="H218" s="23">
        <f t="shared" ca="1" si="290"/>
        <v>3.4554000000000001E-2</v>
      </c>
      <c r="P218" s="23">
        <f ca="1">AVERAGE(P203:S206)</f>
        <v>2.4719619039655751</v>
      </c>
      <c r="AL218" s="1"/>
      <c r="BK218" s="21" t="s">
        <v>384</v>
      </c>
      <c r="BL218" s="1">
        <v>42188</v>
      </c>
      <c r="BM218" s="34" cm="1">
        <f t="array" aca="1" ref="BM218" ca="1">INDIRECT("'"&amp;$B39&amp;"'!"&amp;(D$5&amp;$P$34))</f>
        <v>1844362.2458300001</v>
      </c>
      <c r="BN218" s="34" cm="1">
        <f t="array" aca="1" ref="BN218" ca="1">INDIRECT("'"&amp;$B39&amp;"'!"&amp;(E$5&amp;$P$34))</f>
        <v>5595631.0492745014</v>
      </c>
      <c r="BO218" s="34" cm="1">
        <f t="array" aca="1" ref="BO218" ca="1">INDIRECT("'"&amp;$B39&amp;"'!"&amp;(F$5&amp;$P$34))</f>
        <v>327.02054575</v>
      </c>
      <c r="BP218" s="7"/>
      <c r="BR218" s="21"/>
      <c r="BS218" s="21"/>
      <c r="BT218" s="21"/>
      <c r="BU218" s="21">
        <v>0</v>
      </c>
      <c r="BV218" s="21">
        <v>0</v>
      </c>
    </row>
    <row r="219" spans="5:74" x14ac:dyDescent="0.3">
      <c r="E219" s="23">
        <f t="shared" ca="1" si="290"/>
        <v>3.8690000000000002E-2</v>
      </c>
      <c r="F219" s="23">
        <f t="shared" ca="1" si="290"/>
        <v>3.0688E-2</v>
      </c>
      <c r="G219" s="23">
        <f t="shared" ca="1" si="290"/>
        <v>2.1760000000000002E-2</v>
      </c>
      <c r="H219" s="23">
        <f t="shared" ca="1" si="290"/>
        <v>4.3532000000000001E-2</v>
      </c>
      <c r="AL219" s="9"/>
    </row>
    <row r="220" spans="5:74" x14ac:dyDescent="0.3">
      <c r="E220" s="23">
        <f t="shared" ca="1" si="290"/>
        <v>3.2587999999999999E-2</v>
      </c>
      <c r="F220" s="23">
        <f t="shared" ca="1" si="290"/>
        <v>3.0381999999999999E-2</v>
      </c>
      <c r="G220" s="23">
        <f t="shared" ca="1" si="290"/>
        <v>3.8001E-2</v>
      </c>
      <c r="H220" s="23">
        <f t="shared" ca="1" si="290"/>
        <v>5.1546000000000002E-2</v>
      </c>
      <c r="AK220" s="51" t="s">
        <v>599</v>
      </c>
      <c r="AL220" s="30"/>
      <c r="AM220" s="5" t="s">
        <v>541</v>
      </c>
      <c r="AN220" s="5" t="s">
        <v>542</v>
      </c>
      <c r="AO220" s="5" t="s">
        <v>543</v>
      </c>
      <c r="AP220" s="21" t="s">
        <v>427</v>
      </c>
      <c r="AQ220" s="21" t="s">
        <v>525</v>
      </c>
      <c r="AR220" s="21" t="s">
        <v>428</v>
      </c>
      <c r="AS220" s="21" t="s">
        <v>429</v>
      </c>
      <c r="AT220" s="21" t="s">
        <v>606</v>
      </c>
      <c r="AU220" s="21" t="s">
        <v>430</v>
      </c>
      <c r="AV220" s="33" t="s">
        <v>582</v>
      </c>
    </row>
    <row r="221" spans="5:74" x14ac:dyDescent="0.3">
      <c r="E221" s="23">
        <f t="shared" ca="1" si="290"/>
        <v>5.4443000000000005E-2</v>
      </c>
      <c r="F221" s="23">
        <f t="shared" ca="1" si="290"/>
        <v>3.9334000000000001E-2</v>
      </c>
      <c r="G221" s="23">
        <f t="shared" ca="1" si="290"/>
        <v>3.0376E-2</v>
      </c>
      <c r="H221" s="23">
        <f t="shared" ca="1" si="290"/>
        <v>4.0388E-2</v>
      </c>
      <c r="AK221" s="3" t="s">
        <v>526</v>
      </c>
      <c r="AL221" s="1"/>
      <c r="AM221" s="23"/>
      <c r="AN221" s="23"/>
      <c r="AO221" s="23"/>
      <c r="AP221" s="21"/>
      <c r="AQ221" s="21"/>
      <c r="AR221" s="23"/>
      <c r="AS221" s="7"/>
      <c r="AT221" s="7"/>
      <c r="AU221" s="23"/>
      <c r="AV221" s="23"/>
      <c r="BK221" s="21" t="s">
        <v>597</v>
      </c>
      <c r="BL221" s="1"/>
      <c r="BM221" s="21" t="s">
        <v>541</v>
      </c>
      <c r="BN221" s="21" t="s">
        <v>542</v>
      </c>
      <c r="BO221" s="21" t="s">
        <v>543</v>
      </c>
      <c r="BP221" s="7" t="s">
        <v>427</v>
      </c>
      <c r="BQ221" s="7" t="s">
        <v>525</v>
      </c>
      <c r="BR221" s="21" t="s">
        <v>428</v>
      </c>
      <c r="BS221" s="21" t="s">
        <v>429</v>
      </c>
      <c r="BT221" s="21" t="s">
        <v>606</v>
      </c>
      <c r="BU221" s="21" t="s">
        <v>430</v>
      </c>
      <c r="BV221" s="33" t="s">
        <v>582</v>
      </c>
    </row>
    <row r="222" spans="5:74" x14ac:dyDescent="0.3">
      <c r="E222" s="23">
        <f t="shared" ca="1" si="290"/>
        <v>2.9166999999999998E-2</v>
      </c>
      <c r="F222" s="23">
        <f t="shared" ca="1" si="290"/>
        <v>2.7864E-2</v>
      </c>
      <c r="G222" s="23">
        <f t="shared" ca="1" si="290"/>
        <v>2.5204999999999998E-2</v>
      </c>
      <c r="H222" s="23">
        <f t="shared" ca="1" si="290"/>
        <v>3.9657999999999999E-2</v>
      </c>
      <c r="AK222" s="3" t="s">
        <v>373</v>
      </c>
      <c r="AL222" s="1">
        <v>43382</v>
      </c>
      <c r="AM222" s="23" cm="1">
        <f t="array" aca="1" ref="AM222" ca="1">INDIRECT("'"&amp;$B28&amp;"'!"&amp;(D$5&amp;$P$37))</f>
        <v>1844185.14001</v>
      </c>
      <c r="AN222" s="23" cm="1">
        <f t="array" aca="1" ref="AN222" ca="1">INDIRECT("'"&amp;$B28&amp;"'!"&amp;(E$5&amp;$P$37))</f>
        <v>5595587.5742960004</v>
      </c>
      <c r="AO222" s="23" cm="1">
        <f t="array" aca="1" ref="AO222" ca="1">INDIRECT("'"&amp;$B28&amp;"'!"&amp;(F$5&amp;$P$37))</f>
        <v>355.90871600000003</v>
      </c>
      <c r="AP222" s="7">
        <f ca="1">SQRT(((AM222-AM223)^2)+((AN222-AN223)^2))</f>
        <v>1.9137919054741333E-2</v>
      </c>
      <c r="AQ222" s="7" cm="1">
        <f t="array" aca="1" ref="AQ222" ca="1">INDIRECT("'"&amp;AK222&amp;"'!"&amp;$H$5&amp;$P$36)+0.01</f>
        <v>2.6064999999999998E-2</v>
      </c>
      <c r="AR222" s="23">
        <f ca="1">AO222-AO223</f>
        <v>-1.9689999999741303E-3</v>
      </c>
      <c r="AS222" s="7">
        <f t="shared" ref="AS222" ca="1" si="291">SQRT((AP222^2)+(AR222^2))</f>
        <v>1.9238942453932584E-2</v>
      </c>
      <c r="AT222" s="7">
        <f t="shared" ref="AT222:AT232" ca="1" si="292">(AS222/(AL222-AL223))*31</f>
        <v>3.0428939595505619E-3</v>
      </c>
      <c r="AU222" s="23">
        <f t="shared" ref="AU222:AU224" ca="1" si="293">AU223+AS222</f>
        <v>0.43103625824866737</v>
      </c>
      <c r="AV222" s="23">
        <f t="shared" ref="AV222:AV231" ca="1" si="294">AV223+AR222</f>
        <v>-1.0829749999970772E-2</v>
      </c>
      <c r="BK222" s="21" t="s">
        <v>526</v>
      </c>
      <c r="BL222" s="1">
        <v>43817</v>
      </c>
      <c r="BM222" s="34" cm="1">
        <f t="array" aca="1" ref="BM222" ca="1">INDIRECT("'"&amp;$B27&amp;"'!"&amp;(D$5&amp;$P$35))</f>
        <v>1844349.2292810001</v>
      </c>
      <c r="BN222" s="34" cm="1">
        <f t="array" aca="1" ref="BN222" ca="1">INDIRECT("'"&amp;$B27&amp;"'!"&amp;(E$5&amp;$P$35))</f>
        <v>5595514.8842219999</v>
      </c>
      <c r="BO222" s="34" cm="1">
        <f t="array" aca="1" ref="BO222" ca="1">INDIRECT("'"&amp;$B27&amp;"'!"&amp;(F$5&amp;$P$35))</f>
        <v>315.43366099999997</v>
      </c>
      <c r="BP222" s="7">
        <f ca="1">SQRT(((BM222-BM223)^2)+((BN222-BN223)^2))</f>
        <v>6.0442725508361717</v>
      </c>
      <c r="BQ222" s="7" cm="1">
        <f t="array" aca="1" ref="BQ222" ca="1">INDIRECT("'"&amp;BK222&amp;"'!"&amp;$H$5&amp;$P$35)+0.01</f>
        <v>2.6509999999999999E-2</v>
      </c>
      <c r="BR222" s="23">
        <f ca="1">BO222-BO223</f>
        <v>-0.28736800000001494</v>
      </c>
      <c r="BS222" s="7">
        <f ca="1">SQRT((BP222^2)+(BR222^2))</f>
        <v>6.0510999856402643</v>
      </c>
      <c r="BT222" s="7">
        <f t="shared" ref="BT222:BT232" ca="1" si="295">(BS222/(BL222-BL223))*31</f>
        <v>0.43122781506861652</v>
      </c>
      <c r="BU222" s="23">
        <f ca="1">BU223+BS222</f>
        <v>28.073632861401233</v>
      </c>
      <c r="BV222" s="23">
        <f ca="1">BV223+BR222</f>
        <v>-1.7178847500000529</v>
      </c>
    </row>
    <row r="223" spans="5:74" x14ac:dyDescent="0.3">
      <c r="E223" s="23">
        <f t="shared" ca="1" si="290"/>
        <v>3.2018999999999999E-2</v>
      </c>
      <c r="F223" s="23">
        <f t="shared" ca="1" si="290"/>
        <v>2.8823000000000001E-2</v>
      </c>
      <c r="G223" s="23">
        <f t="shared" ca="1" si="290"/>
        <v>2.7319000000000003E-2</v>
      </c>
      <c r="H223" s="23">
        <f t="shared" ca="1" si="290"/>
        <v>5.8892E-2</v>
      </c>
      <c r="AK223" s="22" t="s">
        <v>375</v>
      </c>
      <c r="AL223" s="1">
        <v>43186</v>
      </c>
      <c r="AM223" s="23" cm="1">
        <f t="array" aca="1" ref="AM223" ca="1">INDIRECT("'"&amp;$B29&amp;"'!"&amp;(D$5&amp;$P$37))</f>
        <v>1844185.1223240001</v>
      </c>
      <c r="AN223" s="23" cm="1">
        <f t="array" aca="1" ref="AN223" ca="1">INDIRECT("'"&amp;$B29&amp;"'!"&amp;(E$5&amp;$P$37))</f>
        <v>5595587.5669839997</v>
      </c>
      <c r="AO223" s="23" cm="1">
        <f t="array" aca="1" ref="AO223" ca="1">INDIRECT("'"&amp;$B29&amp;"'!"&amp;(F$5&amp;$P$37))</f>
        <v>355.910685</v>
      </c>
      <c r="AP223" s="7">
        <f t="shared" ref="AP223:AP231" ca="1" si="296">SQRT(((AM223-AM224)^2)+((AN223-AN224)^2))</f>
        <v>3.0443062686248298E-2</v>
      </c>
      <c r="AQ223" s="7" cm="1">
        <f t="array" aca="1" ref="AQ223" ca="1">INDIRECT("'"&amp;AK223&amp;"'!"&amp;$H$5&amp;$P$36)+0.01</f>
        <v>3.3488999999999998E-2</v>
      </c>
      <c r="AR223" s="23">
        <f t="shared" ref="AR223:AR231" ca="1" si="297">AO223-AO224</f>
        <v>-3.0081999999993059E-2</v>
      </c>
      <c r="AS223" s="7">
        <f ca="1">SQRT((AP223^2)+(AR223^2))</f>
        <v>4.2798443776829384E-2</v>
      </c>
      <c r="AT223" s="7">
        <f t="shared" ca="1" si="292"/>
        <v>7.9446212998904846E-3</v>
      </c>
      <c r="AU223" s="23">
        <f t="shared" ca="1" si="293"/>
        <v>0.41179731579473478</v>
      </c>
      <c r="AV223" s="23">
        <f t="shared" ca="1" si="294"/>
        <v>-8.8607499999966421E-3</v>
      </c>
      <c r="BK223" s="21" t="s">
        <v>373</v>
      </c>
      <c r="BL223" s="1">
        <v>43382</v>
      </c>
      <c r="BM223" s="34" cm="1">
        <f t="array" aca="1" ref="BM223" ca="1">INDIRECT("'"&amp;$B28&amp;"'!"&amp;(D$5&amp;$P$35))</f>
        <v>1844346.1549229999</v>
      </c>
      <c r="BN223" s="34" cm="1">
        <f t="array" aca="1" ref="BN223" ca="1">INDIRECT("'"&amp;$B28&amp;"'!"&amp;(E$5&amp;$P$35))</f>
        <v>5595520.0882160002</v>
      </c>
      <c r="BO223" s="34" cm="1">
        <f t="array" aca="1" ref="BO223" ca="1">INDIRECT("'"&amp;$B28&amp;"'!"&amp;(F$5&amp;$P$35))</f>
        <v>315.72102899999999</v>
      </c>
      <c r="BP223" s="7">
        <f t="shared" ref="BP223:BP232" ca="1" si="298">SQRT(((BM223-BM224)^2)+((BN223-BN224)^2))</f>
        <v>4.5326316680998566</v>
      </c>
      <c r="BQ223" s="7" cm="1">
        <f t="array" aca="1" ref="BQ223" ca="1">INDIRECT("'"&amp;BK223&amp;"'!"&amp;$H$5&amp;$P$35)+0.01</f>
        <v>3.0267000000000002E-2</v>
      </c>
      <c r="BR223" s="23">
        <f t="shared" ref="BR223:BR232" ca="1" si="299">BO223-BO224</f>
        <v>-0.34935200000001032</v>
      </c>
      <c r="BS223" s="7">
        <f t="shared" ref="BS223:BS232" ca="1" si="300">SQRT((BP223^2)+(BR223^2))</f>
        <v>4.5460748628421968</v>
      </c>
      <c r="BT223" s="7">
        <f t="shared" ca="1" si="295"/>
        <v>0.71902204463320463</v>
      </c>
      <c r="BU223" s="23">
        <f t="shared" ref="BU223:BU233" ca="1" si="301">BU224+BS223</f>
        <v>22.02253287576097</v>
      </c>
      <c r="BV223" s="23">
        <f t="shared" ref="BV223:BV233" ca="1" si="302">BV224+BR223</f>
        <v>-1.430516750000038</v>
      </c>
    </row>
    <row r="224" spans="5:74" x14ac:dyDescent="0.3">
      <c r="E224" s="23">
        <f t="shared" ca="1" si="290"/>
        <v>3.0706999999999998E-2</v>
      </c>
      <c r="F224" s="23">
        <f t="shared" ca="1" si="290"/>
        <v>4.1001000000000003E-2</v>
      </c>
      <c r="G224" s="23">
        <f t="shared" si="290"/>
        <v>0</v>
      </c>
      <c r="H224" s="23">
        <f t="shared" ca="1" si="290"/>
        <v>3.5060000000000001E-2</v>
      </c>
      <c r="AK224" s="3" t="s">
        <v>374</v>
      </c>
      <c r="AL224" s="1">
        <v>43019</v>
      </c>
      <c r="AM224" s="23" cm="1">
        <f t="array" aca="1" ref="AM224" ca="1">INDIRECT("'"&amp;$B30&amp;"'!"&amp;(D$5&amp;$P$37))</f>
        <v>1844185.1498809999</v>
      </c>
      <c r="AN224" s="23" cm="1">
        <f t="array" aca="1" ref="AN224" ca="1">INDIRECT("'"&amp;$B30&amp;"'!"&amp;(E$5&amp;$P$37))</f>
        <v>5595587.5540460004</v>
      </c>
      <c r="AO224" s="23" cm="1">
        <f t="array" aca="1" ref="AO224" ca="1">INDIRECT("'"&amp;$B30&amp;"'!"&amp;(F$5&amp;$P$37))</f>
        <v>355.94076699999999</v>
      </c>
      <c r="AP224" s="7">
        <f t="shared" ca="1" si="296"/>
        <v>1.4810731313350391E-2</v>
      </c>
      <c r="AQ224" s="7" cm="1">
        <f t="array" aca="1" ref="AQ224" ca="1">INDIRECT("'"&amp;AK224&amp;"'!"&amp;$H$5&amp;$P$36)+0.01</f>
        <v>4.0834000000000002E-2</v>
      </c>
      <c r="AR224" s="23">
        <f t="shared" ca="1" si="297"/>
        <v>-2.5523000000021057E-2</v>
      </c>
      <c r="AS224" s="7">
        <f t="shared" ref="AS224:AS231" ca="1" si="303">SQRT((AP224^2)+(AR224^2))</f>
        <v>2.9509003558868818E-2</v>
      </c>
      <c r="AT224" s="7">
        <f t="shared" ca="1" si="292"/>
        <v>8.7959529838935908E-3</v>
      </c>
      <c r="AU224" s="23">
        <f t="shared" ca="1" si="293"/>
        <v>0.36899887201790538</v>
      </c>
      <c r="AV224" s="23">
        <f t="shared" ca="1" si="294"/>
        <v>2.1221249999996417E-2</v>
      </c>
      <c r="BK224" s="21" t="s">
        <v>375</v>
      </c>
      <c r="BL224" s="1">
        <v>43186</v>
      </c>
      <c r="BM224" s="34" cm="1">
        <f t="array" aca="1" ref="BM224" ca="1">INDIRECT("'"&amp;$B29&amp;"'!"&amp;(D$5&amp;$P$35))</f>
        <v>1844344.054861</v>
      </c>
      <c r="BN224" s="34" cm="1">
        <f t="array" aca="1" ref="BN224" ca="1">INDIRECT("'"&amp;$B29&amp;"'!"&amp;(E$5&amp;$P$35))</f>
        <v>5595524.1049920004</v>
      </c>
      <c r="BO224" s="34" cm="1">
        <f t="array" aca="1" ref="BO224" ca="1">INDIRECT("'"&amp;$B29&amp;"'!"&amp;(F$5&amp;$P$35))</f>
        <v>316.070381</v>
      </c>
      <c r="BP224" s="7">
        <f t="shared" ca="1" si="298"/>
        <v>2.9875750011887874</v>
      </c>
      <c r="BQ224" s="7" cm="1">
        <f t="array" aca="1" ref="BQ224" ca="1">INDIRECT("'"&amp;BK224&amp;"'!"&amp;$H$5&amp;$P$35)+0.01</f>
        <v>3.4554000000000001E-2</v>
      </c>
      <c r="BR224" s="23">
        <f t="shared" ca="1" si="299"/>
        <v>-0.23570799999998826</v>
      </c>
      <c r="BS224" s="7">
        <f t="shared" ca="1" si="300"/>
        <v>2.9968587969726199</v>
      </c>
      <c r="BT224" s="7">
        <f t="shared" ca="1" si="295"/>
        <v>0.55630312997695341</v>
      </c>
      <c r="BU224" s="23">
        <f t="shared" ca="1" si="301"/>
        <v>17.476458012918773</v>
      </c>
      <c r="BV224" s="23">
        <f t="shared" ca="1" si="302"/>
        <v>-1.0811647500000277</v>
      </c>
    </row>
    <row r="225" spans="5:74" x14ac:dyDescent="0.3">
      <c r="E225" s="23">
        <f t="shared" ca="1" si="290"/>
        <v>3.0205999999999997E-2</v>
      </c>
      <c r="F225" s="23">
        <f t="shared" ca="1" si="290"/>
        <v>2.7968E-2</v>
      </c>
      <c r="G225" s="23">
        <f t="shared" ca="1" si="290"/>
        <v>2.4746000000000001E-2</v>
      </c>
      <c r="H225" s="23">
        <f t="shared" ca="1" si="290"/>
        <v>3.8824999999999998E-2</v>
      </c>
      <c r="AK225" s="3" t="s">
        <v>376</v>
      </c>
      <c r="AL225" s="1">
        <v>42915</v>
      </c>
      <c r="AM225" s="23" cm="1">
        <f t="array" aca="1" ref="AM225" ca="1">INDIRECT("'"&amp;$B31&amp;"'!"&amp;(D$5&amp;$P$37))</f>
        <v>1844185.1372690001</v>
      </c>
      <c r="AN225" s="23" cm="1">
        <f t="array" aca="1" ref="AN225" ca="1">INDIRECT("'"&amp;$B31&amp;"'!"&amp;(E$5&amp;$P$37))</f>
        <v>5595587.5618110001</v>
      </c>
      <c r="AO225" s="23" cm="1">
        <f t="array" aca="1" ref="AO225" ca="1">INDIRECT("'"&amp;$B31&amp;"'!"&amp;(F$5&amp;$P$37))</f>
        <v>355.96629000000001</v>
      </c>
      <c r="AP225" s="7">
        <f t="shared" ca="1" si="296"/>
        <v>3.1029461538271897E-2</v>
      </c>
      <c r="AQ225" s="7" cm="1">
        <f t="array" aca="1" ref="AQ225" ca="1">INDIRECT("'"&amp;AK225&amp;"'!"&amp;$H$5&amp;$P$36)+0.01</f>
        <v>0.01</v>
      </c>
      <c r="AR225" s="23">
        <f t="shared" ca="1" si="297"/>
        <v>4.2371000000002823E-2</v>
      </c>
      <c r="AS225" s="7">
        <f t="shared" ca="1" si="303"/>
        <v>5.2517893373166959E-2</v>
      </c>
      <c r="AT225" s="7">
        <f t="shared" ca="1" si="292"/>
        <v>1.6119353411566093E-2</v>
      </c>
      <c r="AU225" s="23">
        <f ca="1">AU226+AS225</f>
        <v>0.33948986845903656</v>
      </c>
      <c r="AV225" s="23">
        <f t="shared" ca="1" si="294"/>
        <v>4.6744250000017473E-2</v>
      </c>
      <c r="BK225" s="21" t="s">
        <v>374</v>
      </c>
      <c r="BL225" s="1">
        <v>43019</v>
      </c>
      <c r="BM225" s="34" cm="1">
        <f t="array" aca="1" ref="BM225" ca="1">INDIRECT("'"&amp;$B30&amp;"'!"&amp;(D$5&amp;$P$35))</f>
        <v>1844342.727891</v>
      </c>
      <c r="BN225" s="34" cm="1">
        <f t="array" aca="1" ref="BN225" ca="1">INDIRECT("'"&amp;$B30&amp;"'!"&amp;(E$5&amp;$P$35))</f>
        <v>5595526.7816979997</v>
      </c>
      <c r="BO225" s="34" cm="1">
        <f t="array" aca="1" ref="BO225" ca="1">INDIRECT("'"&amp;$B30&amp;"'!"&amp;(F$5&amp;$P$35))</f>
        <v>316.30608899999999</v>
      </c>
      <c r="BP225" s="7">
        <f t="shared" ca="1" si="298"/>
        <v>3.2082017859771619</v>
      </c>
      <c r="BQ225" s="7" cm="1">
        <f t="array" aca="1" ref="BQ225" ca="1">INDIRECT("'"&amp;BK225&amp;"'!"&amp;$H$5&amp;$P$35)+0.01</f>
        <v>4.3532000000000001E-2</v>
      </c>
      <c r="BR225" s="23">
        <f t="shared" ca="1" si="299"/>
        <v>-0.27619000000004235</v>
      </c>
      <c r="BS225" s="7">
        <f t="shared" ca="1" si="300"/>
        <v>3.2200682625756669</v>
      </c>
      <c r="BT225" s="7">
        <f t="shared" ca="1" si="295"/>
        <v>0.95982803980620846</v>
      </c>
      <c r="BU225" s="23">
        <f t="shared" ca="1" si="301"/>
        <v>14.479599215946152</v>
      </c>
      <c r="BV225" s="23">
        <f t="shared" ca="1" si="302"/>
        <v>-0.84545675000003939</v>
      </c>
    </row>
    <row r="226" spans="5:74" x14ac:dyDescent="0.3">
      <c r="E226" s="23">
        <f t="shared" ca="1" si="290"/>
        <v>1.9E-2</v>
      </c>
      <c r="F226" s="23">
        <f t="shared" ca="1" si="290"/>
        <v>5.5E-2</v>
      </c>
      <c r="G226" s="23">
        <f t="shared" ca="1" si="290"/>
        <v>3.1E-2</v>
      </c>
      <c r="H226" s="23">
        <f t="shared" ca="1" si="290"/>
        <v>3.5000000000000003E-2</v>
      </c>
      <c r="AK226" s="3" t="s">
        <v>377</v>
      </c>
      <c r="AL226" s="1">
        <v>42814</v>
      </c>
      <c r="AM226" s="23" cm="1">
        <f t="array" aca="1" ref="AM226" ca="1">INDIRECT("'"&amp;$B32&amp;"'!"&amp;(D$5&amp;$P$37))</f>
        <v>1844185.1462079999</v>
      </c>
      <c r="AN226" s="23" cm="1">
        <f t="array" aca="1" ref="AN226" ca="1">INDIRECT("'"&amp;$B32&amp;"'!"&amp;(E$5&amp;$P$37))</f>
        <v>5595587.5915249996</v>
      </c>
      <c r="AO226" s="23" cm="1">
        <f t="array" aca="1" ref="AO226" ca="1">INDIRECT("'"&amp;$B32&amp;"'!"&amp;(F$5&amp;$P$37))</f>
        <v>355.92391900000001</v>
      </c>
      <c r="AP226" s="7">
        <f t="shared" ca="1" si="296"/>
        <v>2.9074089331288865E-2</v>
      </c>
      <c r="AQ226" s="7" cm="1">
        <f t="array" aca="1" ref="AQ226" ca="1">INDIRECT("'"&amp;AK226&amp;"'!"&amp;$H$5&amp;$P$36)+0.01</f>
        <v>2.3490999999999998E-2</v>
      </c>
      <c r="AR226" s="23">
        <f t="shared" ca="1" si="297"/>
        <v>-2.0119999999963056E-2</v>
      </c>
      <c r="AS226" s="7">
        <f t="shared" ca="1" si="303"/>
        <v>3.5356994646636448E-2</v>
      </c>
      <c r="AT226" s="7">
        <f t="shared" ca="1" si="292"/>
        <v>1.141736285464302E-2</v>
      </c>
      <c r="AU226" s="23">
        <f t="shared" ref="AU226:AU231" ca="1" si="304">AU227+AS226</f>
        <v>0.28697197508586958</v>
      </c>
      <c r="AV226" s="23">
        <f t="shared" ca="1" si="294"/>
        <v>4.3732500000146501E-3</v>
      </c>
      <c r="BK226" s="21" t="s">
        <v>376</v>
      </c>
      <c r="BL226" s="1">
        <v>42915</v>
      </c>
      <c r="BM226" s="34" cm="1">
        <f t="array" aca="1" ref="BM226" ca="1">INDIRECT("'"&amp;$B31&amp;"'!"&amp;(D$5&amp;$P$35))</f>
        <v>1844341.3620140001</v>
      </c>
      <c r="BN226" s="34" cm="1">
        <f t="array" aca="1" ref="BN226" ca="1">INDIRECT("'"&amp;$B31&amp;"'!"&amp;(E$5&amp;$P$35))</f>
        <v>5595529.6846169997</v>
      </c>
      <c r="BO226" s="34" cm="1">
        <f t="array" aca="1" ref="BO226" ca="1">INDIRECT("'"&amp;$B31&amp;"'!"&amp;(F$5&amp;$P$35))</f>
        <v>316.58227900000003</v>
      </c>
      <c r="BP226" s="7">
        <f t="shared" ca="1" si="298"/>
        <v>2.2400164879395055</v>
      </c>
      <c r="BQ226" s="7" cm="1">
        <f t="array" aca="1" ref="BQ226" ca="1">INDIRECT("'"&amp;BK226&amp;"'!"&amp;$H$5&amp;$P$35)+0.01</f>
        <v>5.1546000000000002E-2</v>
      </c>
      <c r="BR226" s="23">
        <f t="shared" ca="1" si="299"/>
        <v>-0.10129799999998568</v>
      </c>
      <c r="BS226" s="7">
        <f t="shared" ca="1" si="300"/>
        <v>2.2423057666261381</v>
      </c>
      <c r="BT226" s="7">
        <f t="shared" ca="1" si="295"/>
        <v>0.6882324630238642</v>
      </c>
      <c r="BU226" s="23">
        <f t="shared" ca="1" si="301"/>
        <v>11.259530953370485</v>
      </c>
      <c r="BV226" s="23">
        <f t="shared" ca="1" si="302"/>
        <v>-0.56926674999999705</v>
      </c>
    </row>
    <row r="227" spans="5:74" x14ac:dyDescent="0.3">
      <c r="E227" s="23">
        <f t="shared" ca="1" si="290"/>
        <v>1.8000000000000002E-2</v>
      </c>
      <c r="F227" s="23">
        <f t="shared" ca="1" si="290"/>
        <v>2.0999999999999998E-2</v>
      </c>
      <c r="G227" s="23">
        <f t="shared" ca="1" si="290"/>
        <v>1.6E-2</v>
      </c>
      <c r="H227" s="23">
        <f t="shared" si="290"/>
        <v>0</v>
      </c>
      <c r="AK227" s="3" t="s">
        <v>378</v>
      </c>
      <c r="AL227" s="1">
        <v>42718</v>
      </c>
      <c r="AM227" s="23" cm="1">
        <f t="array" aca="1" ref="AM227" ca="1">INDIRECT("'"&amp;$B33&amp;"'!"&amp;(D$5&amp;$P$37))</f>
        <v>1844185.1271850001</v>
      </c>
      <c r="AN227" s="23" cm="1">
        <f t="array" aca="1" ref="AN227" ca="1">INDIRECT("'"&amp;$B33&amp;"'!"&amp;(E$5&amp;$P$37))</f>
        <v>5595587.569538</v>
      </c>
      <c r="AO227" s="23" cm="1">
        <f t="array" aca="1" ref="AO227" ca="1">INDIRECT("'"&amp;$B33&amp;"'!"&amp;(F$5&amp;$P$37))</f>
        <v>355.94403899999998</v>
      </c>
      <c r="AP227" s="7">
        <f t="shared" ca="1" si="296"/>
        <v>2.0977026272010424E-2</v>
      </c>
      <c r="AQ227" s="7" cm="1">
        <f t="array" aca="1" ref="AQ227" ca="1">INDIRECT("'"&amp;AK227&amp;"'!"&amp;$H$5&amp;$P$36)+0.01</f>
        <v>2.9884000000000001E-2</v>
      </c>
      <c r="AR227" s="23">
        <f t="shared" ca="1" si="297"/>
        <v>1.961299999993571E-2</v>
      </c>
      <c r="AS227" s="7">
        <f t="shared" ca="1" si="303"/>
        <v>2.8717684450771681E-2</v>
      </c>
      <c r="AT227" s="7">
        <f t="shared" ca="1" si="292"/>
        <v>1.7120158037960041E-2</v>
      </c>
      <c r="AU227" s="23">
        <f t="shared" ca="1" si="304"/>
        <v>0.25161498043923314</v>
      </c>
      <c r="AV227" s="23">
        <f t="shared" ca="1" si="294"/>
        <v>2.4493249999977706E-2</v>
      </c>
      <c r="BK227" s="21" t="s">
        <v>377</v>
      </c>
      <c r="BL227" s="1">
        <v>42814</v>
      </c>
      <c r="BM227" s="34" cm="1">
        <f t="array" aca="1" ref="BM227" ca="1">INDIRECT("'"&amp;$B32&amp;"'!"&amp;(D$5&amp;$P$35))</f>
        <v>1844340.4792269999</v>
      </c>
      <c r="BN227" s="34" cm="1">
        <f t="array" aca="1" ref="BN227" ca="1">INDIRECT("'"&amp;$B32&amp;"'!"&amp;(E$5&amp;$P$35))</f>
        <v>5595531.7433449998</v>
      </c>
      <c r="BO227" s="34" cm="1">
        <f t="array" aca="1" ref="BO227" ca="1">INDIRECT("'"&amp;$B32&amp;"'!"&amp;(F$5&amp;$P$35))</f>
        <v>316.68357700000001</v>
      </c>
      <c r="BP227" s="7">
        <f t="shared" ca="1" si="298"/>
        <v>0.905542896965429</v>
      </c>
      <c r="BQ227" s="7" cm="1">
        <f t="array" aca="1" ref="BQ227" ca="1">INDIRECT("'"&amp;BK227&amp;"'!"&amp;$H$5&amp;$P$35)+0.01</f>
        <v>4.0388E-2</v>
      </c>
      <c r="BR227" s="23">
        <f t="shared" ca="1" si="299"/>
        <v>-8.9512000000013359E-2</v>
      </c>
      <c r="BS227" s="7">
        <f t="shared" ca="1" si="300"/>
        <v>0.90995622773216067</v>
      </c>
      <c r="BT227" s="7">
        <f t="shared" ca="1" si="295"/>
        <v>0.29384003187184354</v>
      </c>
      <c r="BU227" s="23">
        <f t="shared" ca="1" si="301"/>
        <v>9.017225186744346</v>
      </c>
      <c r="BV227" s="23">
        <f t="shared" ca="1" si="302"/>
        <v>-0.46796875000001137</v>
      </c>
    </row>
    <row r="228" spans="5:74" x14ac:dyDescent="0.3">
      <c r="E228" s="23">
        <f t="shared" si="290"/>
        <v>0</v>
      </c>
      <c r="F228" s="23">
        <f t="shared" si="290"/>
        <v>0</v>
      </c>
      <c r="G228" s="23">
        <f t="shared" si="290"/>
        <v>0</v>
      </c>
      <c r="H228" s="23">
        <f t="shared" si="290"/>
        <v>0</v>
      </c>
      <c r="AK228" s="3" t="s">
        <v>379</v>
      </c>
      <c r="AL228" s="1">
        <v>42666</v>
      </c>
      <c r="AM228" s="23" cm="1">
        <f t="array" aca="1" ref="AM228" ca="1">INDIRECT("'"&amp;$B34&amp;"'!"&amp;(D$5&amp;$P$37))</f>
        <v>1844185.1444600001</v>
      </c>
      <c r="AN228" s="23" cm="1">
        <f t="array" aca="1" ref="AN228" ca="1">INDIRECT("'"&amp;$B34&amp;"'!"&amp;(E$5&amp;$P$37))</f>
        <v>5595587.5814380003</v>
      </c>
      <c r="AO228" s="23" cm="1">
        <f t="array" aca="1" ref="AO228" ca="1">INDIRECT("'"&amp;$B34&amp;"'!"&amp;(F$5&amp;$P$37))</f>
        <v>355.92442600000004</v>
      </c>
      <c r="AP228" s="7">
        <f t="shared" ca="1" si="296"/>
        <v>1.5571231134666479E-2</v>
      </c>
      <c r="AQ228" s="7" cm="1">
        <f t="array" aca="1" ref="AQ228" ca="1">INDIRECT("'"&amp;AK228&amp;"'!"&amp;$H$5&amp;$P$36)+0.01</f>
        <v>4.3029000000000005E-2</v>
      </c>
      <c r="AR228" s="23">
        <f t="shared" ca="1" si="297"/>
        <v>-3.2630000000040127E-3</v>
      </c>
      <c r="AS228" s="7">
        <f t="shared" ca="1" si="303"/>
        <v>1.5909443989317568E-2</v>
      </c>
      <c r="AT228" s="7">
        <f t="shared" ca="1" si="292"/>
        <v>4.7422381122004288E-3</v>
      </c>
      <c r="AU228" s="23">
        <f t="shared" ca="1" si="304"/>
        <v>0.22289729598846145</v>
      </c>
      <c r="AV228" s="23">
        <f t="shared" ca="1" si="294"/>
        <v>4.8802500000419968E-3</v>
      </c>
      <c r="BK228" s="21" t="s">
        <v>378</v>
      </c>
      <c r="BL228" s="1">
        <v>42718</v>
      </c>
      <c r="BM228" s="34" cm="1">
        <f t="array" aca="1" ref="BM228" ca="1">INDIRECT("'"&amp;$B33&amp;"'!"&amp;(D$5&amp;$P$35))</f>
        <v>1844340.112155</v>
      </c>
      <c r="BN228" s="34" cm="1">
        <f t="array" aca="1" ref="BN228" ca="1">INDIRECT("'"&amp;$B33&amp;"'!"&amp;(E$5&amp;$P$35))</f>
        <v>5595532.571153</v>
      </c>
      <c r="BO228" s="34" cm="1">
        <f t="array" aca="1" ref="BO228" ca="1">INDIRECT("'"&amp;$B33&amp;"'!"&amp;(F$5&amp;$P$35))</f>
        <v>316.77308900000003</v>
      </c>
      <c r="BP228" s="7">
        <f t="shared" ca="1" si="298"/>
        <v>1.1309217673363927</v>
      </c>
      <c r="BQ228" s="7" cm="1">
        <f t="array" aca="1" ref="BQ228" ca="1">INDIRECT("'"&amp;BK228&amp;"'!"&amp;$H$5&amp;$P$35)+0.01</f>
        <v>3.9657999999999999E-2</v>
      </c>
      <c r="BR228" s="23">
        <f t="shared" ca="1" si="299"/>
        <v>-6.5259999999966567E-2</v>
      </c>
      <c r="BS228" s="7">
        <f t="shared" ca="1" si="300"/>
        <v>1.1328031212153618</v>
      </c>
      <c r="BT228" s="7">
        <f t="shared" ca="1" si="295"/>
        <v>0.67532493764761958</v>
      </c>
      <c r="BU228" s="23">
        <f t="shared" ca="1" si="301"/>
        <v>8.1072689590121847</v>
      </c>
      <c r="BV228" s="23">
        <f t="shared" ca="1" si="302"/>
        <v>-0.37845674999999801</v>
      </c>
    </row>
    <row r="229" spans="5:74" x14ac:dyDescent="0.3">
      <c r="AK229" s="3" t="s">
        <v>380</v>
      </c>
      <c r="AL229" s="1">
        <v>42562</v>
      </c>
      <c r="AM229" s="23" cm="1">
        <f t="array" aca="1" ref="AM229" ca="1">INDIRECT("'"&amp;$B35&amp;"'!"&amp;(D$5&amp;$P$37))</f>
        <v>1844185.1554479999</v>
      </c>
      <c r="AN229" s="23" cm="1">
        <f t="array" aca="1" ref="AN229" ca="1">INDIRECT("'"&amp;$B35&amp;"'!"&amp;(E$5&amp;$P$37))</f>
        <v>5595587.5704049999</v>
      </c>
      <c r="AO229" s="23" cm="1">
        <f t="array" aca="1" ref="AO229" ca="1">INDIRECT("'"&amp;$B35&amp;"'!"&amp;(F$5&amp;$P$37))</f>
        <v>355.92768900000004</v>
      </c>
      <c r="AP229" s="7">
        <f t="shared" ca="1" si="296"/>
        <v>1.3816365909703298E-2</v>
      </c>
      <c r="AQ229" s="7" cm="1">
        <f t="array" aca="1" ref="AQ229" ca="1">INDIRECT("'"&amp;AK229&amp;"'!"&amp;$H$5&amp;$P$36)+0.01</f>
        <v>3.7111999999999999E-2</v>
      </c>
      <c r="AR229" s="23">
        <f t="shared" ca="1" si="297"/>
        <v>1.6992500000014843E-3</v>
      </c>
      <c r="AS229" s="7">
        <f t="shared" ca="1" si="303"/>
        <v>1.3920467575240297E-2</v>
      </c>
      <c r="AT229" s="7">
        <f t="shared" ca="1" si="292"/>
        <v>3.7201249554521484E-3</v>
      </c>
      <c r="AU229" s="23">
        <f t="shared" ca="1" si="304"/>
        <v>0.20698785199914388</v>
      </c>
      <c r="AV229" s="23">
        <f t="shared" ca="1" si="294"/>
        <v>8.1432500000460095E-3</v>
      </c>
      <c r="BK229" s="21" t="s">
        <v>379</v>
      </c>
      <c r="BL229" s="1">
        <v>42666</v>
      </c>
      <c r="BM229" s="34" cm="1">
        <f t="array" aca="1" ref="BM229" ca="1">INDIRECT("'"&amp;$B34&amp;"'!"&amp;(D$5&amp;$P$35))</f>
        <v>1844339.6593879999</v>
      </c>
      <c r="BN229" s="34" cm="1">
        <f t="array" aca="1" ref="BN229" ca="1">INDIRECT("'"&amp;$B34&amp;"'!"&amp;(E$5&amp;$P$35))</f>
        <v>5595533.6074860003</v>
      </c>
      <c r="BO229" s="34" cm="1">
        <f t="array" aca="1" ref="BO229" ca="1">INDIRECT("'"&amp;$B34&amp;"'!"&amp;(F$5&amp;$P$35))</f>
        <v>316.83834899999999</v>
      </c>
      <c r="BP229" s="7">
        <f t="shared" ca="1" si="298"/>
        <v>2.9434119715024454</v>
      </c>
      <c r="BQ229" s="7" cm="1">
        <f t="array" aca="1" ref="BQ229" ca="1">INDIRECT("'"&amp;BK229&amp;"'!"&amp;$H$5&amp;$P$35)+0.01</f>
        <v>5.8892E-2</v>
      </c>
      <c r="BR229" s="23">
        <f t="shared" ca="1" si="299"/>
        <v>-0.12636600000001863</v>
      </c>
      <c r="BS229" s="7">
        <f t="shared" ca="1" si="300"/>
        <v>2.9461232832215147</v>
      </c>
      <c r="BT229" s="7">
        <f t="shared" ca="1" si="295"/>
        <v>0.87817136326795153</v>
      </c>
      <c r="BU229" s="23">
        <f t="shared" ca="1" si="301"/>
        <v>6.9744658377968225</v>
      </c>
      <c r="BV229" s="23">
        <f t="shared" ca="1" si="302"/>
        <v>-0.31319675000003144</v>
      </c>
    </row>
    <row r="230" spans="5:74" x14ac:dyDescent="0.3">
      <c r="AK230" s="3" t="s">
        <v>381</v>
      </c>
      <c r="AL230" s="1">
        <v>42446</v>
      </c>
      <c r="AM230" s="23" cm="1">
        <f t="array" aca="1" ref="AM230" ca="1">INDIRECT("'"&amp;$B36&amp;"'!"&amp;(D$5&amp;$P$37))</f>
        <v>1844185.1591090001</v>
      </c>
      <c r="AN230" s="23" cm="1">
        <f t="array" aca="1" ref="AN230" ca="1">INDIRECT("'"&amp;$B36&amp;"'!"&amp;(E$5&amp;$P$37))</f>
        <v>5595587.5837275013</v>
      </c>
      <c r="AO230" s="23" cm="1">
        <f t="array" aca="1" ref="AO230" ca="1">INDIRECT("'"&amp;$B36&amp;"'!"&amp;(F$5&amp;$P$37))</f>
        <v>355.92598975000004</v>
      </c>
      <c r="AP230" s="7">
        <f t="shared" ca="1" si="296"/>
        <v>3.3867946873809042E-2</v>
      </c>
      <c r="AQ230" s="7" cm="1">
        <f t="array" aca="1" ref="AQ230" ca="1">INDIRECT("'"&amp;AK230&amp;"'!"&amp;$H$5&amp;$P$36)+0.01</f>
        <v>3.9140000000000001E-2</v>
      </c>
      <c r="AR230" s="23">
        <f t="shared" ca="1" si="297"/>
        <v>-1.0582499999998163E-2</v>
      </c>
      <c r="AS230" s="7">
        <f t="shared" ca="1" si="303"/>
        <v>3.5482772322594988E-2</v>
      </c>
      <c r="AT230" s="7">
        <f t="shared" ca="1" si="292"/>
        <v>1.0890751900994502E-2</v>
      </c>
      <c r="AU230" s="23">
        <f t="shared" ca="1" si="304"/>
        <v>0.19306738442390359</v>
      </c>
      <c r="AV230" s="23">
        <f t="shared" ca="1" si="294"/>
        <v>6.4440000000445252E-3</v>
      </c>
      <c r="BK230" s="21" t="s">
        <v>380</v>
      </c>
      <c r="BL230" s="1">
        <v>42562</v>
      </c>
      <c r="BM230" s="34" cm="1">
        <f t="array" aca="1" ref="BM230" ca="1">INDIRECT("'"&amp;$B35&amp;"'!"&amp;(D$5&amp;$P$35))</f>
        <v>1844338.503602</v>
      </c>
      <c r="BN230" s="34" cm="1">
        <f t="array" aca="1" ref="BN230" ca="1">INDIRECT("'"&amp;$B35&amp;"'!"&amp;(E$5&amp;$P$35))</f>
        <v>5595536.314483</v>
      </c>
      <c r="BO230" s="34" cm="1">
        <f t="array" aca="1" ref="BO230" ca="1">INDIRECT("'"&amp;$B35&amp;"'!"&amp;(F$5&amp;$P$35))</f>
        <v>316.96471500000001</v>
      </c>
      <c r="BP230" s="7">
        <f t="shared" ca="1" si="298"/>
        <v>1.2865878120326697</v>
      </c>
      <c r="BQ230" s="7" cm="1">
        <f t="array" aca="1" ref="BQ230" ca="1">INDIRECT("'"&amp;BK230&amp;"'!"&amp;$H$5&amp;$P$35)+0.01</f>
        <v>3.5060000000000001E-2</v>
      </c>
      <c r="BR230" s="23">
        <f t="shared" ca="1" si="299"/>
        <v>-6.9307750000007218E-2</v>
      </c>
      <c r="BS230" s="7">
        <f t="shared" ca="1" si="300"/>
        <v>1.2884532441191165</v>
      </c>
      <c r="BT230" s="7">
        <f t="shared" ca="1" si="295"/>
        <v>0.34432802213528113</v>
      </c>
      <c r="BU230" s="23">
        <f t="shared" ca="1" si="301"/>
        <v>4.0283425545753078</v>
      </c>
      <c r="BV230" s="23">
        <f t="shared" ca="1" si="302"/>
        <v>-0.18683075000001281</v>
      </c>
    </row>
    <row r="231" spans="5:74" x14ac:dyDescent="0.3">
      <c r="AK231" s="3" t="s">
        <v>382</v>
      </c>
      <c r="AL231" s="1">
        <v>42345</v>
      </c>
      <c r="AM231" s="23" cm="1">
        <f t="array" aca="1" ref="AM231" ca="1">INDIRECT("'"&amp;$B37&amp;"'!"&amp;(D$5&amp;$P$37))</f>
        <v>1844185.161696</v>
      </c>
      <c r="AN231" s="23" cm="1">
        <f t="array" aca="1" ref="AN231" ca="1">INDIRECT("'"&amp;$B37&amp;"'!"&amp;(E$5&amp;$P$37))</f>
        <v>5595587.6174964998</v>
      </c>
      <c r="AO231" s="23" cm="1">
        <f t="array" aca="1" ref="AO231" ca="1">INDIRECT("'"&amp;$B37&amp;"'!"&amp;(F$5&amp;$P$37))</f>
        <v>355.93657225000004</v>
      </c>
      <c r="AP231" s="7">
        <f t="shared" ca="1" si="296"/>
        <v>8.9393932789283079E-2</v>
      </c>
      <c r="AQ231" s="7" cm="1">
        <f t="array" aca="1" ref="AQ231" ca="1">INDIRECT("'"&amp;AK231&amp;"'!"&amp;$H$5&amp;$P$36)+0.01</f>
        <v>1.8000000000000002E-2</v>
      </c>
      <c r="AR231" s="23">
        <f t="shared" ca="1" si="297"/>
        <v>1.4026500000056785E-2</v>
      </c>
      <c r="AS231" s="7">
        <f t="shared" ca="1" si="303"/>
        <v>9.0487667235852942E-2</v>
      </c>
      <c r="AT231" s="7">
        <f t="shared" ca="1" si="292"/>
        <v>4.125173065163884E-2</v>
      </c>
      <c r="AU231" s="23">
        <f t="shared" ca="1" si="304"/>
        <v>0.15758461210130859</v>
      </c>
      <c r="AV231" s="23">
        <f t="shared" ca="1" si="294"/>
        <v>1.7026500000042688E-2</v>
      </c>
      <c r="BK231" s="21" t="s">
        <v>381</v>
      </c>
      <c r="BL231" s="1">
        <v>42446</v>
      </c>
      <c r="BM231" s="34" cm="1">
        <f t="array" aca="1" ref="BM231" ca="1">INDIRECT("'"&amp;$B36&amp;"'!"&amp;(D$5&amp;$P$35))</f>
        <v>1844338.0208120001</v>
      </c>
      <c r="BN231" s="34" cm="1">
        <f t="array" aca="1" ref="BN231" ca="1">INDIRECT("'"&amp;$B36&amp;"'!"&amp;(E$5&amp;$P$35))</f>
        <v>5595537.5070525007</v>
      </c>
      <c r="BO231" s="34" cm="1">
        <f t="array" aca="1" ref="BO231" ca="1">INDIRECT("'"&amp;$B36&amp;"'!"&amp;(F$5&amp;$P$35))</f>
        <v>317.03402275000002</v>
      </c>
      <c r="BP231" s="7">
        <f t="shared" ca="1" si="298"/>
        <v>1.2043524140400053</v>
      </c>
      <c r="BQ231" s="7" cm="1">
        <f t="array" aca="1" ref="BQ231" ca="1">INDIRECT("'"&amp;BK231&amp;"'!"&amp;$H$5&amp;$P$35)+0.01</f>
        <v>3.8824999999999998E-2</v>
      </c>
      <c r="BR231" s="23">
        <f t="shared" ca="1" si="299"/>
        <v>-0.1675495000000069</v>
      </c>
      <c r="BS231" s="7">
        <f t="shared" ca="1" si="300"/>
        <v>1.2159513033646703</v>
      </c>
      <c r="BT231" s="7">
        <f t="shared" ca="1" si="295"/>
        <v>0.37321277628024535</v>
      </c>
      <c r="BU231" s="23">
        <f t="shared" ca="1" si="301"/>
        <v>2.7398893104561912</v>
      </c>
      <c r="BV231" s="23">
        <f t="shared" ca="1" si="302"/>
        <v>-0.1175230000000056</v>
      </c>
    </row>
    <row r="232" spans="5:74" x14ac:dyDescent="0.3">
      <c r="AK232" s="3" t="s">
        <v>383</v>
      </c>
      <c r="AL232" s="1">
        <v>42277</v>
      </c>
      <c r="AM232" s="23" cm="1">
        <f t="array" aca="1" ref="AM232" ca="1">INDIRECT("'"&amp;$B38&amp;"'!"&amp;(D$5&amp;$P$37))</f>
        <v>1844185.2228300001</v>
      </c>
      <c r="AN232" s="23" cm="1">
        <f t="array" aca="1" ref="AN232" ca="1">INDIRECT("'"&amp;$B38&amp;"'!"&amp;(E$5&amp;$P$37))</f>
        <v>5595587.5522745</v>
      </c>
      <c r="AO232" s="23" cm="1">
        <f t="array" aca="1" ref="AO232" ca="1">INDIRECT("'"&amp;$B38&amp;"'!"&amp;(F$5&amp;$P$37))</f>
        <v>355.92254574999998</v>
      </c>
      <c r="AP232" s="7">
        <f ca="1">SQRT(((AM232-AM233)^2)+((AN232-AN233)^2))</f>
        <v>6.7029844176143494E-2</v>
      </c>
      <c r="AQ232" s="7" cm="1">
        <f t="array" aca="1" ref="AQ232" ca="1">INDIRECT("'"&amp;AK232&amp;"'!"&amp;$H$5&amp;$P$36)+0.01</f>
        <v>1.7000000000000001E-2</v>
      </c>
      <c r="AR232" s="23">
        <f ca="1">AO232-AO233</f>
        <v>2.9999999999859028E-3</v>
      </c>
      <c r="AS232" s="7">
        <f ca="1">SQRT((AP232^2)+(AR232^2))</f>
        <v>6.7096944865455629E-2</v>
      </c>
      <c r="AT232" s="7">
        <f t="shared" ca="1" si="292"/>
        <v>2.3370845964372187E-2</v>
      </c>
      <c r="AU232" s="23">
        <f ca="1">AU233+AS232</f>
        <v>6.7096944865455629E-2</v>
      </c>
      <c r="AV232" s="23">
        <f ca="1">AV233+AR232</f>
        <v>2.9999999999859028E-3</v>
      </c>
      <c r="BK232" s="21" t="s">
        <v>382</v>
      </c>
      <c r="BL232" s="1">
        <v>42345</v>
      </c>
      <c r="BM232" s="34" cm="1">
        <f t="array" aca="1" ref="BM232" ca="1">INDIRECT("'"&amp;$B37&amp;"'!"&amp;(D$5&amp;$P$35))</f>
        <v>1844337.6026960001</v>
      </c>
      <c r="BN232" s="34" cm="1">
        <f t="array" aca="1" ref="BN232" ca="1">INDIRECT("'"&amp;$B37&amp;"'!"&amp;(E$5&amp;$P$35))</f>
        <v>5595538.6364965001</v>
      </c>
      <c r="BO232" s="34" cm="1">
        <f t="array" aca="1" ref="BO232" ca="1">INDIRECT("'"&amp;$B37&amp;"'!"&amp;(F$5&amp;$P$35))</f>
        <v>317.20157225000003</v>
      </c>
      <c r="BP232" s="7">
        <f t="shared" ca="1" si="298"/>
        <v>1.5231166727325347</v>
      </c>
      <c r="BQ232" s="7" cm="1">
        <f t="array" aca="1" ref="BQ232" ca="1">INDIRECT("'"&amp;BK232&amp;"'!"&amp;$H$5&amp;$P$35)+0.01</f>
        <v>3.5000000000000003E-2</v>
      </c>
      <c r="BR232" s="23">
        <f t="shared" ca="1" si="299"/>
        <v>5.0026500000001306E-2</v>
      </c>
      <c r="BS232" s="7">
        <f t="shared" ca="1" si="300"/>
        <v>1.5239380070915212</v>
      </c>
      <c r="BT232" s="7">
        <f t="shared" ca="1" si="295"/>
        <v>0.69473644440936999</v>
      </c>
      <c r="BU232" s="23">
        <f ca="1">BU233+BS232</f>
        <v>1.5239380070915212</v>
      </c>
      <c r="BV232" s="23">
        <f t="shared" ca="1" si="302"/>
        <v>5.0026500000001306E-2</v>
      </c>
    </row>
    <row r="233" spans="5:74" x14ac:dyDescent="0.3">
      <c r="AK233" s="3" t="s">
        <v>384</v>
      </c>
      <c r="AL233" s="1">
        <v>42188</v>
      </c>
      <c r="AM233" s="23" cm="1">
        <f t="array" aca="1" ref="AM233" ca="1">INDIRECT("'"&amp;$B39&amp;"'!"&amp;(D$5&amp;$P$37))</f>
        <v>1844185.1558300001</v>
      </c>
      <c r="AN233" s="23" cm="1">
        <f t="array" aca="1" ref="AN233" ca="1">INDIRECT("'"&amp;$B39&amp;"'!"&amp;(E$5&amp;$P$37))</f>
        <v>5595587.5542745013</v>
      </c>
      <c r="AO233" s="23" cm="1">
        <f t="array" aca="1" ref="AO233" ca="1">INDIRECT("'"&amp;$B39&amp;"'!"&amp;(F$5&amp;$P$37))</f>
        <v>355.91954575</v>
      </c>
      <c r="AP233" s="21"/>
      <c r="AQ233" s="7" cm="1">
        <f t="array" aca="1" ref="AQ233" ca="1">INDIRECT("'"&amp;AK233&amp;"'!"&amp;$H$5&amp;$P$36)+0.01</f>
        <v>0.01</v>
      </c>
      <c r="AR233" s="23"/>
      <c r="AS233" s="7"/>
      <c r="AT233" s="7"/>
      <c r="AU233" s="10">
        <v>0</v>
      </c>
      <c r="AV233" s="21">
        <v>0</v>
      </c>
      <c r="BK233" s="21" t="s">
        <v>383</v>
      </c>
      <c r="BL233" s="1">
        <v>42277</v>
      </c>
      <c r="BM233" s="34" cm="1">
        <f t="array" aca="1" ref="BM233" ca="1">INDIRECT("'"&amp;$B38&amp;"'!"&amp;(D$5&amp;$P$35))</f>
        <v>1844336.9728300001</v>
      </c>
      <c r="BN233" s="34" cm="1">
        <f t="array" aca="1" ref="BN233" ca="1">INDIRECT("'"&amp;$B38&amp;"'!"&amp;(E$5&amp;$P$35))</f>
        <v>5595540.0232744999</v>
      </c>
      <c r="BO233" s="34" cm="1">
        <f t="array" aca="1" ref="BO233" ca="1">INDIRECT("'"&amp;$B38&amp;"'!"&amp;(F$5&amp;$P$35))</f>
        <v>317.15154575000003</v>
      </c>
      <c r="BP233" s="7"/>
      <c r="BR233" s="23"/>
      <c r="BS233" s="7"/>
      <c r="BT233" s="7"/>
      <c r="BU233" s="23">
        <f t="shared" si="301"/>
        <v>0</v>
      </c>
      <c r="BV233" s="23">
        <f t="shared" si="302"/>
        <v>0</v>
      </c>
    </row>
    <row r="234" spans="5:74" x14ac:dyDescent="0.3">
      <c r="AL234" s="1"/>
      <c r="BK234" s="21" t="s">
        <v>384</v>
      </c>
      <c r="BL234" s="1"/>
      <c r="BM234" s="34"/>
      <c r="BN234" s="34"/>
      <c r="BO234" s="34"/>
      <c r="BP234" s="7"/>
      <c r="BR234" s="21"/>
      <c r="BS234" s="21"/>
      <c r="BT234" s="21"/>
      <c r="BU234" s="21"/>
      <c r="BV234" s="21"/>
    </row>
    <row r="235" spans="5:74" x14ac:dyDescent="0.3">
      <c r="AL235" s="1"/>
    </row>
    <row r="236" spans="5:74" x14ac:dyDescent="0.3">
      <c r="AK236" s="51" t="s">
        <v>603</v>
      </c>
      <c r="AL236" s="30"/>
      <c r="AM236" s="5" t="s">
        <v>541</v>
      </c>
      <c r="AN236" s="5" t="s">
        <v>542</v>
      </c>
      <c r="AO236" s="5" t="s">
        <v>543</v>
      </c>
      <c r="AP236" s="21" t="s">
        <v>427</v>
      </c>
      <c r="AQ236" s="21" t="s">
        <v>525</v>
      </c>
      <c r="AR236" s="21" t="s">
        <v>428</v>
      </c>
      <c r="AS236" s="21" t="s">
        <v>429</v>
      </c>
      <c r="AT236" s="21" t="s">
        <v>606</v>
      </c>
      <c r="AU236" s="21" t="s">
        <v>430</v>
      </c>
      <c r="AV236" s="33" t="s">
        <v>582</v>
      </c>
    </row>
    <row r="237" spans="5:74" x14ac:dyDescent="0.3">
      <c r="AK237" s="3" t="s">
        <v>526</v>
      </c>
      <c r="AL237" s="1">
        <v>43817</v>
      </c>
      <c r="AM237" s="23" cm="1">
        <f t="array" aca="1" ref="AM237" ca="1">INDIRECT("'"&amp;$B27&amp;"'!"&amp;(D$5&amp;$P$40))</f>
        <v>1844715.2664890001</v>
      </c>
      <c r="AN237" s="23" cm="1">
        <f t="array" aca="1" ref="AN237" ca="1">INDIRECT("'"&amp;$B27&amp;"'!"&amp;(E$5&amp;$P$40))</f>
        <v>5595570.8466069996</v>
      </c>
      <c r="AO237" s="23" cm="1">
        <f t="array" aca="1" ref="AO237" ca="1">INDIRECT("'"&amp;$B27&amp;"'!"&amp;(F$5&amp;$P$40))</f>
        <v>340.459901</v>
      </c>
      <c r="AP237" s="21">
        <f ca="1">SQRT(((AM237-AM238)^2)+((AN237-AN238)^2))</f>
        <v>6.7656257266962727E-2</v>
      </c>
      <c r="AQ237" s="21" cm="1">
        <f t="array" aca="1" ref="AQ237" ca="1">INDIRECT("'"&amp;AK237&amp;"'!"&amp;$H$5&amp;$P$40)+0.01</f>
        <v>2.4483999999999999E-2</v>
      </c>
      <c r="AR237" s="23">
        <f ca="1">AO237-AO238</f>
        <v>6.4592000000004646E-2</v>
      </c>
      <c r="AS237" s="7">
        <f ca="1">SQRT((AP237^2)+(AR237^2))</f>
        <v>9.3538738559882498E-2</v>
      </c>
      <c r="AT237" s="7">
        <f ca="1">(AS237/(AL237-AL238))*31</f>
        <v>6.6659790697847299E-3</v>
      </c>
      <c r="AU237" s="23">
        <f ca="1">AU238+AS237</f>
        <v>0.51238433444855158</v>
      </c>
      <c r="AV237" s="23">
        <f ca="1">AV238+AR237</f>
        <v>0.15135524999999461</v>
      </c>
      <c r="BK237" s="21" t="s">
        <v>600</v>
      </c>
      <c r="BL237" s="1"/>
      <c r="BM237" s="21" t="s">
        <v>541</v>
      </c>
      <c r="BN237" s="21" t="s">
        <v>542</v>
      </c>
      <c r="BO237" s="21" t="s">
        <v>543</v>
      </c>
      <c r="BP237" s="7" t="s">
        <v>427</v>
      </c>
      <c r="BQ237" s="7" t="s">
        <v>525</v>
      </c>
      <c r="BR237" s="21" t="s">
        <v>428</v>
      </c>
      <c r="BS237" s="21" t="s">
        <v>429</v>
      </c>
      <c r="BT237" s="21" t="s">
        <v>606</v>
      </c>
      <c r="BU237" s="21" t="s">
        <v>430</v>
      </c>
      <c r="BV237" s="33" t="s">
        <v>582</v>
      </c>
    </row>
    <row r="238" spans="5:74" x14ac:dyDescent="0.3">
      <c r="AK238" s="3" t="s">
        <v>373</v>
      </c>
      <c r="AL238" s="1">
        <v>43382</v>
      </c>
      <c r="AM238" s="23" cm="1">
        <f t="array" aca="1" ref="AM238" ca="1">INDIRECT("'"&amp;$B28&amp;"'!"&amp;(D$5&amp;$P$40))</f>
        <v>1844715.236543</v>
      </c>
      <c r="AN238" s="23" cm="1">
        <f t="array" aca="1" ref="AN238" ca="1">INDIRECT("'"&amp;$B28&amp;"'!"&amp;(E$5&amp;$P$40))</f>
        <v>5595570.9072749997</v>
      </c>
      <c r="AO238" s="23" cm="1">
        <f t="array" aca="1" ref="AO238" ca="1">INDIRECT("'"&amp;$B28&amp;"'!"&amp;(F$5&amp;$P$40))</f>
        <v>340.395309</v>
      </c>
      <c r="AP238" s="21">
        <f ca="1">SQRT(((AM238-AM239)^2)+((AN238-AN239)^2))</f>
        <v>8.5655774252512848E-2</v>
      </c>
      <c r="AQ238" s="21" cm="1">
        <f t="array" aca="1" ref="AQ238" ca="1">INDIRECT("'"&amp;AK238&amp;"'!"&amp;$H$5&amp;$P$40)+0.01</f>
        <v>3.3595E-2</v>
      </c>
      <c r="AR238" s="23">
        <f ca="1">AO238-AO239</f>
        <v>-1.557100000002265E-2</v>
      </c>
      <c r="AS238" s="7">
        <f t="shared" ref="AS238" ca="1" si="305">SQRT((AP238^2)+(AR238^2))</f>
        <v>8.7059564114450677E-2</v>
      </c>
      <c r="AT238" s="7">
        <f ca="1">(AS238/(AL238-AL239))*31</f>
        <v>1.376962493646924E-2</v>
      </c>
      <c r="AU238" s="23">
        <f t="shared" ref="AU238" ca="1" si="306">AU239+AS238</f>
        <v>0.4188455958886691</v>
      </c>
      <c r="AV238" s="23">
        <f t="shared" ref="AV238:AV242" ca="1" si="307">AV239+AR238</f>
        <v>8.6763249999989966E-2</v>
      </c>
      <c r="BK238" s="21" t="s">
        <v>526</v>
      </c>
      <c r="BL238" s="1">
        <v>43817</v>
      </c>
      <c r="BM238" s="34" cm="1">
        <f t="array" aca="1" ref="BM238" ca="1">INDIRECT("'"&amp;$B27&amp;"'!"&amp;(D$5&amp;$P$38))</f>
        <v>1844267.6034659999</v>
      </c>
      <c r="BN238" s="34" cm="1">
        <f t="array" aca="1" ref="BN238" ca="1">INDIRECT("'"&amp;$B27&amp;"'!"&amp;(E$5&amp;$P$38))</f>
        <v>5595680.3968510004</v>
      </c>
      <c r="BO238" s="34" cm="1">
        <f t="array" aca="1" ref="BO238" ca="1">INDIRECT("'"&amp;$B27&amp;"'!"&amp;(F$5&amp;$P$38))</f>
        <v>334.234937</v>
      </c>
      <c r="BP238" s="7">
        <f ca="1">SQRT(((BM238-BM239)^2)+((BN238-BN239)^2))</f>
        <v>0.89996042035664769</v>
      </c>
      <c r="BQ238" s="7" cm="1">
        <f t="array" aca="1" ref="BQ238" ca="1">INDIRECT("'"&amp;BK238&amp;"'!"&amp;$H$5&amp;$P$38)+0.01</f>
        <v>2.9939E-2</v>
      </c>
      <c r="BR238" s="23">
        <f ca="1">BO238-BO239</f>
        <v>-0.24143199999997478</v>
      </c>
      <c r="BS238" s="7">
        <f ca="1">SQRT((BP238^2)+(BR238^2))</f>
        <v>0.93178225398024295</v>
      </c>
      <c r="BT238" s="7">
        <f ca="1">(BS238/(BL238-BL239))*31</f>
        <v>6.6402873272155244E-2</v>
      </c>
      <c r="BU238" s="23">
        <f ca="1">BU239+BS238</f>
        <v>4.5952102907853254</v>
      </c>
      <c r="BV238" s="23">
        <f ca="1">BV239+BR238</f>
        <v>-0.75660874999999805</v>
      </c>
    </row>
    <row r="239" spans="5:74" x14ac:dyDescent="0.3">
      <c r="AK239" s="22" t="s">
        <v>375</v>
      </c>
      <c r="AL239" s="1">
        <v>43186</v>
      </c>
      <c r="AM239" s="23" cm="1">
        <f t="array" aca="1" ref="AM239" ca="1">INDIRECT("'"&amp;$B29&amp;"'!"&amp;(D$5&amp;$P$40))</f>
        <v>1844715.2428939999</v>
      </c>
      <c r="AN239" s="23" cm="1">
        <f t="array" aca="1" ref="AN239" ca="1">INDIRECT("'"&amp;$B29&amp;"'!"&amp;(E$5&amp;$P$40))</f>
        <v>5595570.992695</v>
      </c>
      <c r="AO239" s="23" cm="1">
        <f t="array" aca="1" ref="AO239" ca="1">INDIRECT("'"&amp;$B29&amp;"'!"&amp;(F$5&amp;$P$40))</f>
        <v>340.41088000000002</v>
      </c>
      <c r="AP239" s="21">
        <f ca="1">SQRT(((AM239-AM242)^2)+((AN239-AN242)^2))</f>
        <v>0.12552160292320907</v>
      </c>
      <c r="AQ239" s="21" cm="1">
        <f t="array" aca="1" ref="AQ239" ca="1">INDIRECT("'"&amp;AK239&amp;"'!"&amp;$H$5&amp;$P$40)+0.01</f>
        <v>4.4152000000000004E-2</v>
      </c>
      <c r="AR239" s="23">
        <f ca="1">AO239-AO242</f>
        <v>5.3824000000020078E-2</v>
      </c>
      <c r="AS239" s="7">
        <f ca="1">SQRT((AP239^2)+(AR239^2))</f>
        <v>0.13657487241954111</v>
      </c>
      <c r="AT239" s="7">
        <f ca="1">(AS239/(AL239-AL242))*31</f>
        <v>1.1381239368295094E-2</v>
      </c>
      <c r="AU239" s="23">
        <f ca="1">AU242+AS239</f>
        <v>0.33178603177421839</v>
      </c>
      <c r="AV239" s="23">
        <f ca="1">AV242+AR239</f>
        <v>0.10233425000001262</v>
      </c>
      <c r="BK239" s="21" t="s">
        <v>373</v>
      </c>
      <c r="BL239" s="1">
        <v>43382</v>
      </c>
      <c r="BM239" s="34" cm="1">
        <f t="array" aca="1" ref="BM239" ca="1">INDIRECT("'"&amp;$B28&amp;"'!"&amp;(D$5&amp;$P$38))</f>
        <v>1844266.9703200001</v>
      </c>
      <c r="BN239" s="34" cm="1">
        <f t="array" aca="1" ref="BN239" ca="1">INDIRECT("'"&amp;$B28&amp;"'!"&amp;(E$5&amp;$P$38))</f>
        <v>5595681.0364250001</v>
      </c>
      <c r="BO239" s="34" cm="1">
        <f t="array" aca="1" ref="BO239" ca="1">INDIRECT("'"&amp;$B28&amp;"'!"&amp;(F$5&amp;$P$38))</f>
        <v>334.47636899999998</v>
      </c>
      <c r="BP239" s="7">
        <f ca="1">SQRT(((BM239-BM241)^2)+((BN239-BN241)^2))</f>
        <v>1.3973698727040371</v>
      </c>
      <c r="BQ239" s="7" cm="1">
        <f t="array" aca="1" ref="BQ239" ca="1">INDIRECT("'"&amp;BK239&amp;"'!"&amp;$H$5&amp;$P$38)+0.01</f>
        <v>3.4057999999999998E-2</v>
      </c>
      <c r="BR239" s="23">
        <f ca="1">BO239-BO241</f>
        <v>-0.18934000000001561</v>
      </c>
      <c r="BS239" s="7">
        <f t="shared" ref="BS239:BS246" ca="1" si="308">SQRT((BP239^2)+(BR239^2))</f>
        <v>1.4101390700001553</v>
      </c>
      <c r="BT239" s="7">
        <f ca="1">(BS239/(BL239-BL241))*31</f>
        <v>0.12042509964188652</v>
      </c>
      <c r="BU239" s="23">
        <f ca="1">BU241+BS239</f>
        <v>3.6634280368050822</v>
      </c>
      <c r="BV239" s="23">
        <f ca="1">BV241+BR239</f>
        <v>-0.51517675000002328</v>
      </c>
    </row>
    <row r="240" spans="5:74" x14ac:dyDescent="0.3">
      <c r="AK240" s="3" t="s">
        <v>374</v>
      </c>
      <c r="AL240" s="1"/>
      <c r="AM240" s="23"/>
      <c r="AN240" s="23"/>
      <c r="AO240" s="23"/>
      <c r="AP240" s="21"/>
      <c r="AQ240" s="21"/>
      <c r="AR240" s="23"/>
      <c r="AS240" s="7"/>
      <c r="AT240" s="7"/>
      <c r="AU240" s="23"/>
      <c r="AV240" s="23"/>
      <c r="BK240" s="21" t="s">
        <v>375</v>
      </c>
      <c r="BL240" s="1"/>
      <c r="BM240" s="34"/>
      <c r="BN240" s="34"/>
      <c r="BO240" s="34"/>
      <c r="BP240" s="7"/>
      <c r="BR240" s="23"/>
      <c r="BS240" s="7"/>
      <c r="BT240" s="7"/>
      <c r="BU240" s="23"/>
      <c r="BV240" s="23"/>
    </row>
    <row r="241" spans="37:74" x14ac:dyDescent="0.3">
      <c r="AK241" s="3" t="s">
        <v>376</v>
      </c>
      <c r="AL241" s="1"/>
      <c r="AM241" s="23"/>
      <c r="AN241" s="23"/>
      <c r="AO241" s="23"/>
      <c r="AP241" s="21"/>
      <c r="AQ241" s="21"/>
      <c r="AR241" s="23"/>
      <c r="AS241" s="7"/>
      <c r="AT241" s="7"/>
      <c r="AU241" s="23"/>
      <c r="AV241" s="23"/>
      <c r="BK241" s="21" t="s">
        <v>374</v>
      </c>
      <c r="BL241" s="1">
        <v>43019</v>
      </c>
      <c r="BM241" s="34" cm="1">
        <f t="array" aca="1" ref="BM241" ca="1">INDIRECT("'"&amp;$B30&amp;"'!"&amp;(D$5&amp;$P$38))</f>
        <v>1844265.9264169999</v>
      </c>
      <c r="BN241" s="34" cm="1">
        <f t="array" aca="1" ref="BN241" ca="1">INDIRECT("'"&amp;$B30&amp;"'!"&amp;(E$5&amp;$P$38))</f>
        <v>5595681.9653540002</v>
      </c>
      <c r="BO241" s="34" cm="1">
        <f t="array" aca="1" ref="BO241" ca="1">INDIRECT("'"&amp;$B30&amp;"'!"&amp;(F$5&amp;$P$38))</f>
        <v>334.66570899999999</v>
      </c>
      <c r="BP241" s="7">
        <f t="shared" ref="BP241:BP243" ca="1" si="309">SQRT(((BM241-BM242)^2)+((BN241-BN242)^2))</f>
        <v>0.58801913102592429</v>
      </c>
      <c r="BQ241" s="7" cm="1">
        <f t="array" aca="1" ref="BQ241" ca="1">INDIRECT("'"&amp;BK241&amp;"'!"&amp;$H$5&amp;$P$38)+0.01</f>
        <v>3.9690999999999997E-2</v>
      </c>
      <c r="BR241" s="23">
        <f t="shared" ref="BR241:BR243" ca="1" si="310">BO241-BO242</f>
        <v>-0.11067100000002483</v>
      </c>
      <c r="BS241" s="7">
        <f t="shared" ca="1" si="308"/>
        <v>0.59834318638511175</v>
      </c>
      <c r="BT241" s="7">
        <f ca="1">(BS241/(BL241-BL242))*31</f>
        <v>0.17835229594171598</v>
      </c>
      <c r="BU241" s="23">
        <f t="shared" ref="BU241:BU243" ca="1" si="311">BU242+BS241</f>
        <v>2.2532889668049267</v>
      </c>
      <c r="BV241" s="23">
        <f t="shared" ref="BV241:BV243" ca="1" si="312">BV242+BR241</f>
        <v>-0.32583675000000767</v>
      </c>
    </row>
    <row r="242" spans="37:74" x14ac:dyDescent="0.3">
      <c r="AK242" s="3" t="s">
        <v>377</v>
      </c>
      <c r="AL242" s="1">
        <v>42814</v>
      </c>
      <c r="AM242" s="23" cm="1">
        <f t="array" aca="1" ref="AM242" ca="1">INDIRECT("'"&amp;$B32&amp;"'!"&amp;(D$5&amp;$P$40))</f>
        <v>1844715.232542</v>
      </c>
      <c r="AN242" s="23" cm="1">
        <f t="array" aca="1" ref="AN242" ca="1">INDIRECT("'"&amp;$B32&amp;"'!"&amp;(E$5&amp;$P$40))</f>
        <v>5595571.1177890003</v>
      </c>
      <c r="AO242" s="23" cm="1">
        <f t="array" aca="1" ref="AO242" ca="1">INDIRECT("'"&amp;$B32&amp;"'!"&amp;(F$5&amp;$P$40))</f>
        <v>340.357056</v>
      </c>
      <c r="AP242" s="21">
        <f t="shared" ref="AP242" ca="1" si="313">SQRT(((AM242-AM243)^2)+((AN242-AN243)^2))</f>
        <v>2.4724695984403432E-2</v>
      </c>
      <c r="AQ242" s="21" cm="1">
        <f t="array" aca="1" ref="AQ242" ca="1">INDIRECT("'"&amp;AK242&amp;"'!"&amp;$H$5&amp;$P$40)+0.01</f>
        <v>2.9524000000000002E-2</v>
      </c>
      <c r="AR242" s="23">
        <f t="shared" ref="AR242" ca="1" si="314">AO242-AO243</f>
        <v>2.6808000000016818E-2</v>
      </c>
      <c r="AS242" s="7">
        <f t="shared" ref="AS242:AS247" ca="1" si="315">SQRT((AP242^2)+(AR242^2))</f>
        <v>3.6468883387376652E-2</v>
      </c>
      <c r="AT242" s="7">
        <f ca="1">(AS242/(AL242-AL243))*31</f>
        <v>1.1776410260507044E-2</v>
      </c>
      <c r="AU242" s="23">
        <f t="shared" ref="AU242" ca="1" si="316">AU243+AS242</f>
        <v>0.19521115935467731</v>
      </c>
      <c r="AV242" s="23">
        <f t="shared" ca="1" si="307"/>
        <v>4.8510249999992539E-2</v>
      </c>
      <c r="BK242" s="21" t="s">
        <v>376</v>
      </c>
      <c r="BL242" s="1">
        <v>42915</v>
      </c>
      <c r="BM242" s="34" cm="1">
        <f t="array" aca="1" ref="BM242" ca="1">INDIRECT("'"&amp;$B31&amp;"'!"&amp;(D$5&amp;$P$38))</f>
        <v>1844265.5111370001</v>
      </c>
      <c r="BN242" s="34" cm="1">
        <f t="array" aca="1" ref="BN242" ca="1">INDIRECT("'"&amp;$B31&amp;"'!"&amp;(E$5&amp;$P$38))</f>
        <v>5595682.3816579999</v>
      </c>
      <c r="BO242" s="34" cm="1">
        <f t="array" aca="1" ref="BO242" ca="1">INDIRECT("'"&amp;$B31&amp;"'!"&amp;(F$5&amp;$P$38))</f>
        <v>334.77638000000002</v>
      </c>
      <c r="BP242" s="7">
        <f t="shared" ca="1" si="309"/>
        <v>0.22412886376948926</v>
      </c>
      <c r="BQ242" s="7" cm="1">
        <f t="array" aca="1" ref="BQ242" ca="1">INDIRECT("'"&amp;BK242&amp;"'!"&amp;$H$5&amp;$P$38)+0.01</f>
        <v>4.6421000000000004E-2</v>
      </c>
      <c r="BR242" s="23">
        <f t="shared" ca="1" si="310"/>
        <v>-4.2196999999987383E-2</v>
      </c>
      <c r="BS242" s="7">
        <f t="shared" ca="1" si="308"/>
        <v>0.22806651306932638</v>
      </c>
      <c r="BT242" s="7">
        <f ca="1">(BS242/(BL242-BL243))*31</f>
        <v>7.0000612922268488E-2</v>
      </c>
      <c r="BU242" s="23">
        <f t="shared" ca="1" si="311"/>
        <v>1.6549457804198149</v>
      </c>
      <c r="BV242" s="23">
        <f t="shared" ca="1" si="312"/>
        <v>-0.21516574999998284</v>
      </c>
    </row>
    <row r="243" spans="37:74" x14ac:dyDescent="0.3">
      <c r="AK243" s="3" t="s">
        <v>378</v>
      </c>
      <c r="AL243" s="1">
        <v>42718</v>
      </c>
      <c r="AM243" s="23" cm="1">
        <f t="array" aca="1" ref="AM243" ca="1">INDIRECT("'"&amp;$B33&amp;"'!"&amp;(D$5&amp;$P$40))</f>
        <v>1844715.255132</v>
      </c>
      <c r="AN243" s="23" cm="1">
        <f t="array" aca="1" ref="AN243" ca="1">INDIRECT("'"&amp;$B33&amp;"'!"&amp;(E$5&amp;$P$40))</f>
        <v>5595571.127839</v>
      </c>
      <c r="AO243" s="23" cm="1">
        <f t="array" aca="1" ref="AO243" ca="1">INDIRECT("'"&amp;$B33&amp;"'!"&amp;(F$5&amp;$P$40))</f>
        <v>340.33024799999998</v>
      </c>
      <c r="AP243" s="21">
        <f ca="1">SQRT(((AM243-AM245)^2)+((AN243-AN245)^2))</f>
        <v>6.931370772474392E-2</v>
      </c>
      <c r="AQ243" s="21" cm="1">
        <f t="array" aca="1" ref="AQ243" ca="1">INDIRECT("'"&amp;AK243&amp;"'!"&amp;$H$5&amp;$P$40)+0.01</f>
        <v>3.5032000000000001E-2</v>
      </c>
      <c r="AR243" s="23">
        <f ca="1">AO243-AO245</f>
        <v>1.9470999999953165E-2</v>
      </c>
      <c r="AS243" s="7">
        <f ca="1">SQRT((AP243^2)+(AR243^2))</f>
        <v>7.1996596583098302E-2</v>
      </c>
      <c r="AT243" s="7">
        <f ca="1">(AS243/(AL243-AL245))*31</f>
        <v>1.430701598766697E-2</v>
      </c>
      <c r="AU243" s="23">
        <f ca="1">AU245+AS243</f>
        <v>0.15874227596730067</v>
      </c>
      <c r="AV243" s="23">
        <f ca="1">AV245+AR243</f>
        <v>2.170224999997572E-2</v>
      </c>
      <c r="BK243" s="21" t="s">
        <v>377</v>
      </c>
      <c r="BL243" s="1">
        <v>42814</v>
      </c>
      <c r="BM243" s="34" cm="1">
        <f t="array" aca="1" ref="BM243" ca="1">INDIRECT("'"&amp;$B32&amp;"'!"&amp;(D$5&amp;$P$38))</f>
        <v>1844265.364457</v>
      </c>
      <c r="BN243" s="34" cm="1">
        <f t="array" aca="1" ref="BN243" ca="1">INDIRECT("'"&amp;$B32&amp;"'!"&amp;(E$5&amp;$P$38))</f>
        <v>5595682.551124</v>
      </c>
      <c r="BO243" s="34" cm="1">
        <f t="array" aca="1" ref="BO243" ca="1">INDIRECT("'"&amp;$B32&amp;"'!"&amp;(F$5&amp;$P$38))</f>
        <v>334.818577</v>
      </c>
      <c r="BP243" s="7">
        <f t="shared" ca="1" si="309"/>
        <v>8.2937591650346712E-2</v>
      </c>
      <c r="BQ243" s="7" cm="1">
        <f t="array" aca="1" ref="BQ243" ca="1">INDIRECT("'"&amp;BK243&amp;"'!"&amp;$H$5&amp;$P$38)+0.01</f>
        <v>0.114924</v>
      </c>
      <c r="BR243" s="23">
        <f t="shared" ca="1" si="310"/>
        <v>6.4659999999889806E-3</v>
      </c>
      <c r="BS243" s="7">
        <f t="shared" ca="1" si="308"/>
        <v>8.3189261715437279E-2</v>
      </c>
      <c r="BT243" s="7">
        <f ca="1">(BS243/(BL243-BL244))*31</f>
        <v>2.6863199095609955E-2</v>
      </c>
      <c r="BU243" s="23">
        <f t="shared" ca="1" si="311"/>
        <v>1.4268792673504884</v>
      </c>
      <c r="BV243" s="23">
        <f t="shared" ca="1" si="312"/>
        <v>-0.17296874999999545</v>
      </c>
    </row>
    <row r="244" spans="37:74" x14ac:dyDescent="0.3">
      <c r="AK244" s="3" t="s">
        <v>379</v>
      </c>
      <c r="AL244" s="1"/>
      <c r="AM244" s="23"/>
      <c r="AN244" s="23"/>
      <c r="AO244" s="23"/>
      <c r="AP244" s="21"/>
      <c r="AQ244" s="21"/>
      <c r="AR244" s="23"/>
      <c r="AS244" s="7"/>
      <c r="AT244" s="7"/>
      <c r="AU244" s="23"/>
      <c r="AV244" s="23"/>
      <c r="BK244" s="21" t="s">
        <v>378</v>
      </c>
      <c r="BL244" s="1">
        <v>42718</v>
      </c>
      <c r="BM244" s="34" cm="1">
        <f t="array" aca="1" ref="BM244" ca="1">INDIRECT("'"&amp;$B33&amp;"'!"&amp;(D$5&amp;$P$38))</f>
        <v>1844265.285836</v>
      </c>
      <c r="BN244" s="34" cm="1">
        <f t="array" aca="1" ref="BN244" ca="1">INDIRECT("'"&amp;$B33&amp;"'!"&amp;(E$5&amp;$P$38))</f>
        <v>5595682.5775319999</v>
      </c>
      <c r="BO244" s="34" cm="1">
        <f t="array" aca="1" ref="BO244" ca="1">INDIRECT("'"&amp;$B33&amp;"'!"&amp;(F$5&amp;$P$38))</f>
        <v>334.81211100000002</v>
      </c>
      <c r="BP244" s="7">
        <f ca="1">SQRT(((BM244-BM246)^2)+((BN244-BN246)^2))</f>
        <v>0.56871670144597908</v>
      </c>
      <c r="BQ244" s="7" cm="1">
        <f t="array" aca="1" ref="BQ244" ca="1">INDIRECT("'"&amp;BK244&amp;"'!"&amp;$H$5&amp;$P$38)+0.01</f>
        <v>3.8161E-2</v>
      </c>
      <c r="BR244" s="23">
        <f ca="1">BO244-BO246</f>
        <v>-4.6783000000004904E-2</v>
      </c>
      <c r="BS244" s="7">
        <f ca="1">SQRT((BP244^2)+(BR244^2))</f>
        <v>0.57063765700538494</v>
      </c>
      <c r="BT244" s="7">
        <f ca="1">(BS244/(BL244-BL246))*31</f>
        <v>0.11339594466132649</v>
      </c>
      <c r="BU244" s="23">
        <f ca="1">BU246+BS244</f>
        <v>1.3436900056350511</v>
      </c>
      <c r="BV244" s="23">
        <f ca="1">BV246+BR244</f>
        <v>-0.17943474999998443</v>
      </c>
    </row>
    <row r="245" spans="37:74" x14ac:dyDescent="0.3">
      <c r="AK245" s="3" t="s">
        <v>380</v>
      </c>
      <c r="AL245" s="1">
        <v>42562</v>
      </c>
      <c r="AM245" s="23" cm="1">
        <f t="array" aca="1" ref="AM245" ca="1">INDIRECT("'"&amp;$B35&amp;"'!"&amp;(D$5&amp;$P$40))</f>
        <v>1844715.2336200001</v>
      </c>
      <c r="AN245" s="23" cm="1">
        <f t="array" aca="1" ref="AN245" ca="1">INDIRECT("'"&amp;$B35&amp;"'!"&amp;(E$5&amp;$P$40))</f>
        <v>5595571.1937300004</v>
      </c>
      <c r="AO245" s="23" cm="1">
        <f t="array" aca="1" ref="AO245" ca="1">INDIRECT("'"&amp;$B35&amp;"'!"&amp;(F$5&amp;$P$40))</f>
        <v>340.31077700000003</v>
      </c>
      <c r="AP245" s="21">
        <f ca="1">SQRT(((AM245-AM247)^2)+((AN245-AN247)^2))</f>
        <v>5.2947580253504982E-2</v>
      </c>
      <c r="AQ245" s="21" cm="1">
        <f t="array" aca="1" ref="AQ245" ca="1">INDIRECT("'"&amp;AK245&amp;"'!"&amp;$H$5&amp;$P$40)+0.01</f>
        <v>2.1049999999999999E-2</v>
      </c>
      <c r="AR245" s="23">
        <f ca="1">AO245-AO247</f>
        <v>2.4204750000023978E-2</v>
      </c>
      <c r="AS245" s="7">
        <f t="shared" ca="1" si="315"/>
        <v>5.8217833842088382E-2</v>
      </c>
      <c r="AT245" s="7">
        <f ca="1">(AS245/(AL245-AL247))*31</f>
        <v>8.3168334060126255E-3</v>
      </c>
      <c r="AU245" s="23">
        <f ca="1">AU247+AS245</f>
        <v>8.674567938420237E-2</v>
      </c>
      <c r="AV245" s="23">
        <f ca="1">AV247+AR245</f>
        <v>2.2312500000225555E-3</v>
      </c>
      <c r="BK245" s="21" t="s">
        <v>379</v>
      </c>
      <c r="BL245" s="1"/>
      <c r="BM245" s="34"/>
      <c r="BN245" s="34"/>
      <c r="BO245" s="34"/>
      <c r="BP245" s="7"/>
      <c r="BR245" s="23"/>
      <c r="BS245" s="7"/>
      <c r="BT245" s="7"/>
      <c r="BU245" s="23"/>
      <c r="BV245" s="23"/>
    </row>
    <row r="246" spans="37:74" x14ac:dyDescent="0.3">
      <c r="AK246" s="3" t="s">
        <v>381</v>
      </c>
      <c r="AL246" s="1"/>
      <c r="AM246" s="23"/>
      <c r="AN246" s="23"/>
      <c r="AO246" s="23"/>
      <c r="AP246" s="21"/>
      <c r="AQ246" s="21"/>
      <c r="AR246" s="23"/>
      <c r="AS246" s="7"/>
      <c r="AT246" s="7"/>
      <c r="AU246" s="23"/>
      <c r="AV246" s="23"/>
      <c r="BK246" s="21" t="s">
        <v>380</v>
      </c>
      <c r="BL246" s="1">
        <v>42562</v>
      </c>
      <c r="BM246" s="34" cm="1">
        <f t="array" aca="1" ref="BM246" ca="1">INDIRECT("'"&amp;$B35&amp;"'!"&amp;(D$5&amp;$P$38))</f>
        <v>1844264.936741</v>
      </c>
      <c r="BN246" s="34" cm="1">
        <f t="array" aca="1" ref="BN246" ca="1">INDIRECT("'"&amp;$B35&amp;"'!"&amp;(E$5&amp;$P$38))</f>
        <v>5595683.0264990004</v>
      </c>
      <c r="BO246" s="34" cm="1">
        <f t="array" aca="1" ref="BO246" ca="1">INDIRECT("'"&amp;$B35&amp;"'!"&amp;(F$5&amp;$P$38))</f>
        <v>334.85889400000002</v>
      </c>
      <c r="BP246" s="7">
        <f ca="1">SQRT(((BM246-BM250)^2)+((BN246-BN250)^2))</f>
        <v>0.76158613888632842</v>
      </c>
      <c r="BQ246" s="7" cm="1">
        <f t="array" aca="1" ref="BQ246" ca="1">INDIRECT("'"&amp;BK246&amp;"'!"&amp;$H$5&amp;$P$38)+0.01</f>
        <v>5.3024000000000002E-2</v>
      </c>
      <c r="BR246" s="23">
        <f ca="1">BO246-BO250</f>
        <v>-0.13265174999997953</v>
      </c>
      <c r="BS246" s="7">
        <f t="shared" ca="1" si="308"/>
        <v>0.77305234862966621</v>
      </c>
      <c r="BT246" s="7">
        <f ca="1">(BS246/(BL246-BL250))*31</f>
        <v>6.407653157090816E-2</v>
      </c>
      <c r="BU246" s="23">
        <f ca="1">BU250+BS246</f>
        <v>0.77305234862966621</v>
      </c>
      <c r="BV246" s="23">
        <f ca="1">BV250+BR246</f>
        <v>-0.13265174999997953</v>
      </c>
    </row>
    <row r="247" spans="37:74" x14ac:dyDescent="0.3">
      <c r="AK247" s="3" t="s">
        <v>382</v>
      </c>
      <c r="AL247" s="1">
        <v>42345</v>
      </c>
      <c r="AM247" s="23" cm="1">
        <f t="array" aca="1" ref="AM247" ca="1">INDIRECT("'"&amp;$B37&amp;"'!"&amp;(D$5&amp;$P$40))</f>
        <v>1844715.2516960001</v>
      </c>
      <c r="AN247" s="23" cm="1">
        <f t="array" aca="1" ref="AN247" ca="1">INDIRECT("'"&amp;$B37&amp;"'!"&amp;(E$5&amp;$P$40))</f>
        <v>5595571.2434965</v>
      </c>
      <c r="AO247" s="23" cm="1">
        <f t="array" aca="1" ref="AO247" ca="1">INDIRECT("'"&amp;$B37&amp;"'!"&amp;(F$5&amp;$P$40))</f>
        <v>340.28657225000001</v>
      </c>
      <c r="AP247" s="21">
        <f ca="1">SQRT(((AM247-AM249)^2)+((AN247-AN249)^2))</f>
        <v>1.8193495239360976E-2</v>
      </c>
      <c r="AQ247" s="21" cm="1">
        <f t="array" aca="1" ref="AQ247" ca="1">INDIRECT("'"&amp;AK247&amp;"'!"&amp;$H$5&amp;$P$40)+0.01</f>
        <v>1.8000000000000002E-2</v>
      </c>
      <c r="AR247" s="23">
        <f ca="1">AO247-AO249</f>
        <v>-2.1973500000001422E-2</v>
      </c>
      <c r="AS247" s="7">
        <f t="shared" ca="1" si="315"/>
        <v>2.8527845542113989E-2</v>
      </c>
      <c r="AT247" s="7">
        <f ca="1">(AS247/(AL247-AL249))*31</f>
        <v>5.6328866993983042E-3</v>
      </c>
      <c r="AU247" s="23">
        <f ca="1">AU249+AS247</f>
        <v>2.8527845542113989E-2</v>
      </c>
      <c r="AV247" s="23">
        <f ca="1">AV249+AR247</f>
        <v>-2.1973500000001422E-2</v>
      </c>
      <c r="BK247" s="21" t="s">
        <v>381</v>
      </c>
      <c r="BL247" s="1"/>
      <c r="BM247" s="34"/>
      <c r="BN247" s="34"/>
      <c r="BO247" s="34"/>
      <c r="BP247" s="7"/>
      <c r="BR247" s="23"/>
      <c r="BS247" s="7"/>
      <c r="BT247" s="7"/>
      <c r="BU247" s="23"/>
      <c r="BV247" s="23"/>
    </row>
    <row r="248" spans="37:74" x14ac:dyDescent="0.3">
      <c r="AK248" s="3" t="s">
        <v>383</v>
      </c>
      <c r="AL248" s="1"/>
      <c r="AM248" s="23"/>
      <c r="AN248" s="23"/>
      <c r="AO248" s="23"/>
      <c r="AP248" s="21"/>
      <c r="AQ248" s="21"/>
      <c r="AR248" s="23"/>
      <c r="AS248" s="7"/>
      <c r="AT248" s="7"/>
      <c r="AU248" s="23"/>
      <c r="AV248" s="23"/>
      <c r="BK248" s="21" t="s">
        <v>382</v>
      </c>
      <c r="BL248" s="1"/>
      <c r="BM248" s="34"/>
      <c r="BN248" s="34"/>
      <c r="BO248" s="34"/>
      <c r="BP248" s="7"/>
      <c r="BR248" s="23"/>
      <c r="BS248" s="7"/>
      <c r="BT248" s="7"/>
      <c r="BU248" s="23"/>
      <c r="BV248" s="23"/>
    </row>
    <row r="249" spans="37:74" x14ac:dyDescent="0.3">
      <c r="AK249" s="3" t="s">
        <v>384</v>
      </c>
      <c r="AL249" s="1">
        <v>42188</v>
      </c>
      <c r="AM249" s="23" cm="1">
        <f t="array" aca="1" ref="AM249" ca="1">INDIRECT("'"&amp;$B39&amp;"'!"&amp;(D$5&amp;$P$40))</f>
        <v>1844715.24783</v>
      </c>
      <c r="AN249" s="23" cm="1">
        <f t="array" aca="1" ref="AN249" ca="1">INDIRECT("'"&amp;$B39&amp;"'!"&amp;(E$5&amp;$P$40))</f>
        <v>5595571.2612745008</v>
      </c>
      <c r="AO249" s="23" cm="1">
        <f t="array" aca="1" ref="AO249" ca="1">INDIRECT("'"&amp;$B39&amp;"'!"&amp;(F$5&amp;$P$40))</f>
        <v>340.30854575000001</v>
      </c>
      <c r="AP249" s="21"/>
      <c r="AQ249" s="21"/>
      <c r="AR249" s="23"/>
      <c r="AS249" s="7"/>
      <c r="AT249" s="7"/>
      <c r="AU249" s="10"/>
      <c r="AV249" s="21">
        <v>0</v>
      </c>
      <c r="BK249" s="21" t="s">
        <v>383</v>
      </c>
      <c r="BL249" s="1"/>
      <c r="BM249" s="34"/>
      <c r="BN249" s="34"/>
      <c r="BO249" s="34"/>
      <c r="BP249" s="7"/>
      <c r="BR249" s="23"/>
      <c r="BS249" s="7"/>
      <c r="BT249" s="7"/>
      <c r="BU249" s="23"/>
      <c r="BV249" s="23"/>
    </row>
    <row r="250" spans="37:74" x14ac:dyDescent="0.3">
      <c r="AL250" s="1"/>
      <c r="BK250" s="21" t="s">
        <v>384</v>
      </c>
      <c r="BL250" s="1">
        <v>42188</v>
      </c>
      <c r="BM250" s="34" cm="1">
        <f t="array" aca="1" ref="BM250" ca="1">INDIRECT("'"&amp;$B39&amp;"'!"&amp;(D$5&amp;$P$38))</f>
        <v>1844264.4598300001</v>
      </c>
      <c r="BN250" s="34" cm="1">
        <f t="array" aca="1" ref="BN250" ca="1">INDIRECT("'"&amp;$B39&amp;"'!"&amp;(E$5&amp;$P$38))</f>
        <v>5595683.6202745009</v>
      </c>
      <c r="BO250" s="34" cm="1">
        <f t="array" aca="1" ref="BO250" ca="1">INDIRECT("'"&amp;$B39&amp;"'!"&amp;(F$5&amp;$P$38))</f>
        <v>334.99154575</v>
      </c>
      <c r="BP250" s="7"/>
      <c r="BQ250" s="7" cm="1">
        <f t="array" aca="1" ref="BQ250" ca="1">INDIRECT("'"&amp;BK250&amp;"'!"&amp;$H$5&amp;$P$38)+0.01</f>
        <v>2.4E-2</v>
      </c>
      <c r="BR250" s="21"/>
      <c r="BS250" s="21"/>
      <c r="BT250" s="21"/>
      <c r="BU250" s="21">
        <v>0</v>
      </c>
      <c r="BV250" s="21">
        <v>0</v>
      </c>
    </row>
    <row r="251" spans="37:74" x14ac:dyDescent="0.3">
      <c r="AL251" s="1"/>
    </row>
    <row r="252" spans="37:74" x14ac:dyDescent="0.3">
      <c r="AL252" s="1"/>
    </row>
    <row r="253" spans="37:74" x14ac:dyDescent="0.3">
      <c r="AL253" s="1"/>
    </row>
    <row r="254" spans="37:74" x14ac:dyDescent="0.3">
      <c r="AL254" s="1"/>
      <c r="BK254" s="21" t="s">
        <v>602</v>
      </c>
      <c r="BL254" s="1"/>
      <c r="BM254" s="21" t="s">
        <v>541</v>
      </c>
      <c r="BN254" s="21" t="s">
        <v>542</v>
      </c>
      <c r="BO254" s="21" t="s">
        <v>543</v>
      </c>
      <c r="BP254" s="7" t="s">
        <v>427</v>
      </c>
      <c r="BQ254" s="7" t="s">
        <v>525</v>
      </c>
      <c r="BR254" s="21" t="s">
        <v>428</v>
      </c>
      <c r="BS254" s="21" t="s">
        <v>429</v>
      </c>
      <c r="BT254" s="21" t="s">
        <v>606</v>
      </c>
      <c r="BU254" s="21" t="s">
        <v>430</v>
      </c>
      <c r="BV254" s="33" t="s">
        <v>582</v>
      </c>
    </row>
    <row r="255" spans="37:74" x14ac:dyDescent="0.3">
      <c r="AL255" s="1"/>
      <c r="BK255" s="21" t="s">
        <v>526</v>
      </c>
      <c r="BL255" s="1">
        <v>43817</v>
      </c>
      <c r="BM255" s="34"/>
      <c r="BN255" s="34"/>
      <c r="BO255" s="34"/>
      <c r="BP255" s="7"/>
      <c r="BR255" s="23"/>
      <c r="BS255" s="7"/>
      <c r="BT255" s="7"/>
      <c r="BU255" s="23"/>
      <c r="BV255" s="23"/>
    </row>
    <row r="256" spans="37:74" x14ac:dyDescent="0.3">
      <c r="AL256" s="1"/>
      <c r="BK256" s="21" t="s">
        <v>373</v>
      </c>
      <c r="BL256" s="1">
        <v>43382</v>
      </c>
      <c r="BM256" s="34" cm="1">
        <f t="array" aca="1" ref="BM256" ca="1">INDIRECT("'"&amp;$B28&amp;"'!"&amp;(D$5&amp;$P$39))</f>
        <v>1844374.1977580001</v>
      </c>
      <c r="BN256" s="34" cm="1">
        <f t="array" aca="1" ref="BN256" ca="1">INDIRECT("'"&amp;$B28&amp;"'!"&amp;(E$5&amp;$P$39))</f>
        <v>5595692.2421930004</v>
      </c>
      <c r="BO256" s="34" cm="1">
        <f t="array" aca="1" ref="BO256" ca="1">INDIRECT("'"&amp;$B28&amp;"'!"&amp;(F$5&amp;$P$39))</f>
        <v>335.00513100000001</v>
      </c>
      <c r="BP256" s="7">
        <f t="shared" ref="BP256:BP259" ca="1" si="317">SQRT(((BM256-BM257)^2)+((BN256-BN257)^2))</f>
        <v>3.4284352801314864</v>
      </c>
      <c r="BQ256" s="7" cm="1">
        <f t="array" aca="1" ref="BQ256" ca="1">INDIRECT("'"&amp;BK256&amp;"'!"&amp;$H$5&amp;$P$39)+0.01</f>
        <v>4.3092000000000005E-2</v>
      </c>
      <c r="BR256" s="23">
        <f t="shared" ref="BR256:BR259" ca="1" si="318">BO256-BO257</f>
        <v>-0.15843499999999722</v>
      </c>
      <c r="BS256" s="7">
        <f t="shared" ref="BS256:BS259" ca="1" si="319">SQRT((BP256^2)+(BR256^2))</f>
        <v>3.4320941303051788</v>
      </c>
      <c r="BT256" s="7">
        <f ca="1">(BS256/(BL256-BL257))*31</f>
        <v>0.54283121448704363</v>
      </c>
      <c r="BU256" s="23">
        <f t="shared" ref="BU256:BU260" ca="1" si="320">BU257+BS256</f>
        <v>12.097955657454968</v>
      </c>
      <c r="BV256" s="23">
        <f t="shared" ref="BV256:BV260" ca="1" si="321">BV257+BR256</f>
        <v>-0.48254500000001599</v>
      </c>
    </row>
    <row r="257" spans="38:74" x14ac:dyDescent="0.3">
      <c r="AL257" s="1"/>
      <c r="BK257" s="21" t="s">
        <v>375</v>
      </c>
      <c r="BL257" s="1">
        <v>43186</v>
      </c>
      <c r="BM257" s="34" cm="1">
        <f t="array" aca="1" ref="BM257" ca="1">INDIRECT("'"&amp;$B29&amp;"'!"&amp;(D$5&amp;$P$39))</f>
        <v>1844374.2659519999</v>
      </c>
      <c r="BN257" s="34" cm="1">
        <f t="array" aca="1" ref="BN257" ca="1">INDIRECT("'"&amp;$B29&amp;"'!"&amp;(E$5&amp;$P$39))</f>
        <v>5595695.66995</v>
      </c>
      <c r="BO257" s="34" cm="1">
        <f t="array" aca="1" ref="BO257" ca="1">INDIRECT("'"&amp;$B29&amp;"'!"&amp;(F$5&amp;$P$39))</f>
        <v>335.163566</v>
      </c>
      <c r="BP257" s="7">
        <f t="shared" ca="1" si="317"/>
        <v>2.2804325567980217</v>
      </c>
      <c r="BQ257" s="7" cm="1">
        <f t="array" aca="1" ref="BQ257" ca="1">INDIRECT("'"&amp;BK257&amp;"'!"&amp;$H$5&amp;$P$39)+0.01</f>
        <v>3.9764000000000001E-2</v>
      </c>
      <c r="BR257" s="23">
        <f t="shared" ca="1" si="318"/>
        <v>-8.4287000000017542E-2</v>
      </c>
      <c r="BS257" s="7">
        <f t="shared" ca="1" si="319"/>
        <v>2.2819896898262635</v>
      </c>
      <c r="BT257" s="7">
        <f ca="1">(BS257/(BL257-BL258))*31</f>
        <v>0.42360287655457585</v>
      </c>
      <c r="BU257" s="23">
        <f t="shared" ca="1" si="320"/>
        <v>8.6658615271497883</v>
      </c>
      <c r="BV257" s="23">
        <f t="shared" ca="1" si="321"/>
        <v>-0.32411000000001877</v>
      </c>
    </row>
    <row r="258" spans="38:74" x14ac:dyDescent="0.3">
      <c r="AL258" s="1"/>
      <c r="BK258" s="21" t="s">
        <v>374</v>
      </c>
      <c r="BL258" s="1">
        <v>43019</v>
      </c>
      <c r="BM258" s="34" cm="1">
        <f t="array" aca="1" ref="BM258" ca="1">INDIRECT("'"&amp;$B30&amp;"'!"&amp;(D$5&amp;$P$39))</f>
        <v>1844374.3368240001</v>
      </c>
      <c r="BN258" s="34" cm="1">
        <f t="array" aca="1" ref="BN258" ca="1">INDIRECT("'"&amp;$B30&amp;"'!"&amp;(E$5&amp;$P$39))</f>
        <v>5595697.9492809996</v>
      </c>
      <c r="BO258" s="34" cm="1">
        <f t="array" aca="1" ref="BO258" ca="1">INDIRECT("'"&amp;$B30&amp;"'!"&amp;(F$5&amp;$P$39))</f>
        <v>335.24785300000002</v>
      </c>
      <c r="BP258" s="7">
        <f t="shared" ca="1" si="317"/>
        <v>2.8330559274830316</v>
      </c>
      <c r="BQ258" s="7" cm="1">
        <f t="array" aca="1" ref="BQ258" ca="1">INDIRECT("'"&amp;BK258&amp;"'!"&amp;$H$5&amp;$P$39)+0.01</f>
        <v>3.1018999999999998E-2</v>
      </c>
      <c r="BR258" s="23">
        <f t="shared" ca="1" si="318"/>
        <v>-2.5084439999999972</v>
      </c>
      <c r="BS258" s="7">
        <f t="shared" ca="1" si="319"/>
        <v>3.7839790154522168</v>
      </c>
      <c r="BT258" s="7">
        <f ca="1">(BS258/(BL258-BL259))*31</f>
        <v>1.1279168219136415</v>
      </c>
      <c r="BU258" s="23">
        <f t="shared" ca="1" si="320"/>
        <v>6.3838718373235253</v>
      </c>
      <c r="BV258" s="23">
        <f t="shared" ca="1" si="321"/>
        <v>-0.23982300000000123</v>
      </c>
    </row>
    <row r="259" spans="38:74" x14ac:dyDescent="0.3">
      <c r="AL259" s="1"/>
      <c r="BK259" s="21" t="s">
        <v>376</v>
      </c>
      <c r="BL259" s="1">
        <v>42915</v>
      </c>
      <c r="BM259" s="34" cm="1">
        <f t="array" aca="1" ref="BM259" ca="1">INDIRECT("'"&amp;$B31&amp;"'!"&amp;(D$5&amp;$P$39))</f>
        <v>1844374.033052</v>
      </c>
      <c r="BN259" s="34" cm="1">
        <f t="array" aca="1" ref="BN259" ca="1">INDIRECT("'"&amp;$B31&amp;"'!"&amp;(E$5&amp;$P$39))</f>
        <v>5595700.7660039999</v>
      </c>
      <c r="BO259" s="34" cm="1">
        <f t="array" aca="1" ref="BO259" ca="1">INDIRECT("'"&amp;$B31&amp;"'!"&amp;(F$5&amp;$P$39))</f>
        <v>337.75629700000002</v>
      </c>
      <c r="BP259" s="7">
        <f t="shared" ca="1" si="317"/>
        <v>1.2699611976658876</v>
      </c>
      <c r="BQ259" s="7" cm="1">
        <f t="array" aca="1" ref="BQ259" ca="1">INDIRECT("'"&amp;BK259&amp;"'!"&amp;$H$5&amp;$P$39)+0.01</f>
        <v>0.01</v>
      </c>
      <c r="BR259" s="23">
        <f t="shared" ca="1" si="318"/>
        <v>2.268620999999996</v>
      </c>
      <c r="BS259" s="7">
        <f t="shared" ca="1" si="319"/>
        <v>2.5998928218713089</v>
      </c>
      <c r="BT259" s="7">
        <f ca="1">(BS259/(BL259-BL260))*31</f>
        <v>0.79798690572287689</v>
      </c>
      <c r="BU259" s="23">
        <f t="shared" ca="1" si="320"/>
        <v>2.5998928218713089</v>
      </c>
      <c r="BV259" s="23">
        <f t="shared" ca="1" si="321"/>
        <v>2.268620999999996</v>
      </c>
    </row>
    <row r="260" spans="38:74" x14ac:dyDescent="0.3">
      <c r="AL260" s="1"/>
      <c r="BK260" s="21" t="s">
        <v>377</v>
      </c>
      <c r="BL260" s="1">
        <v>42814</v>
      </c>
      <c r="BM260" s="34" cm="1">
        <f t="array" aca="1" ref="BM260" ca="1">INDIRECT("'"&amp;$B32&amp;"'!"&amp;(D$5&amp;$P$39))</f>
        <v>1844374.474221</v>
      </c>
      <c r="BN260" s="34" cm="1">
        <f t="array" aca="1" ref="BN260" ca="1">INDIRECT("'"&amp;$B32&amp;"'!"&amp;(E$5&amp;$P$39))</f>
        <v>5595701.9568739999</v>
      </c>
      <c r="BO260" s="34" cm="1">
        <f t="array" aca="1" ref="BO260" ca="1">INDIRECT("'"&amp;$B32&amp;"'!"&amp;(F$5&amp;$P$39))</f>
        <v>335.48767600000002</v>
      </c>
      <c r="BP260" s="7"/>
      <c r="BR260" s="23"/>
      <c r="BS260" s="7"/>
      <c r="BT260" s="7"/>
      <c r="BU260" s="23">
        <f t="shared" si="320"/>
        <v>0</v>
      </c>
      <c r="BV260" s="23">
        <f t="shared" si="321"/>
        <v>0</v>
      </c>
    </row>
    <row r="261" spans="38:74" x14ac:dyDescent="0.3">
      <c r="AL261" s="1"/>
      <c r="BK261" s="21" t="s">
        <v>378</v>
      </c>
      <c r="BL261" s="1">
        <v>42718</v>
      </c>
      <c r="BM261" s="34"/>
      <c r="BN261" s="34"/>
      <c r="BO261" s="34"/>
      <c r="BP261" s="7"/>
      <c r="BR261" s="23"/>
      <c r="BS261" s="7"/>
      <c r="BT261" s="7"/>
      <c r="BU261" s="23"/>
      <c r="BV261" s="23"/>
    </row>
    <row r="262" spans="38:74" x14ac:dyDescent="0.3">
      <c r="AL262" s="1"/>
      <c r="BK262" s="21" t="s">
        <v>379</v>
      </c>
      <c r="BL262" s="1">
        <v>42666</v>
      </c>
      <c r="BM262" s="34"/>
      <c r="BN262" s="34"/>
      <c r="BO262" s="34"/>
      <c r="BP262" s="7"/>
      <c r="BR262" s="23"/>
      <c r="BS262" s="7"/>
      <c r="BT262" s="7"/>
      <c r="BU262" s="23"/>
      <c r="BV262" s="23"/>
    </row>
    <row r="263" spans="38:74" x14ac:dyDescent="0.3">
      <c r="AL263" s="1"/>
      <c r="BK263" s="21" t="s">
        <v>380</v>
      </c>
      <c r="BL263" s="1">
        <v>42562</v>
      </c>
      <c r="BM263" s="34"/>
      <c r="BN263" s="34"/>
      <c r="BO263" s="34"/>
      <c r="BP263" s="7"/>
      <c r="BR263" s="23"/>
      <c r="BS263" s="7"/>
      <c r="BT263" s="7"/>
      <c r="BU263" s="23"/>
      <c r="BV263" s="23"/>
    </row>
    <row r="264" spans="38:74" x14ac:dyDescent="0.3">
      <c r="AL264" s="1"/>
      <c r="BK264" s="21" t="s">
        <v>381</v>
      </c>
      <c r="BL264" s="1">
        <v>42446</v>
      </c>
      <c r="BM264" s="34"/>
      <c r="BN264" s="34"/>
      <c r="BO264" s="34"/>
      <c r="BP264" s="7"/>
      <c r="BR264" s="23"/>
      <c r="BS264" s="7"/>
      <c r="BT264" s="7"/>
      <c r="BU264" s="23"/>
      <c r="BV264" s="23"/>
    </row>
    <row r="265" spans="38:74" x14ac:dyDescent="0.3">
      <c r="AL265" s="1"/>
      <c r="BK265" s="21" t="s">
        <v>382</v>
      </c>
      <c r="BL265" s="1">
        <v>42345</v>
      </c>
      <c r="BM265" s="34"/>
      <c r="BN265" s="34"/>
      <c r="BO265" s="34"/>
      <c r="BP265" s="7"/>
      <c r="BR265" s="23"/>
      <c r="BS265" s="7"/>
      <c r="BT265" s="7"/>
      <c r="BU265" s="23"/>
      <c r="BV265" s="23"/>
    </row>
    <row r="266" spans="38:74" x14ac:dyDescent="0.3">
      <c r="AL266" s="1"/>
      <c r="BK266" s="21" t="s">
        <v>383</v>
      </c>
      <c r="BL266" s="1">
        <v>42277</v>
      </c>
      <c r="BM266" s="34"/>
      <c r="BN266" s="34"/>
      <c r="BO266" s="34"/>
      <c r="BP266" s="7"/>
      <c r="BR266" s="23"/>
      <c r="BS266" s="7"/>
      <c r="BT266" s="7"/>
      <c r="BU266" s="23"/>
      <c r="BV266" s="23"/>
    </row>
    <row r="267" spans="38:74" x14ac:dyDescent="0.3">
      <c r="AL267" s="1"/>
      <c r="BK267" s="21" t="s">
        <v>384</v>
      </c>
      <c r="BL267" s="1">
        <v>42188</v>
      </c>
      <c r="BM267" s="34"/>
      <c r="BN267" s="34"/>
      <c r="BO267" s="34"/>
      <c r="BP267" s="7"/>
      <c r="BR267" s="21"/>
      <c r="BS267" s="21"/>
      <c r="BT267" s="21"/>
      <c r="BU267" s="21"/>
      <c r="BV267" s="21"/>
    </row>
    <row r="268" spans="38:74" x14ac:dyDescent="0.3">
      <c r="AL268" s="1"/>
    </row>
    <row r="269" spans="38:74" x14ac:dyDescent="0.3">
      <c r="AL269" s="1"/>
    </row>
    <row r="270" spans="38:74" x14ac:dyDescent="0.3">
      <c r="AL270" s="1"/>
    </row>
    <row r="271" spans="38:74" x14ac:dyDescent="0.3">
      <c r="AL271" s="1"/>
    </row>
    <row r="272" spans="38:74" x14ac:dyDescent="0.3">
      <c r="AL272" s="1"/>
    </row>
    <row r="273" spans="38:38" x14ac:dyDescent="0.3">
      <c r="AL273" s="1"/>
    </row>
    <row r="274" spans="38:38" x14ac:dyDescent="0.3">
      <c r="AL274" s="1"/>
    </row>
    <row r="275" spans="38:38" x14ac:dyDescent="0.3">
      <c r="AL275" s="1"/>
    </row>
    <row r="276" spans="38:38" x14ac:dyDescent="0.3">
      <c r="AL276" s="1"/>
    </row>
    <row r="277" spans="38:38" x14ac:dyDescent="0.3">
      <c r="AL277" s="1"/>
    </row>
    <row r="278" spans="38:38" x14ac:dyDescent="0.3">
      <c r="AL278" s="1"/>
    </row>
    <row r="279" spans="38:38" x14ac:dyDescent="0.3">
      <c r="AL279" s="1"/>
    </row>
    <row r="280" spans="38:38" x14ac:dyDescent="0.3">
      <c r="AL280" s="1"/>
    </row>
    <row r="281" spans="38:38" x14ac:dyDescent="0.3">
      <c r="AL281" s="1"/>
    </row>
    <row r="282" spans="38:38" x14ac:dyDescent="0.3">
      <c r="AL282" s="1"/>
    </row>
    <row r="283" spans="38:38" x14ac:dyDescent="0.3">
      <c r="AL283" s="1"/>
    </row>
    <row r="284" spans="38:38" x14ac:dyDescent="0.3">
      <c r="AL284" s="1"/>
    </row>
    <row r="285" spans="38:38" x14ac:dyDescent="0.3">
      <c r="AL285" s="1"/>
    </row>
    <row r="286" spans="38:38" x14ac:dyDescent="0.3">
      <c r="AL286" s="1"/>
    </row>
    <row r="287" spans="38:38" x14ac:dyDescent="0.3">
      <c r="AL287" s="1"/>
    </row>
    <row r="288" spans="38:38" x14ac:dyDescent="0.3">
      <c r="AL288" s="1"/>
    </row>
    <row r="289" spans="38:38" x14ac:dyDescent="0.3">
      <c r="AL289" s="1"/>
    </row>
    <row r="290" spans="38:38" x14ac:dyDescent="0.3">
      <c r="AL290" s="1"/>
    </row>
    <row r="291" spans="38:38" x14ac:dyDescent="0.3">
      <c r="AL291" s="1"/>
    </row>
    <row r="292" spans="38:38" x14ac:dyDescent="0.3">
      <c r="AL292" s="1"/>
    </row>
    <row r="293" spans="38:38" x14ac:dyDescent="0.3">
      <c r="AL293" s="1"/>
    </row>
    <row r="294" spans="38:38" x14ac:dyDescent="0.3">
      <c r="AL294" s="1"/>
    </row>
    <row r="295" spans="38:38" x14ac:dyDescent="0.3">
      <c r="AL295" s="1"/>
    </row>
    <row r="296" spans="38:38" x14ac:dyDescent="0.3">
      <c r="AL296" s="1"/>
    </row>
    <row r="297" spans="38:38" x14ac:dyDescent="0.3">
      <c r="AL297" s="1"/>
    </row>
    <row r="298" spans="38:38" x14ac:dyDescent="0.3">
      <c r="AL298" s="1"/>
    </row>
    <row r="299" spans="38:38" x14ac:dyDescent="0.3">
      <c r="AL299" s="1"/>
    </row>
    <row r="300" spans="38:38" x14ac:dyDescent="0.3">
      <c r="AL300" s="1"/>
    </row>
    <row r="301" spans="38:38" x14ac:dyDescent="0.3">
      <c r="AL301" s="1"/>
    </row>
    <row r="302" spans="38:38" x14ac:dyDescent="0.3">
      <c r="AL302" s="1"/>
    </row>
    <row r="303" spans="38:38" x14ac:dyDescent="0.3">
      <c r="AL303" s="1"/>
    </row>
    <row r="304" spans="38:38" x14ac:dyDescent="0.3">
      <c r="AL304" s="1"/>
    </row>
    <row r="305" spans="38:38" x14ac:dyDescent="0.3">
      <c r="AL305" s="1"/>
    </row>
    <row r="306" spans="38:38" x14ac:dyDescent="0.3">
      <c r="AL306" s="1"/>
    </row>
    <row r="307" spans="38:38" x14ac:dyDescent="0.3">
      <c r="AL307" s="1"/>
    </row>
    <row r="308" spans="38:38" x14ac:dyDescent="0.3">
      <c r="AL308" s="1"/>
    </row>
    <row r="309" spans="38:38" x14ac:dyDescent="0.3">
      <c r="AL309" s="1"/>
    </row>
    <row r="310" spans="38:38" x14ac:dyDescent="0.3">
      <c r="AL310" s="1"/>
    </row>
    <row r="311" spans="38:38" x14ac:dyDescent="0.3">
      <c r="AL311" s="1"/>
    </row>
    <row r="312" spans="38:38" x14ac:dyDescent="0.3">
      <c r="AL312" s="1"/>
    </row>
    <row r="313" spans="38:38" x14ac:dyDescent="0.3">
      <c r="AL313" s="1"/>
    </row>
    <row r="314" spans="38:38" x14ac:dyDescent="0.3">
      <c r="AL314" s="1"/>
    </row>
    <row r="315" spans="38:38" x14ac:dyDescent="0.3">
      <c r="AL315" s="1"/>
    </row>
    <row r="316" spans="38:38" x14ac:dyDescent="0.3">
      <c r="AL316" s="1"/>
    </row>
    <row r="317" spans="38:38" x14ac:dyDescent="0.3">
      <c r="AL317" s="1"/>
    </row>
    <row r="318" spans="38:38" x14ac:dyDescent="0.3">
      <c r="AL318" s="1"/>
    </row>
    <row r="319" spans="38:38" x14ac:dyDescent="0.3">
      <c r="AL319" s="1"/>
    </row>
    <row r="320" spans="38:38" x14ac:dyDescent="0.3">
      <c r="AL320" s="1"/>
    </row>
    <row r="321" spans="38:38" x14ac:dyDescent="0.3">
      <c r="AL321" s="1"/>
    </row>
    <row r="322" spans="38:38" x14ac:dyDescent="0.3">
      <c r="AL322" s="1"/>
    </row>
    <row r="323" spans="38:38" x14ac:dyDescent="0.3">
      <c r="AL323" s="1"/>
    </row>
    <row r="324" spans="38:38" x14ac:dyDescent="0.3">
      <c r="AL324" s="1"/>
    </row>
    <row r="325" spans="38:38" x14ac:dyDescent="0.3">
      <c r="AL325" s="1"/>
    </row>
    <row r="326" spans="38:38" x14ac:dyDescent="0.3">
      <c r="AL326" s="1"/>
    </row>
    <row r="327" spans="38:38" x14ac:dyDescent="0.3">
      <c r="AL327" s="1"/>
    </row>
    <row r="328" spans="38:38" x14ac:dyDescent="0.3">
      <c r="AL328" s="1"/>
    </row>
    <row r="329" spans="38:38" x14ac:dyDescent="0.3">
      <c r="AL329" s="1"/>
    </row>
    <row r="330" spans="38:38" x14ac:dyDescent="0.3">
      <c r="AL330" s="1"/>
    </row>
    <row r="331" spans="38:38" x14ac:dyDescent="0.3">
      <c r="AL331" s="1"/>
    </row>
    <row r="332" spans="38:38" x14ac:dyDescent="0.3">
      <c r="AL332" s="1"/>
    </row>
    <row r="333" spans="38:38" x14ac:dyDescent="0.3">
      <c r="AL333" s="1"/>
    </row>
    <row r="334" spans="38:38" x14ac:dyDescent="0.3">
      <c r="AL334" s="1"/>
    </row>
    <row r="335" spans="38:38" x14ac:dyDescent="0.3">
      <c r="AL335" s="1"/>
    </row>
    <row r="336" spans="38:38" x14ac:dyDescent="0.3">
      <c r="AL336" s="1"/>
    </row>
    <row r="337" spans="38:38" x14ac:dyDescent="0.3">
      <c r="AL337" s="1"/>
    </row>
    <row r="338" spans="38:38" x14ac:dyDescent="0.3">
      <c r="AL338" s="1"/>
    </row>
    <row r="339" spans="38:38" x14ac:dyDescent="0.3">
      <c r="AL339" s="1"/>
    </row>
    <row r="340" spans="38:38" x14ac:dyDescent="0.3">
      <c r="AL340" s="1"/>
    </row>
    <row r="341" spans="38:38" x14ac:dyDescent="0.3">
      <c r="AL341" s="1"/>
    </row>
    <row r="342" spans="38:38" x14ac:dyDescent="0.3">
      <c r="AL342" s="1"/>
    </row>
    <row r="343" spans="38:38" x14ac:dyDescent="0.3">
      <c r="AL343" s="1"/>
    </row>
    <row r="344" spans="38:38" x14ac:dyDescent="0.3">
      <c r="AL344" s="1"/>
    </row>
    <row r="345" spans="38:38" x14ac:dyDescent="0.3">
      <c r="AL345" s="1"/>
    </row>
    <row r="346" spans="38:38" x14ac:dyDescent="0.3">
      <c r="AL346" s="1"/>
    </row>
    <row r="347" spans="38:38" x14ac:dyDescent="0.3">
      <c r="AL347" s="1"/>
    </row>
    <row r="348" spans="38:38" x14ac:dyDescent="0.3">
      <c r="AL348" s="1"/>
    </row>
    <row r="349" spans="38:38" x14ac:dyDescent="0.3">
      <c r="AL349" s="1"/>
    </row>
    <row r="350" spans="38:38" x14ac:dyDescent="0.3">
      <c r="AL350" s="1"/>
    </row>
    <row r="351" spans="38:38" x14ac:dyDescent="0.3">
      <c r="AL351" s="1"/>
    </row>
    <row r="352" spans="38:38" x14ac:dyDescent="0.3">
      <c r="AL352" s="1"/>
    </row>
    <row r="353" spans="38:38" x14ac:dyDescent="0.3">
      <c r="AL353" s="1"/>
    </row>
    <row r="354" spans="38:38" x14ac:dyDescent="0.3">
      <c r="AL354" s="1"/>
    </row>
    <row r="355" spans="38:38" x14ac:dyDescent="0.3">
      <c r="AL355" s="1"/>
    </row>
    <row r="356" spans="38:38" x14ac:dyDescent="0.3">
      <c r="AL356" s="1"/>
    </row>
    <row r="357" spans="38:38" x14ac:dyDescent="0.3">
      <c r="AL357" s="1"/>
    </row>
    <row r="358" spans="38:38" x14ac:dyDescent="0.3">
      <c r="AL358" s="1"/>
    </row>
    <row r="359" spans="38:38" x14ac:dyDescent="0.3">
      <c r="AL359" s="1"/>
    </row>
    <row r="360" spans="38:38" x14ac:dyDescent="0.3">
      <c r="AL360" s="1"/>
    </row>
    <row r="361" spans="38:38" x14ac:dyDescent="0.3">
      <c r="AL361" s="1"/>
    </row>
    <row r="362" spans="38:38" x14ac:dyDescent="0.3">
      <c r="AL362" s="1"/>
    </row>
    <row r="363" spans="38:38" x14ac:dyDescent="0.3">
      <c r="AL363" s="1"/>
    </row>
    <row r="364" spans="38:38" x14ac:dyDescent="0.3">
      <c r="AL364" s="1"/>
    </row>
    <row r="365" spans="38:38" x14ac:dyDescent="0.3">
      <c r="AL365" s="1"/>
    </row>
    <row r="366" spans="38:38" x14ac:dyDescent="0.3">
      <c r="AL366" s="1"/>
    </row>
    <row r="367" spans="38:38" x14ac:dyDescent="0.3">
      <c r="AL367" s="1"/>
    </row>
    <row r="368" spans="38:38" x14ac:dyDescent="0.3">
      <c r="AL368" s="1"/>
    </row>
    <row r="369" spans="38:38" x14ac:dyDescent="0.3">
      <c r="AL369" s="1"/>
    </row>
    <row r="370" spans="38:38" x14ac:dyDescent="0.3">
      <c r="AL370" s="1"/>
    </row>
    <row r="371" spans="38:38" x14ac:dyDescent="0.3">
      <c r="AL371" s="1"/>
    </row>
    <row r="372" spans="38:38" x14ac:dyDescent="0.3">
      <c r="AL372" s="1"/>
    </row>
    <row r="373" spans="38:38" x14ac:dyDescent="0.3">
      <c r="AL373" s="1"/>
    </row>
    <row r="374" spans="38:38" x14ac:dyDescent="0.3">
      <c r="AL374" s="1"/>
    </row>
    <row r="375" spans="38:38" x14ac:dyDescent="0.3">
      <c r="AL375" s="1"/>
    </row>
    <row r="376" spans="38:38" x14ac:dyDescent="0.3">
      <c r="AL376" s="1"/>
    </row>
    <row r="377" spans="38:38" x14ac:dyDescent="0.3">
      <c r="AL377" s="1"/>
    </row>
    <row r="378" spans="38:38" x14ac:dyDescent="0.3">
      <c r="AL378" s="1"/>
    </row>
    <row r="379" spans="38:38" x14ac:dyDescent="0.3">
      <c r="AL379" s="1"/>
    </row>
    <row r="380" spans="38:38" x14ac:dyDescent="0.3">
      <c r="AL380" s="1"/>
    </row>
    <row r="381" spans="38:38" x14ac:dyDescent="0.3">
      <c r="AL381" s="1"/>
    </row>
    <row r="382" spans="38:38" x14ac:dyDescent="0.3">
      <c r="AL382" s="1"/>
    </row>
    <row r="383" spans="38:38" x14ac:dyDescent="0.3">
      <c r="AL383" s="1"/>
    </row>
    <row r="384" spans="38:38" x14ac:dyDescent="0.3">
      <c r="AL384" s="1"/>
    </row>
    <row r="385" spans="38:38" x14ac:dyDescent="0.3">
      <c r="AL385" s="1"/>
    </row>
    <row r="386" spans="38:38" x14ac:dyDescent="0.3">
      <c r="AL386" s="1"/>
    </row>
    <row r="387" spans="38:38" x14ac:dyDescent="0.3">
      <c r="AL387" s="1"/>
    </row>
    <row r="388" spans="38:38" x14ac:dyDescent="0.3">
      <c r="AL388" s="1"/>
    </row>
    <row r="389" spans="38:38" x14ac:dyDescent="0.3">
      <c r="AL389" s="1"/>
    </row>
    <row r="390" spans="38:38" x14ac:dyDescent="0.3">
      <c r="AL390" s="1"/>
    </row>
    <row r="391" spans="38:38" x14ac:dyDescent="0.3">
      <c r="AL391" s="1"/>
    </row>
    <row r="392" spans="38:38" x14ac:dyDescent="0.3">
      <c r="AL392" s="1"/>
    </row>
    <row r="393" spans="38:38" x14ac:dyDescent="0.3">
      <c r="AL393" s="1"/>
    </row>
    <row r="394" spans="38:38" x14ac:dyDescent="0.3">
      <c r="AL394" s="1"/>
    </row>
    <row r="395" spans="38:38" x14ac:dyDescent="0.3">
      <c r="AL395" s="1"/>
    </row>
    <row r="396" spans="38:38" x14ac:dyDescent="0.3">
      <c r="AL396" s="1"/>
    </row>
    <row r="397" spans="38:38" x14ac:dyDescent="0.3">
      <c r="AL397" s="1"/>
    </row>
    <row r="398" spans="38:38" x14ac:dyDescent="0.3">
      <c r="AL398" s="1"/>
    </row>
    <row r="399" spans="38:38" x14ac:dyDescent="0.3">
      <c r="AL399" s="1"/>
    </row>
    <row r="400" spans="38:38" x14ac:dyDescent="0.3">
      <c r="AL400" s="1"/>
    </row>
    <row r="401" spans="38:38" x14ac:dyDescent="0.3">
      <c r="AL401" s="1"/>
    </row>
    <row r="402" spans="38:38" x14ac:dyDescent="0.3">
      <c r="AL402" s="1"/>
    </row>
    <row r="403" spans="38:38" x14ac:dyDescent="0.3">
      <c r="AL403" s="1"/>
    </row>
    <row r="404" spans="38:38" x14ac:dyDescent="0.3">
      <c r="AL404" s="1"/>
    </row>
    <row r="405" spans="38:38" x14ac:dyDescent="0.3">
      <c r="AL405" s="1"/>
    </row>
    <row r="406" spans="38:38" x14ac:dyDescent="0.3">
      <c r="AL406" s="1"/>
    </row>
    <row r="407" spans="38:38" x14ac:dyDescent="0.3">
      <c r="AL407" s="1"/>
    </row>
    <row r="408" spans="38:38" x14ac:dyDescent="0.3">
      <c r="AL408" s="1"/>
    </row>
    <row r="409" spans="38:38" x14ac:dyDescent="0.3">
      <c r="AL409" s="1"/>
    </row>
    <row r="410" spans="38:38" x14ac:dyDescent="0.3">
      <c r="AL410" s="1"/>
    </row>
    <row r="411" spans="38:38" x14ac:dyDescent="0.3">
      <c r="AL411" s="1"/>
    </row>
    <row r="412" spans="38:38" x14ac:dyDescent="0.3">
      <c r="AL412" s="1"/>
    </row>
    <row r="413" spans="38:38" x14ac:dyDescent="0.3">
      <c r="AL413" s="1"/>
    </row>
    <row r="414" spans="38:38" x14ac:dyDescent="0.3">
      <c r="AL414" s="1"/>
    </row>
    <row r="415" spans="38:38" x14ac:dyDescent="0.3">
      <c r="AL415" s="1"/>
    </row>
    <row r="416" spans="38:38" x14ac:dyDescent="0.3">
      <c r="AL416" s="1"/>
    </row>
    <row r="417" spans="38:38" x14ac:dyDescent="0.3">
      <c r="AL417" s="1"/>
    </row>
    <row r="418" spans="38:38" x14ac:dyDescent="0.3">
      <c r="AL418" s="1"/>
    </row>
    <row r="419" spans="38:38" x14ac:dyDescent="0.3">
      <c r="AL419" s="1"/>
    </row>
    <row r="420" spans="38:38" x14ac:dyDescent="0.3">
      <c r="AL420" s="1"/>
    </row>
    <row r="421" spans="38:38" x14ac:dyDescent="0.3">
      <c r="AL421" s="1"/>
    </row>
    <row r="422" spans="38:38" x14ac:dyDescent="0.3">
      <c r="AL422" s="1"/>
    </row>
    <row r="423" spans="38:38" x14ac:dyDescent="0.3">
      <c r="AL423" s="1"/>
    </row>
    <row r="424" spans="38:38" x14ac:dyDescent="0.3">
      <c r="AL424" s="1"/>
    </row>
    <row r="425" spans="38:38" x14ac:dyDescent="0.3">
      <c r="AL425" s="1"/>
    </row>
    <row r="426" spans="38:38" x14ac:dyDescent="0.3">
      <c r="AL426" s="1"/>
    </row>
    <row r="427" spans="38:38" x14ac:dyDescent="0.3">
      <c r="AL427" s="1"/>
    </row>
    <row r="428" spans="38:38" x14ac:dyDescent="0.3">
      <c r="AL428" s="1"/>
    </row>
    <row r="429" spans="38:38" x14ac:dyDescent="0.3">
      <c r="AL429" s="1"/>
    </row>
    <row r="430" spans="38:38" x14ac:dyDescent="0.3">
      <c r="AL430" s="1"/>
    </row>
    <row r="431" spans="38:38" x14ac:dyDescent="0.3">
      <c r="AL431" s="1"/>
    </row>
    <row r="432" spans="38:38" x14ac:dyDescent="0.3">
      <c r="AL432" s="1"/>
    </row>
    <row r="433" spans="38:38" x14ac:dyDescent="0.3">
      <c r="AL433" s="1"/>
    </row>
    <row r="434" spans="38:38" x14ac:dyDescent="0.3">
      <c r="AL434" s="1"/>
    </row>
    <row r="435" spans="38:38" x14ac:dyDescent="0.3">
      <c r="AL435" s="1"/>
    </row>
    <row r="436" spans="38:38" x14ac:dyDescent="0.3">
      <c r="AL436" s="1"/>
    </row>
    <row r="437" spans="38:38" x14ac:dyDescent="0.3">
      <c r="AL437" s="1"/>
    </row>
    <row r="438" spans="38:38" x14ac:dyDescent="0.3">
      <c r="AL438" s="1"/>
    </row>
    <row r="439" spans="38:38" x14ac:dyDescent="0.3">
      <c r="AL439" s="1"/>
    </row>
    <row r="440" spans="38:38" x14ac:dyDescent="0.3">
      <c r="AL440" s="1"/>
    </row>
    <row r="441" spans="38:38" x14ac:dyDescent="0.3">
      <c r="AL441" s="1"/>
    </row>
    <row r="442" spans="38:38" x14ac:dyDescent="0.3">
      <c r="AL442" s="1"/>
    </row>
    <row r="443" spans="38:38" x14ac:dyDescent="0.3">
      <c r="AL443" s="1"/>
    </row>
    <row r="444" spans="38:38" x14ac:dyDescent="0.3">
      <c r="AL444" s="1"/>
    </row>
    <row r="445" spans="38:38" x14ac:dyDescent="0.3">
      <c r="AL445" s="1"/>
    </row>
    <row r="446" spans="38:38" x14ac:dyDescent="0.3">
      <c r="AL446" s="1"/>
    </row>
    <row r="447" spans="38:38" x14ac:dyDescent="0.3">
      <c r="AL447" s="1"/>
    </row>
    <row r="448" spans="38:38" x14ac:dyDescent="0.3">
      <c r="AL448" s="1"/>
    </row>
    <row r="449" spans="38:38" x14ac:dyDescent="0.3">
      <c r="AL449" s="1"/>
    </row>
    <row r="450" spans="38:38" x14ac:dyDescent="0.3">
      <c r="AL450" s="1"/>
    </row>
    <row r="451" spans="38:38" x14ac:dyDescent="0.3">
      <c r="AL451" s="1"/>
    </row>
    <row r="452" spans="38:38" x14ac:dyDescent="0.3">
      <c r="AL452" s="1"/>
    </row>
    <row r="453" spans="38:38" x14ac:dyDescent="0.3">
      <c r="AL453" s="1"/>
    </row>
    <row r="454" spans="38:38" x14ac:dyDescent="0.3">
      <c r="AL454" s="1"/>
    </row>
    <row r="455" spans="38:38" x14ac:dyDescent="0.3">
      <c r="AL455" s="1"/>
    </row>
    <row r="456" spans="38:38" x14ac:dyDescent="0.3">
      <c r="AL456" s="1"/>
    </row>
    <row r="457" spans="38:38" x14ac:dyDescent="0.3">
      <c r="AL457" s="1"/>
    </row>
    <row r="458" spans="38:38" x14ac:dyDescent="0.3">
      <c r="AL458" s="1"/>
    </row>
    <row r="459" spans="38:38" x14ac:dyDescent="0.3">
      <c r="AL459" s="1"/>
    </row>
    <row r="460" spans="38:38" x14ac:dyDescent="0.3">
      <c r="AL460" s="1"/>
    </row>
    <row r="461" spans="38:38" x14ac:dyDescent="0.3">
      <c r="AL461" s="1"/>
    </row>
    <row r="462" spans="38:38" x14ac:dyDescent="0.3">
      <c r="AL462" s="1"/>
    </row>
    <row r="463" spans="38:38" x14ac:dyDescent="0.3">
      <c r="AL463" s="1"/>
    </row>
    <row r="464" spans="38:38" x14ac:dyDescent="0.3">
      <c r="AL464" s="1"/>
    </row>
    <row r="465" spans="38:38" x14ac:dyDescent="0.3">
      <c r="AL465" s="1"/>
    </row>
    <row r="466" spans="38:38" x14ac:dyDescent="0.3">
      <c r="AL466" s="1"/>
    </row>
    <row r="467" spans="38:38" x14ac:dyDescent="0.3">
      <c r="AL467" s="1"/>
    </row>
    <row r="468" spans="38:38" x14ac:dyDescent="0.3">
      <c r="AL468" s="1"/>
    </row>
    <row r="469" spans="38:38" x14ac:dyDescent="0.3">
      <c r="AL469" s="1"/>
    </row>
    <row r="470" spans="38:38" x14ac:dyDescent="0.3">
      <c r="AL470" s="1"/>
    </row>
    <row r="471" spans="38:38" x14ac:dyDescent="0.3">
      <c r="AL471" s="1"/>
    </row>
    <row r="472" spans="38:38" x14ac:dyDescent="0.3">
      <c r="AL472" s="1"/>
    </row>
    <row r="473" spans="38:38" x14ac:dyDescent="0.3">
      <c r="AL473" s="1"/>
    </row>
    <row r="474" spans="38:38" x14ac:dyDescent="0.3">
      <c r="AL474" s="1"/>
    </row>
    <row r="475" spans="38:38" x14ac:dyDescent="0.3">
      <c r="AL475" s="1"/>
    </row>
    <row r="476" spans="38:38" x14ac:dyDescent="0.3">
      <c r="AL476" s="1"/>
    </row>
    <row r="477" spans="38:38" x14ac:dyDescent="0.3">
      <c r="AL477" s="1"/>
    </row>
    <row r="478" spans="38:38" x14ac:dyDescent="0.3">
      <c r="AL478" s="1"/>
    </row>
    <row r="479" spans="38:38" x14ac:dyDescent="0.3">
      <c r="AL479" s="1"/>
    </row>
    <row r="480" spans="38:38" x14ac:dyDescent="0.3">
      <c r="AL480" s="1"/>
    </row>
    <row r="481" spans="38:38" x14ac:dyDescent="0.3">
      <c r="AL481" s="1"/>
    </row>
    <row r="482" spans="38:38" x14ac:dyDescent="0.3">
      <c r="AL482" s="1"/>
    </row>
    <row r="483" spans="38:38" x14ac:dyDescent="0.3">
      <c r="AL483" s="1"/>
    </row>
    <row r="484" spans="38:38" x14ac:dyDescent="0.3">
      <c r="AL484" s="1"/>
    </row>
    <row r="485" spans="38:38" x14ac:dyDescent="0.3">
      <c r="AL485" s="1"/>
    </row>
    <row r="486" spans="38:38" x14ac:dyDescent="0.3">
      <c r="AL486" s="1"/>
    </row>
    <row r="487" spans="38:38" x14ac:dyDescent="0.3">
      <c r="AL487" s="1"/>
    </row>
    <row r="488" spans="38:38" x14ac:dyDescent="0.3">
      <c r="AL488" s="1"/>
    </row>
    <row r="489" spans="38:38" x14ac:dyDescent="0.3">
      <c r="AL489" s="1"/>
    </row>
    <row r="490" spans="38:38" x14ac:dyDescent="0.3">
      <c r="AL490" s="1"/>
    </row>
    <row r="491" spans="38:38" x14ac:dyDescent="0.3">
      <c r="AL491" s="1"/>
    </row>
    <row r="492" spans="38:38" x14ac:dyDescent="0.3">
      <c r="AL492" s="1"/>
    </row>
    <row r="493" spans="38:38" x14ac:dyDescent="0.3">
      <c r="AL493" s="1"/>
    </row>
    <row r="494" spans="38:38" x14ac:dyDescent="0.3">
      <c r="AL494" s="1"/>
    </row>
    <row r="495" spans="38:38" x14ac:dyDescent="0.3">
      <c r="AL495" s="1"/>
    </row>
    <row r="496" spans="38:38" x14ac:dyDescent="0.3">
      <c r="AL496" s="1"/>
    </row>
    <row r="497" spans="38:38" x14ac:dyDescent="0.3">
      <c r="AL497" s="1"/>
    </row>
    <row r="498" spans="38:38" x14ac:dyDescent="0.3">
      <c r="AL498" s="1"/>
    </row>
    <row r="499" spans="38:38" x14ac:dyDescent="0.3">
      <c r="AL499" s="1"/>
    </row>
    <row r="500" spans="38:38" x14ac:dyDescent="0.3">
      <c r="AL500" s="1"/>
    </row>
    <row r="501" spans="38:38" x14ac:dyDescent="0.3">
      <c r="AL501" s="1"/>
    </row>
    <row r="502" spans="38:38" x14ac:dyDescent="0.3">
      <c r="AL502" s="1"/>
    </row>
    <row r="503" spans="38:38" x14ac:dyDescent="0.3">
      <c r="AL503" s="1"/>
    </row>
    <row r="504" spans="38:38" x14ac:dyDescent="0.3">
      <c r="AL504" s="1"/>
    </row>
    <row r="505" spans="38:38" x14ac:dyDescent="0.3">
      <c r="AL505" s="1"/>
    </row>
    <row r="506" spans="38:38" x14ac:dyDescent="0.3">
      <c r="AL506" s="1"/>
    </row>
    <row r="507" spans="38:38" x14ac:dyDescent="0.3">
      <c r="AL507" s="1"/>
    </row>
    <row r="508" spans="38:38" x14ac:dyDescent="0.3">
      <c r="AL508" s="1"/>
    </row>
    <row r="509" spans="38:38" x14ac:dyDescent="0.3">
      <c r="AL509" s="1"/>
    </row>
    <row r="510" spans="38:38" x14ac:dyDescent="0.3">
      <c r="AL510" s="1"/>
    </row>
    <row r="511" spans="38:38" x14ac:dyDescent="0.3">
      <c r="AL511" s="1"/>
    </row>
    <row r="512" spans="38:38" x14ac:dyDescent="0.3">
      <c r="AL512" s="1"/>
    </row>
    <row r="513" spans="38:38" x14ac:dyDescent="0.3">
      <c r="AL513" s="1"/>
    </row>
    <row r="514" spans="38:38" x14ac:dyDescent="0.3">
      <c r="AL514" s="1"/>
    </row>
    <row r="515" spans="38:38" x14ac:dyDescent="0.3">
      <c r="AL515" s="1"/>
    </row>
    <row r="516" spans="38:38" x14ac:dyDescent="0.3">
      <c r="AL516" s="1"/>
    </row>
    <row r="517" spans="38:38" x14ac:dyDescent="0.3">
      <c r="AL517" s="1"/>
    </row>
    <row r="518" spans="38:38" x14ac:dyDescent="0.3">
      <c r="AL518" s="1"/>
    </row>
    <row r="519" spans="38:38" x14ac:dyDescent="0.3">
      <c r="AL519" s="1"/>
    </row>
    <row r="520" spans="38:38" x14ac:dyDescent="0.3">
      <c r="AL520" s="1"/>
    </row>
    <row r="521" spans="38:38" x14ac:dyDescent="0.3">
      <c r="AL521" s="1"/>
    </row>
    <row r="522" spans="38:38" x14ac:dyDescent="0.3">
      <c r="AL522" s="1"/>
    </row>
    <row r="523" spans="38:38" x14ac:dyDescent="0.3">
      <c r="AL523" s="1"/>
    </row>
    <row r="524" spans="38:38" x14ac:dyDescent="0.3">
      <c r="AL524" s="1"/>
    </row>
    <row r="525" spans="38:38" x14ac:dyDescent="0.3">
      <c r="AL525" s="1"/>
    </row>
    <row r="526" spans="38:38" x14ac:dyDescent="0.3">
      <c r="AL526" s="1"/>
    </row>
    <row r="527" spans="38:38" x14ac:dyDescent="0.3">
      <c r="AL527" s="1"/>
    </row>
    <row r="528" spans="38:38" x14ac:dyDescent="0.3">
      <c r="AL528" s="1"/>
    </row>
    <row r="529" spans="38:38" x14ac:dyDescent="0.3">
      <c r="AL529" s="1"/>
    </row>
    <row r="530" spans="38:38" x14ac:dyDescent="0.3">
      <c r="AL530" s="1"/>
    </row>
    <row r="531" spans="38:38" x14ac:dyDescent="0.3">
      <c r="AL531" s="1"/>
    </row>
    <row r="532" spans="38:38" x14ac:dyDescent="0.3">
      <c r="AL532" s="1"/>
    </row>
    <row r="533" spans="38:38" x14ac:dyDescent="0.3">
      <c r="AL533" s="1"/>
    </row>
    <row r="534" spans="38:38" x14ac:dyDescent="0.3">
      <c r="AL534" s="1"/>
    </row>
    <row r="535" spans="38:38" x14ac:dyDescent="0.3">
      <c r="AL535" s="1"/>
    </row>
    <row r="536" spans="38:38" x14ac:dyDescent="0.3">
      <c r="AL536" s="1"/>
    </row>
    <row r="537" spans="38:38" x14ac:dyDescent="0.3">
      <c r="AL537" s="1"/>
    </row>
    <row r="538" spans="38:38" x14ac:dyDescent="0.3">
      <c r="AL538" s="1"/>
    </row>
    <row r="539" spans="38:38" x14ac:dyDescent="0.3">
      <c r="AL539" s="1"/>
    </row>
    <row r="540" spans="38:38" x14ac:dyDescent="0.3">
      <c r="AL540" s="1"/>
    </row>
    <row r="541" spans="38:38" x14ac:dyDescent="0.3">
      <c r="AL541" s="1"/>
    </row>
    <row r="542" spans="38:38" x14ac:dyDescent="0.3">
      <c r="AL542" s="1"/>
    </row>
    <row r="543" spans="38:38" x14ac:dyDescent="0.3">
      <c r="AL543" s="1"/>
    </row>
    <row r="544" spans="38:38" x14ac:dyDescent="0.3">
      <c r="AL544" s="1"/>
    </row>
    <row r="545" spans="38:38" x14ac:dyDescent="0.3">
      <c r="AL545" s="1"/>
    </row>
    <row r="546" spans="38:38" x14ac:dyDescent="0.3">
      <c r="AL546" s="1"/>
    </row>
    <row r="547" spans="38:38" x14ac:dyDescent="0.3">
      <c r="AL547" s="1"/>
    </row>
    <row r="548" spans="38:38" x14ac:dyDescent="0.3">
      <c r="AL548" s="1"/>
    </row>
    <row r="549" spans="38:38" x14ac:dyDescent="0.3">
      <c r="AL549" s="1"/>
    </row>
    <row r="550" spans="38:38" x14ac:dyDescent="0.3">
      <c r="AL550" s="1"/>
    </row>
    <row r="551" spans="38:38" x14ac:dyDescent="0.3">
      <c r="AL551" s="1"/>
    </row>
    <row r="552" spans="38:38" x14ac:dyDescent="0.3">
      <c r="AL552" s="1"/>
    </row>
    <row r="553" spans="38:38" x14ac:dyDescent="0.3">
      <c r="AL553" s="1"/>
    </row>
    <row r="554" spans="38:38" x14ac:dyDescent="0.3">
      <c r="AL554" s="1"/>
    </row>
    <row r="555" spans="38:38" x14ac:dyDescent="0.3">
      <c r="AL555" s="1"/>
    </row>
    <row r="556" spans="38:38" x14ac:dyDescent="0.3">
      <c r="AL556" s="1"/>
    </row>
    <row r="557" spans="38:38" x14ac:dyDescent="0.3">
      <c r="AL557" s="1"/>
    </row>
    <row r="558" spans="38:38" x14ac:dyDescent="0.3">
      <c r="AL558" s="1"/>
    </row>
    <row r="559" spans="38:38" x14ac:dyDescent="0.3">
      <c r="AL559" s="1"/>
    </row>
    <row r="560" spans="38:38" x14ac:dyDescent="0.3">
      <c r="AL560" s="1"/>
    </row>
    <row r="561" spans="38:38" x14ac:dyDescent="0.3">
      <c r="AL561" s="1"/>
    </row>
    <row r="562" spans="38:38" x14ac:dyDescent="0.3">
      <c r="AL562" s="1"/>
    </row>
    <row r="563" spans="38:38" x14ac:dyDescent="0.3">
      <c r="AL563" s="1"/>
    </row>
    <row r="564" spans="38:38" x14ac:dyDescent="0.3">
      <c r="AL564" s="1"/>
    </row>
    <row r="565" spans="38:38" x14ac:dyDescent="0.3">
      <c r="AL565" s="1"/>
    </row>
    <row r="566" spans="38:38" x14ac:dyDescent="0.3">
      <c r="AL566" s="1"/>
    </row>
    <row r="567" spans="38:38" x14ac:dyDescent="0.3">
      <c r="AL567" s="1"/>
    </row>
    <row r="568" spans="38:38" x14ac:dyDescent="0.3">
      <c r="AL568" s="1"/>
    </row>
    <row r="569" spans="38:38" x14ac:dyDescent="0.3">
      <c r="AL569" s="1"/>
    </row>
    <row r="570" spans="38:38" x14ac:dyDescent="0.3">
      <c r="AL570" s="1"/>
    </row>
    <row r="571" spans="38:38" x14ac:dyDescent="0.3">
      <c r="AL571" s="1"/>
    </row>
    <row r="572" spans="38:38" x14ac:dyDescent="0.3">
      <c r="AL572" s="1"/>
    </row>
    <row r="573" spans="38:38" x14ac:dyDescent="0.3">
      <c r="AL573" s="1"/>
    </row>
    <row r="574" spans="38:38" x14ac:dyDescent="0.3">
      <c r="AL574" s="1"/>
    </row>
    <row r="575" spans="38:38" x14ac:dyDescent="0.3">
      <c r="AL575" s="1"/>
    </row>
    <row r="576" spans="38:38" x14ac:dyDescent="0.3">
      <c r="AL576" s="1"/>
    </row>
    <row r="577" spans="38:38" x14ac:dyDescent="0.3">
      <c r="AL577" s="1"/>
    </row>
    <row r="578" spans="38:38" x14ac:dyDescent="0.3">
      <c r="AL578" s="1"/>
    </row>
    <row r="579" spans="38:38" x14ac:dyDescent="0.3">
      <c r="AL579" s="1"/>
    </row>
    <row r="580" spans="38:38" x14ac:dyDescent="0.3">
      <c r="AL580" s="1"/>
    </row>
    <row r="581" spans="38:38" x14ac:dyDescent="0.3">
      <c r="AL581" s="1"/>
    </row>
    <row r="582" spans="38:38" x14ac:dyDescent="0.3">
      <c r="AL582" s="1"/>
    </row>
    <row r="583" spans="38:38" x14ac:dyDescent="0.3">
      <c r="AL583" s="1"/>
    </row>
    <row r="584" spans="38:38" x14ac:dyDescent="0.3">
      <c r="AL584" s="1"/>
    </row>
    <row r="585" spans="38:38" x14ac:dyDescent="0.3">
      <c r="AL585" s="1"/>
    </row>
    <row r="586" spans="38:38" x14ac:dyDescent="0.3">
      <c r="AL586" s="1"/>
    </row>
    <row r="587" spans="38:38" x14ac:dyDescent="0.3">
      <c r="AL587" s="1"/>
    </row>
    <row r="588" spans="38:38" x14ac:dyDescent="0.3">
      <c r="AL588" s="1"/>
    </row>
    <row r="589" spans="38:38" x14ac:dyDescent="0.3">
      <c r="AL589" s="1"/>
    </row>
    <row r="590" spans="38:38" x14ac:dyDescent="0.3">
      <c r="AL590" s="1"/>
    </row>
    <row r="591" spans="38:38" x14ac:dyDescent="0.3">
      <c r="AL591" s="1"/>
    </row>
    <row r="592" spans="38:38" x14ac:dyDescent="0.3">
      <c r="AL592" s="1"/>
    </row>
    <row r="593" spans="38:38" x14ac:dyDescent="0.3">
      <c r="AL593" s="1"/>
    </row>
    <row r="594" spans="38:38" x14ac:dyDescent="0.3">
      <c r="AL594" s="1"/>
    </row>
    <row r="595" spans="38:38" x14ac:dyDescent="0.3">
      <c r="AL595" s="1"/>
    </row>
    <row r="596" spans="38:38" x14ac:dyDescent="0.3">
      <c r="AL596" s="1"/>
    </row>
    <row r="597" spans="38:38" x14ac:dyDescent="0.3">
      <c r="AL597" s="1"/>
    </row>
    <row r="598" spans="38:38" x14ac:dyDescent="0.3">
      <c r="AL598" s="1"/>
    </row>
    <row r="599" spans="38:38" x14ac:dyDescent="0.3">
      <c r="AL599" s="1"/>
    </row>
    <row r="600" spans="38:38" x14ac:dyDescent="0.3">
      <c r="AL600" s="1"/>
    </row>
    <row r="601" spans="38:38" x14ac:dyDescent="0.3">
      <c r="AL601" s="1"/>
    </row>
    <row r="602" spans="38:38" x14ac:dyDescent="0.3">
      <c r="AL602" s="1"/>
    </row>
    <row r="603" spans="38:38" x14ac:dyDescent="0.3">
      <c r="AL603" s="1"/>
    </row>
    <row r="604" spans="38:38" x14ac:dyDescent="0.3">
      <c r="AL604" s="1"/>
    </row>
    <row r="605" spans="38:38" x14ac:dyDescent="0.3">
      <c r="AL605" s="1"/>
    </row>
    <row r="606" spans="38:38" x14ac:dyDescent="0.3">
      <c r="AL606" s="1"/>
    </row>
    <row r="607" spans="38:38" x14ac:dyDescent="0.3">
      <c r="AL607" s="1"/>
    </row>
    <row r="608" spans="38:38" x14ac:dyDescent="0.3">
      <c r="AL608" s="1"/>
    </row>
    <row r="609" spans="38:38" x14ac:dyDescent="0.3">
      <c r="AL609" s="1"/>
    </row>
    <row r="610" spans="38:38" x14ac:dyDescent="0.3">
      <c r="AL610" s="1"/>
    </row>
    <row r="611" spans="38:38" x14ac:dyDescent="0.3">
      <c r="AL611" s="1"/>
    </row>
    <row r="612" spans="38:38" x14ac:dyDescent="0.3">
      <c r="AL612" s="1"/>
    </row>
    <row r="613" spans="38:38" x14ac:dyDescent="0.3">
      <c r="AL613" s="1"/>
    </row>
    <row r="614" spans="38:38" x14ac:dyDescent="0.3">
      <c r="AL614" s="1"/>
    </row>
    <row r="615" spans="38:38" x14ac:dyDescent="0.3">
      <c r="AL615" s="1"/>
    </row>
    <row r="616" spans="38:38" x14ac:dyDescent="0.3">
      <c r="AL616" s="1"/>
    </row>
    <row r="617" spans="38:38" x14ac:dyDescent="0.3">
      <c r="AL617" s="1"/>
    </row>
    <row r="618" spans="38:38" x14ac:dyDescent="0.3">
      <c r="AL618" s="1"/>
    </row>
    <row r="619" spans="38:38" x14ac:dyDescent="0.3">
      <c r="AL619" s="1"/>
    </row>
    <row r="620" spans="38:38" x14ac:dyDescent="0.3">
      <c r="AL620" s="1"/>
    </row>
    <row r="621" spans="38:38" x14ac:dyDescent="0.3">
      <c r="AL621" s="1"/>
    </row>
    <row r="622" spans="38:38" x14ac:dyDescent="0.3">
      <c r="AL622" s="1"/>
    </row>
    <row r="623" spans="38:38" x14ac:dyDescent="0.3">
      <c r="AL623" s="1"/>
    </row>
    <row r="624" spans="38:38" x14ac:dyDescent="0.3">
      <c r="AL624" s="1"/>
    </row>
    <row r="625" spans="38:38" x14ac:dyDescent="0.3">
      <c r="AL625" s="1"/>
    </row>
    <row r="626" spans="38:38" x14ac:dyDescent="0.3">
      <c r="AL626" s="1"/>
    </row>
    <row r="627" spans="38:38" x14ac:dyDescent="0.3">
      <c r="AL627" s="1"/>
    </row>
    <row r="628" spans="38:38" x14ac:dyDescent="0.3">
      <c r="AL628" s="1"/>
    </row>
    <row r="629" spans="38:38" x14ac:dyDescent="0.3">
      <c r="AL629" s="1"/>
    </row>
    <row r="630" spans="38:38" x14ac:dyDescent="0.3">
      <c r="AL630" s="1"/>
    </row>
    <row r="631" spans="38:38" x14ac:dyDescent="0.3">
      <c r="AL631" s="1"/>
    </row>
  </sheetData>
  <conditionalFormatting sqref="AK24 AW10:AX22 AJ21:AU22 AJ10:AO20">
    <cfRule type="containsText" dxfId="26" priority="28" operator="containsText" text="DATA">
      <formula>NOT(ISERROR(SEARCH("DATA",AJ10)))</formula>
    </cfRule>
  </conditionalFormatting>
  <conditionalFormatting sqref="R9:AI40">
    <cfRule type="containsText" dxfId="25" priority="27" operator="containsText" text="DATA">
      <formula>NOT(ISERROR(SEARCH("DATA",R9)))</formula>
    </cfRule>
  </conditionalFormatting>
  <conditionalFormatting sqref="AK42">
    <cfRule type="containsText" dxfId="24" priority="25" operator="containsText" text="DATA">
      <formula>NOT(ISERROR(SEARCH("DATA",AK42)))</formula>
    </cfRule>
  </conditionalFormatting>
  <conditionalFormatting sqref="O9:O40">
    <cfRule type="cellIs" dxfId="23" priority="26" operator="equal">
      <formula>13</formula>
    </cfRule>
  </conditionalFormatting>
  <conditionalFormatting sqref="AK59">
    <cfRule type="containsText" dxfId="22" priority="24" operator="containsText" text="DATA">
      <formula>NOT(ISERROR(SEARCH("DATA",AK59)))</formula>
    </cfRule>
  </conditionalFormatting>
  <conditionalFormatting sqref="AJ60:AJ72">
    <cfRule type="containsText" dxfId="21" priority="23" operator="containsText" text="DATA">
      <formula>NOT(ISERROR(SEARCH("DATA",AJ60)))</formula>
    </cfRule>
  </conditionalFormatting>
  <conditionalFormatting sqref="BM238:BO250">
    <cfRule type="containsText" dxfId="20" priority="5" operator="containsText" text="DATA">
      <formula>NOT(ISERROR(SEARCH("DATA",BM238)))</formula>
    </cfRule>
  </conditionalFormatting>
  <conditionalFormatting sqref="AM26:AO38">
    <cfRule type="containsText" dxfId="19" priority="22" operator="containsText" text="DATA">
      <formula>NOT(ISERROR(SEARCH("DATA",AM26)))</formula>
    </cfRule>
  </conditionalFormatting>
  <conditionalFormatting sqref="AM44:AO45 AM47:AO55 AM46:AV46">
    <cfRule type="containsText" dxfId="18" priority="21" operator="containsText" text="DATA">
      <formula>NOT(ISERROR(SEARCH("DATA",AM44)))</formula>
    </cfRule>
  </conditionalFormatting>
  <conditionalFormatting sqref="AM60:AO72">
    <cfRule type="containsText" dxfId="17" priority="20" operator="containsText" text="DATA">
      <formula>NOT(ISERROR(SEARCH("DATA",AM60)))</formula>
    </cfRule>
  </conditionalFormatting>
  <conditionalFormatting sqref="BM27:BO39">
    <cfRule type="containsText" dxfId="16" priority="19" operator="containsText" text="DATA">
      <formula>NOT(ISERROR(SEARCH("DATA",BM27)))</formula>
    </cfRule>
  </conditionalFormatting>
  <conditionalFormatting sqref="BM44:BO56">
    <cfRule type="containsText" dxfId="15" priority="18" operator="containsText" text="DATA">
      <formula>NOT(ISERROR(SEARCH("DATA",BM44)))</formula>
    </cfRule>
  </conditionalFormatting>
  <conditionalFormatting sqref="BM60:BO72">
    <cfRule type="containsText" dxfId="14" priority="17" operator="containsText" text="DATA">
      <formula>NOT(ISERROR(SEARCH("DATA",BM60)))</formula>
    </cfRule>
  </conditionalFormatting>
  <conditionalFormatting sqref="BM76:BO88">
    <cfRule type="containsText" dxfId="13" priority="16" operator="containsText" text="DATA">
      <formula>NOT(ISERROR(SEARCH("DATA",BM76)))</formula>
    </cfRule>
  </conditionalFormatting>
  <conditionalFormatting sqref="BM92:BO104">
    <cfRule type="containsText" dxfId="12" priority="15" operator="containsText" text="DATA">
      <formula>NOT(ISERROR(SEARCH("DATA",BM92)))</formula>
    </cfRule>
  </conditionalFormatting>
  <conditionalFormatting sqref="BM108:BO120">
    <cfRule type="containsText" dxfId="11" priority="14" operator="containsText" text="DATA">
      <formula>NOT(ISERROR(SEARCH("DATA",BM108)))</formula>
    </cfRule>
  </conditionalFormatting>
  <conditionalFormatting sqref="BM124:BO136">
    <cfRule type="containsText" dxfId="10" priority="13" operator="containsText" text="DATA">
      <formula>NOT(ISERROR(SEARCH("DATA",BM124)))</formula>
    </cfRule>
  </conditionalFormatting>
  <conditionalFormatting sqref="BM142:BO154">
    <cfRule type="containsText" dxfId="9" priority="12" operator="containsText" text="DATA">
      <formula>NOT(ISERROR(SEARCH("DATA",BM142)))</formula>
    </cfRule>
  </conditionalFormatting>
  <conditionalFormatting sqref="BM158:BO170">
    <cfRule type="containsText" dxfId="8" priority="11" operator="containsText" text="DATA">
      <formula>NOT(ISERROR(SEARCH("DATA",BM158)))</formula>
    </cfRule>
  </conditionalFormatting>
  <conditionalFormatting sqref="BM174:BO186">
    <cfRule type="containsText" dxfId="7" priority="10" operator="containsText" text="DATA">
      <formula>NOT(ISERROR(SEARCH("DATA",BM174)))</formula>
    </cfRule>
  </conditionalFormatting>
  <conditionalFormatting sqref="BM190:BO202">
    <cfRule type="containsText" dxfId="6" priority="9" operator="containsText" text="DATA">
      <formula>NOT(ISERROR(SEARCH("DATA",BM190)))</formula>
    </cfRule>
  </conditionalFormatting>
  <conditionalFormatting sqref="BM206:BO218">
    <cfRule type="containsText" dxfId="5" priority="8" operator="containsText" text="DATA">
      <formula>NOT(ISERROR(SEARCH("DATA",BM206)))</formula>
    </cfRule>
  </conditionalFormatting>
  <conditionalFormatting sqref="BM222:BO234">
    <cfRule type="containsText" dxfId="4" priority="7" operator="containsText" text="DATA">
      <formula>NOT(ISERROR(SEARCH("DATA",BM222)))</formula>
    </cfRule>
  </conditionalFormatting>
  <conditionalFormatting sqref="BM255:BO267">
    <cfRule type="containsText" dxfId="3" priority="4" operator="containsText" text="DATA">
      <formula>NOT(ISERROR(SEARCH("DATA",BM255)))</formula>
    </cfRule>
  </conditionalFormatting>
  <conditionalFormatting sqref="AP55:AU55">
    <cfRule type="containsText" dxfId="2" priority="3" operator="containsText" text="DATA">
      <formula>NOT(ISERROR(SEARCH("DATA",AP55)))</formula>
    </cfRule>
  </conditionalFormatting>
  <conditionalFormatting sqref="AL176:AV177">
    <cfRule type="containsText" dxfId="1" priority="2" operator="containsText" text="DATA">
      <formula>NOT(ISERROR(SEARCH("DATA",AL176)))</formula>
    </cfRule>
  </conditionalFormatting>
  <conditionalFormatting sqref="AL179:AV180">
    <cfRule type="containsText" dxfId="0" priority="1" operator="containsText" text="DATA">
      <formula>NOT(ISERROR(SEARCH("DATA",AL179)))</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9BD6-6E3D-4797-AECC-544F95346DEB}">
  <sheetPr codeName="Sheet19"/>
  <dimension ref="A1:BE116"/>
  <sheetViews>
    <sheetView topLeftCell="A71" zoomScale="85" zoomScaleNormal="85" workbookViewId="0">
      <selection activeCell="M35" sqref="M35"/>
    </sheetView>
  </sheetViews>
  <sheetFormatPr defaultRowHeight="14.4" x14ac:dyDescent="0.3"/>
  <cols>
    <col min="14" max="14" width="9.6640625" bestFit="1" customWidth="1"/>
    <col min="22" max="23" width="9.109375" style="21"/>
    <col min="26" max="26" width="10.6640625" customWidth="1"/>
  </cols>
  <sheetData>
    <row r="1" spans="2:57" x14ac:dyDescent="0.3">
      <c r="B1" t="s">
        <v>497</v>
      </c>
      <c r="M1" s="21"/>
      <c r="N1" s="21"/>
      <c r="V1"/>
      <c r="W1"/>
      <c r="X1" s="21"/>
      <c r="Y1" s="21"/>
    </row>
    <row r="2" spans="2:57" x14ac:dyDescent="0.3">
      <c r="B2" t="s">
        <v>496</v>
      </c>
      <c r="M2" s="21"/>
      <c r="N2" s="21"/>
      <c r="V2"/>
      <c r="W2"/>
      <c r="X2" s="21"/>
      <c r="Y2" s="21"/>
      <c r="AB2" t="s">
        <v>508</v>
      </c>
    </row>
    <row r="3" spans="2:57" x14ac:dyDescent="0.3">
      <c r="B3" t="s">
        <v>506</v>
      </c>
      <c r="M3" s="21"/>
      <c r="N3" s="21"/>
      <c r="V3"/>
      <c r="W3"/>
      <c r="X3" s="21"/>
      <c r="Y3" s="21"/>
      <c r="AB3" t="s">
        <v>507</v>
      </c>
    </row>
    <row r="4" spans="2:57" x14ac:dyDescent="0.3">
      <c r="B4" s="18" t="s">
        <v>498</v>
      </c>
      <c r="M4" s="21"/>
      <c r="N4" s="21"/>
      <c r="O4" t="s">
        <v>503</v>
      </c>
      <c r="V4"/>
      <c r="W4"/>
      <c r="X4" s="21"/>
      <c r="Y4" s="21"/>
      <c r="AK4" t="s">
        <v>510</v>
      </c>
    </row>
    <row r="5" spans="2:57" x14ac:dyDescent="0.3">
      <c r="B5" t="s">
        <v>499</v>
      </c>
      <c r="C5" t="s">
        <v>500</v>
      </c>
      <c r="D5" t="s">
        <v>385</v>
      </c>
      <c r="E5" t="s">
        <v>386</v>
      </c>
      <c r="F5" t="s">
        <v>443</v>
      </c>
      <c r="G5" t="s">
        <v>501</v>
      </c>
      <c r="H5" t="s">
        <v>502</v>
      </c>
      <c r="I5" t="s">
        <v>504</v>
      </c>
      <c r="J5" s="21" t="s">
        <v>505</v>
      </c>
      <c r="K5" s="21" t="s">
        <v>510</v>
      </c>
      <c r="L5" s="21" t="s">
        <v>505</v>
      </c>
      <c r="M5" s="21" t="s">
        <v>513</v>
      </c>
      <c r="N5" s="21"/>
      <c r="O5" s="21" t="s">
        <v>1</v>
      </c>
      <c r="P5" s="21" t="s">
        <v>4</v>
      </c>
      <c r="Q5" s="21" t="s">
        <v>5</v>
      </c>
      <c r="R5" s="21" t="s">
        <v>6</v>
      </c>
      <c r="S5" s="21" t="s">
        <v>7</v>
      </c>
      <c r="T5" s="21" t="s">
        <v>14</v>
      </c>
      <c r="U5" s="21" t="s">
        <v>15</v>
      </c>
      <c r="V5" s="21" t="s">
        <v>504</v>
      </c>
      <c r="W5" s="21" t="s">
        <v>505</v>
      </c>
      <c r="X5" s="21" t="s">
        <v>510</v>
      </c>
      <c r="Y5" s="21" t="s">
        <v>505</v>
      </c>
      <c r="Z5" t="s">
        <v>514</v>
      </c>
      <c r="AB5" s="21" t="s">
        <v>1</v>
      </c>
      <c r="AC5" s="21" t="s">
        <v>4</v>
      </c>
      <c r="AD5" s="21" t="s">
        <v>5</v>
      </c>
      <c r="AE5" s="21" t="s">
        <v>6</v>
      </c>
      <c r="AF5" s="21" t="s">
        <v>7</v>
      </c>
      <c r="AG5" s="21" t="s">
        <v>14</v>
      </c>
      <c r="AH5" s="21" t="s">
        <v>15</v>
      </c>
      <c r="AI5" s="21" t="s">
        <v>504</v>
      </c>
      <c r="AJ5" s="21" t="s">
        <v>505</v>
      </c>
      <c r="AK5" s="21" t="s">
        <v>510</v>
      </c>
      <c r="AL5" s="21" t="s">
        <v>505</v>
      </c>
      <c r="AM5" s="21" t="s">
        <v>514</v>
      </c>
      <c r="AN5" s="21"/>
      <c r="AO5" t="s">
        <v>1</v>
      </c>
      <c r="AP5" t="s">
        <v>4</v>
      </c>
      <c r="AQ5" t="s">
        <v>5</v>
      </c>
      <c r="AR5" t="s">
        <v>6</v>
      </c>
      <c r="AS5" t="s">
        <v>7</v>
      </c>
      <c r="AT5" t="s">
        <v>14</v>
      </c>
      <c r="AU5" t="s">
        <v>15</v>
      </c>
      <c r="AW5" t="s">
        <v>1</v>
      </c>
      <c r="AX5" t="s">
        <v>4</v>
      </c>
      <c r="AY5" t="s">
        <v>5</v>
      </c>
      <c r="AZ5" t="s">
        <v>6</v>
      </c>
      <c r="BA5" t="s">
        <v>7</v>
      </c>
      <c r="BB5" t="s">
        <v>14</v>
      </c>
      <c r="BC5" t="s">
        <v>15</v>
      </c>
    </row>
    <row r="6" spans="2:57" x14ac:dyDescent="0.3">
      <c r="B6">
        <v>1</v>
      </c>
      <c r="C6" t="s">
        <v>33</v>
      </c>
      <c r="D6">
        <v>1844611.2949999999</v>
      </c>
      <c r="E6">
        <v>5596719.6909999996</v>
      </c>
      <c r="F6">
        <v>438.95665600000001</v>
      </c>
      <c r="G6">
        <v>1.7402000000000001E-2</v>
      </c>
      <c r="H6">
        <v>2.2131999999999999E-2</v>
      </c>
      <c r="I6">
        <v>439.08538818400001</v>
      </c>
      <c r="J6" s="7">
        <f>F6-I6</f>
        <v>-0.12873218400000042</v>
      </c>
      <c r="K6" s="7">
        <f>F6-0.05</f>
        <v>438.906656</v>
      </c>
      <c r="L6" s="7">
        <f>K6-I6</f>
        <v>-0.17873218400001178</v>
      </c>
      <c r="M6" s="7">
        <f>ABS(L6)</f>
        <v>0.17873218400001178</v>
      </c>
      <c r="N6" s="21"/>
      <c r="O6" s="21">
        <v>1</v>
      </c>
      <c r="P6" s="21" t="s">
        <v>33</v>
      </c>
      <c r="Q6" s="21">
        <v>1844611.33</v>
      </c>
      <c r="R6" s="21">
        <v>5596719.7860000003</v>
      </c>
      <c r="S6" s="21">
        <v>438.98248699999999</v>
      </c>
      <c r="T6" s="21">
        <v>1.8169999999999999E-2</v>
      </c>
      <c r="U6" s="21">
        <v>2.0673E-2</v>
      </c>
      <c r="V6" s="21">
        <v>439.00686645500002</v>
      </c>
      <c r="W6" s="7">
        <f>S6-V6</f>
        <v>-2.4379455000030248E-2</v>
      </c>
      <c r="X6" s="21">
        <f>S6-0.05</f>
        <v>438.93248699999998</v>
      </c>
      <c r="Y6" s="7">
        <f>X6-V6</f>
        <v>-7.4379455000041617E-2</v>
      </c>
      <c r="Z6" s="7">
        <f>ABS($Y$6:$Y$26)</f>
        <v>7.4379455000041617E-2</v>
      </c>
      <c r="AB6" s="21">
        <v>1</v>
      </c>
      <c r="AC6" s="21" t="s">
        <v>33</v>
      </c>
      <c r="AD6" s="21">
        <v>1844611.314</v>
      </c>
      <c r="AE6" s="21">
        <v>5596719.7280000001</v>
      </c>
      <c r="AF6" s="21">
        <v>438.99905699999999</v>
      </c>
      <c r="AG6" s="21">
        <v>2.3612999999999999E-2</v>
      </c>
      <c r="AH6" s="21">
        <v>2.5670999999999999E-2</v>
      </c>
      <c r="AI6" s="21">
        <v>439.06271362299998</v>
      </c>
      <c r="AJ6" s="21">
        <f>AF6-AI6</f>
        <v>-6.3656622999985757E-2</v>
      </c>
      <c r="AK6" s="21">
        <f>AF6-0.05</f>
        <v>438.94905699999998</v>
      </c>
      <c r="AL6" s="21">
        <f>AK6-AI6</f>
        <v>-0.11365662299999713</v>
      </c>
      <c r="AM6" s="21">
        <f>ABS(AL6)</f>
        <v>0.11365662299999713</v>
      </c>
      <c r="AN6" s="21"/>
      <c r="AO6">
        <v>1</v>
      </c>
      <c r="AP6" t="s">
        <v>33</v>
      </c>
      <c r="AQ6">
        <v>1844611.3216289999</v>
      </c>
      <c r="AR6">
        <v>5596719.7337739998</v>
      </c>
      <c r="AS6">
        <v>438.97686099999999</v>
      </c>
      <c r="AT6">
        <v>2.3175999999999999E-2</v>
      </c>
      <c r="AU6">
        <v>2.5281000000000001E-2</v>
      </c>
      <c r="AW6">
        <v>1</v>
      </c>
      <c r="AX6" t="s">
        <v>33</v>
      </c>
      <c r="AY6">
        <v>1844611.305807</v>
      </c>
      <c r="AZ6">
        <v>5596719.7224519998</v>
      </c>
      <c r="BA6">
        <v>439.021253</v>
      </c>
      <c r="BB6">
        <v>2.4049999999999998E-2</v>
      </c>
      <c r="BC6">
        <v>2.6061000000000001E-2</v>
      </c>
      <c r="BD6">
        <f>AR6-AZ6</f>
        <v>1.1322000063955784E-2</v>
      </c>
      <c r="BE6">
        <f>AS6-BA6</f>
        <v>-4.4392000000016196E-2</v>
      </c>
    </row>
    <row r="7" spans="2:57" x14ac:dyDescent="0.3">
      <c r="B7">
        <v>2</v>
      </c>
      <c r="C7" t="s">
        <v>33</v>
      </c>
      <c r="D7">
        <v>1844327.0889999999</v>
      </c>
      <c r="E7">
        <v>5596603.2209999999</v>
      </c>
      <c r="F7">
        <v>430.44125200000002</v>
      </c>
      <c r="G7">
        <v>1.4635E-2</v>
      </c>
      <c r="H7">
        <v>2.0570999999999999E-2</v>
      </c>
      <c r="I7">
        <v>430.43011474600002</v>
      </c>
      <c r="J7" s="7">
        <f>F7-I7</f>
        <v>1.1137254000004759E-2</v>
      </c>
      <c r="K7" s="7">
        <f>F7-0.05</f>
        <v>430.39125200000001</v>
      </c>
      <c r="L7" s="7">
        <f>K7-I7</f>
        <v>-3.8862746000006609E-2</v>
      </c>
      <c r="M7" s="7">
        <f>ABS(L7)</f>
        <v>3.8862746000006609E-2</v>
      </c>
      <c r="N7" s="21"/>
      <c r="O7" s="21">
        <v>2</v>
      </c>
      <c r="P7" s="21" t="s">
        <v>33</v>
      </c>
      <c r="Q7" s="21">
        <v>1844327.135</v>
      </c>
      <c r="R7" s="21">
        <v>5596603.3020000001</v>
      </c>
      <c r="S7" s="21">
        <v>430.44842899999998</v>
      </c>
      <c r="T7" s="21">
        <v>3.0055999999999999E-2</v>
      </c>
      <c r="U7" s="21">
        <v>4.8600999999999998E-2</v>
      </c>
      <c r="V7" s="21">
        <v>430.43698120099998</v>
      </c>
      <c r="W7" s="7">
        <f>S7-V7</f>
        <v>1.1447798999995484E-2</v>
      </c>
      <c r="X7" s="21">
        <f>S7-0.05</f>
        <v>430.39842899999996</v>
      </c>
      <c r="Y7" s="7">
        <f>X7-V7</f>
        <v>-3.8552201000015884E-2</v>
      </c>
      <c r="Z7" s="7">
        <f t="shared" ref="Z7:Z26" si="0">ABS($Y$6:$Y$26)</f>
        <v>3.8552201000015884E-2</v>
      </c>
      <c r="AB7" s="21">
        <v>2</v>
      </c>
      <c r="AC7" s="21" t="s">
        <v>33</v>
      </c>
      <c r="AD7" s="21">
        <v>1844327.1229999999</v>
      </c>
      <c r="AE7" s="21">
        <v>5596603.2699999996</v>
      </c>
      <c r="AF7" s="21">
        <v>430.46637950000002</v>
      </c>
      <c r="AG7" s="21">
        <v>3.8276499999999998E-2</v>
      </c>
      <c r="AH7" s="21">
        <v>4.2447499999999999E-2</v>
      </c>
      <c r="AI7" s="21">
        <v>430.38729858400001</v>
      </c>
      <c r="AJ7" s="21">
        <f>AF7-AI7</f>
        <v>7.9080916000009438E-2</v>
      </c>
      <c r="AK7" s="21">
        <f>AF7-0.05</f>
        <v>430.41637950000001</v>
      </c>
      <c r="AL7" s="21">
        <f>AK7-AI7</f>
        <v>2.9080915999998069E-2</v>
      </c>
      <c r="AM7" s="21">
        <f t="shared" ref="AM7:AM22" si="1">ABS(AL7)</f>
        <v>2.9080915999998069E-2</v>
      </c>
      <c r="AN7" s="21"/>
      <c r="AO7">
        <v>2</v>
      </c>
      <c r="AP7" t="s">
        <v>33</v>
      </c>
      <c r="AQ7">
        <v>1844327.1392049999</v>
      </c>
      <c r="AR7">
        <v>5596603.2853030004</v>
      </c>
      <c r="AS7">
        <v>430.44573800000001</v>
      </c>
      <c r="AT7">
        <v>3.2607999999999998E-2</v>
      </c>
      <c r="AU7">
        <v>3.7196E-2</v>
      </c>
      <c r="AW7">
        <v>2</v>
      </c>
      <c r="AX7" t="s">
        <v>33</v>
      </c>
      <c r="AY7">
        <v>1844327.105854</v>
      </c>
      <c r="AZ7">
        <v>5596603.2550579999</v>
      </c>
      <c r="BA7">
        <v>430.48702100000003</v>
      </c>
      <c r="BB7">
        <v>4.3944999999999998E-2</v>
      </c>
      <c r="BC7">
        <v>4.7698999999999998E-2</v>
      </c>
      <c r="BD7">
        <f t="shared" ref="BD7:BE24" si="2">AR7-AZ7</f>
        <v>3.0245000496506691E-2</v>
      </c>
      <c r="BE7">
        <f t="shared" si="2"/>
        <v>-4.1283000000021275E-2</v>
      </c>
    </row>
    <row r="8" spans="2:57" x14ac:dyDescent="0.3">
      <c r="B8">
        <v>3</v>
      </c>
      <c r="C8" t="s">
        <v>33</v>
      </c>
      <c r="D8">
        <v>1844275.763</v>
      </c>
      <c r="E8">
        <v>5596482.9050000003</v>
      </c>
      <c r="F8">
        <v>434.67390499999999</v>
      </c>
      <c r="G8">
        <v>1.4272999999999999E-2</v>
      </c>
      <c r="H8">
        <v>2.0160999999999998E-2</v>
      </c>
      <c r="I8">
        <v>434.58709716800001</v>
      </c>
      <c r="J8" s="7"/>
      <c r="K8" s="7"/>
      <c r="L8" s="7"/>
      <c r="M8" s="7"/>
      <c r="N8" s="21"/>
      <c r="O8" s="21">
        <v>3</v>
      </c>
      <c r="P8" s="21" t="s">
        <v>33</v>
      </c>
      <c r="Q8" s="21">
        <v>1844275.7879999999</v>
      </c>
      <c r="R8" s="21">
        <v>5596483.0080000004</v>
      </c>
      <c r="S8" s="21">
        <v>434.68145600000003</v>
      </c>
      <c r="T8" s="21">
        <v>2.1420999999999999E-2</v>
      </c>
      <c r="U8" s="21">
        <v>3.4705E-2</v>
      </c>
      <c r="V8" s="21">
        <v>434.71325683600003</v>
      </c>
      <c r="W8" s="7"/>
      <c r="X8" s="21"/>
      <c r="Y8" s="7"/>
      <c r="Z8" s="7"/>
      <c r="AB8" s="21">
        <v>3</v>
      </c>
      <c r="AC8" s="21" t="s">
        <v>33</v>
      </c>
      <c r="AD8" s="21">
        <v>1844275.7919999999</v>
      </c>
      <c r="AE8" s="21">
        <v>5596482.9579999996</v>
      </c>
      <c r="AF8" s="21">
        <v>434.70131099999998</v>
      </c>
      <c r="AG8" s="21">
        <v>1.9587500000000001E-2</v>
      </c>
      <c r="AH8" s="21">
        <v>2.1781999999999999E-2</v>
      </c>
      <c r="AI8" s="21">
        <v>434.49520874000001</v>
      </c>
      <c r="AJ8" s="21"/>
      <c r="AK8" s="21"/>
      <c r="AL8" s="21"/>
      <c r="AM8" s="21"/>
      <c r="AN8" s="21" t="s">
        <v>511</v>
      </c>
      <c r="AO8">
        <v>3</v>
      </c>
      <c r="AP8" t="s">
        <v>33</v>
      </c>
      <c r="AQ8">
        <v>1844275.8084249999</v>
      </c>
      <c r="AR8">
        <v>5596482.9568630001</v>
      </c>
      <c r="AS8">
        <v>434.66010499999999</v>
      </c>
      <c r="AT8">
        <v>2.1076999999999999E-2</v>
      </c>
      <c r="AU8">
        <v>2.4916000000000001E-2</v>
      </c>
      <c r="AW8">
        <v>3</v>
      </c>
      <c r="AX8" t="s">
        <v>33</v>
      </c>
      <c r="AY8">
        <v>1844275.775465</v>
      </c>
      <c r="AZ8">
        <v>5596482.9589449996</v>
      </c>
      <c r="BA8">
        <v>434.74251700000002</v>
      </c>
      <c r="BB8">
        <v>1.8098E-2</v>
      </c>
      <c r="BC8">
        <v>1.8648000000000001E-2</v>
      </c>
      <c r="BD8">
        <f t="shared" si="2"/>
        <v>-2.0819995552301407E-3</v>
      </c>
      <c r="BE8">
        <f t="shared" si="2"/>
        <v>-8.2412000000033458E-2</v>
      </c>
    </row>
    <row r="9" spans="2:57" x14ac:dyDescent="0.3">
      <c r="B9">
        <v>4</v>
      </c>
      <c r="C9" t="s">
        <v>33</v>
      </c>
      <c r="D9">
        <v>1844444.4</v>
      </c>
      <c r="E9">
        <v>5596428.9409999996</v>
      </c>
      <c r="F9">
        <v>421.893348</v>
      </c>
      <c r="G9">
        <v>4.7322000000000003E-2</v>
      </c>
      <c r="H9">
        <v>6.8561999999999998E-2</v>
      </c>
      <c r="I9">
        <v>421.68829345699999</v>
      </c>
      <c r="J9" s="7">
        <f>F9-I9</f>
        <v>0.20505454300001702</v>
      </c>
      <c r="K9" s="7">
        <f>F9-0.05</f>
        <v>421.84334799999999</v>
      </c>
      <c r="L9" s="7">
        <f>K9-I9</f>
        <v>0.15505454300000565</v>
      </c>
      <c r="M9" s="7">
        <f t="shared" ref="M9:M32" si="3">ABS(L9)</f>
        <v>0.15505454300000565</v>
      </c>
      <c r="N9" s="21"/>
      <c r="O9" s="21">
        <v>4</v>
      </c>
      <c r="P9" s="21" t="s">
        <v>33</v>
      </c>
      <c r="Q9" s="21">
        <v>1844444.4339999999</v>
      </c>
      <c r="R9" s="21">
        <v>5596429.0920000002</v>
      </c>
      <c r="S9" s="21">
        <v>421.87415199999998</v>
      </c>
      <c r="T9" s="21">
        <v>2.4242E-2</v>
      </c>
      <c r="U9" s="21">
        <v>3.6516E-2</v>
      </c>
      <c r="V9" s="21">
        <v>421.72912597700002</v>
      </c>
      <c r="W9" s="7">
        <f>S9-V9</f>
        <v>0.14502602299995715</v>
      </c>
      <c r="X9" s="21">
        <f>S9-0.05</f>
        <v>421.82415199999997</v>
      </c>
      <c r="Y9" s="7">
        <f>X9-V9</f>
        <v>9.5026022999945781E-2</v>
      </c>
      <c r="Z9" s="7">
        <f t="shared" si="0"/>
        <v>9.5026022999945781E-2</v>
      </c>
      <c r="AB9" s="21">
        <v>4</v>
      </c>
      <c r="AC9" s="21" t="s">
        <v>33</v>
      </c>
      <c r="AD9" s="21">
        <v>1844444.426</v>
      </c>
      <c r="AE9" s="21">
        <v>5596429.0379999997</v>
      </c>
      <c r="AF9" s="21">
        <v>421.90802350000001</v>
      </c>
      <c r="AG9" s="21">
        <v>1.8186500000000001E-2</v>
      </c>
      <c r="AH9" s="21">
        <v>2.1996999999999999E-2</v>
      </c>
      <c r="AI9" s="21">
        <v>421.55569458000002</v>
      </c>
      <c r="AJ9" s="21">
        <f>AF9-AI9</f>
        <v>0.35232891999999083</v>
      </c>
      <c r="AK9" s="21">
        <f>AF9-0.05</f>
        <v>421.8580235</v>
      </c>
      <c r="AL9" s="21">
        <f>AK9-AI9</f>
        <v>0.30232891999997946</v>
      </c>
      <c r="AM9" s="21">
        <f t="shared" si="1"/>
        <v>0.30232891999997946</v>
      </c>
      <c r="AN9" s="21"/>
      <c r="AO9">
        <v>4</v>
      </c>
      <c r="AP9" t="s">
        <v>33</v>
      </c>
      <c r="AQ9">
        <v>1844444.4491930001</v>
      </c>
      <c r="AR9">
        <v>5596429.0467769997</v>
      </c>
      <c r="AS9">
        <v>421.88012199999997</v>
      </c>
      <c r="AT9">
        <v>1.5266999999999999E-2</v>
      </c>
      <c r="AU9">
        <v>1.8957999999999999E-2</v>
      </c>
      <c r="AW9">
        <v>4</v>
      </c>
      <c r="AX9" t="s">
        <v>33</v>
      </c>
      <c r="AY9">
        <v>1844444.401942</v>
      </c>
      <c r="AZ9">
        <v>5596429.0283049997</v>
      </c>
      <c r="BA9">
        <v>421.935925</v>
      </c>
      <c r="BB9">
        <v>2.1106E-2</v>
      </c>
      <c r="BC9">
        <v>2.5035999999999999E-2</v>
      </c>
      <c r="BD9">
        <f t="shared" si="2"/>
        <v>1.8472000025212765E-2</v>
      </c>
      <c r="BE9">
        <f t="shared" si="2"/>
        <v>-5.5803000000025804E-2</v>
      </c>
    </row>
    <row r="10" spans="2:57" x14ac:dyDescent="0.3">
      <c r="B10">
        <v>5</v>
      </c>
      <c r="C10" t="s">
        <v>33</v>
      </c>
      <c r="D10">
        <v>1844577.6189999999</v>
      </c>
      <c r="E10">
        <v>5596364.5369999995</v>
      </c>
      <c r="F10">
        <v>414.63833899999997</v>
      </c>
      <c r="G10">
        <v>1.6854999999999998E-2</v>
      </c>
      <c r="H10">
        <v>2.4215E-2</v>
      </c>
      <c r="I10">
        <v>414.47125244099999</v>
      </c>
      <c r="J10" s="7">
        <f>F10-I10</f>
        <v>0.16708655899998348</v>
      </c>
      <c r="K10" s="7">
        <f>F10-0.05</f>
        <v>414.58833899999996</v>
      </c>
      <c r="L10" s="7">
        <f>K10-I10</f>
        <v>0.11708655899997211</v>
      </c>
      <c r="M10" s="7">
        <f t="shared" si="3"/>
        <v>0.11708655899997211</v>
      </c>
      <c r="N10" s="21"/>
      <c r="O10" s="21">
        <v>5</v>
      </c>
      <c r="P10" s="21" t="s">
        <v>33</v>
      </c>
      <c r="Q10" s="21">
        <v>1844577.666</v>
      </c>
      <c r="R10" s="21">
        <v>5596364.7489999998</v>
      </c>
      <c r="S10" s="21">
        <v>414.65221600000001</v>
      </c>
      <c r="T10" s="21">
        <v>2.7588000000000001E-2</v>
      </c>
      <c r="U10" s="21">
        <v>3.7303000000000003E-2</v>
      </c>
      <c r="V10" s="21">
        <v>414.60336303700001</v>
      </c>
      <c r="W10" s="7">
        <f>S10-V10</f>
        <v>4.8852963000001637E-2</v>
      </c>
      <c r="X10" s="21">
        <f>S10-0.05</f>
        <v>414.602216</v>
      </c>
      <c r="Y10" s="7">
        <f>X10-V10</f>
        <v>-1.1470370000097319E-3</v>
      </c>
      <c r="Z10" s="7">
        <f t="shared" si="0"/>
        <v>1.1470370000097319E-3</v>
      </c>
      <c r="AB10" s="21">
        <v>5</v>
      </c>
      <c r="AC10" s="21" t="s">
        <v>33</v>
      </c>
      <c r="AD10" s="21">
        <v>1844577.652</v>
      </c>
      <c r="AE10" s="21">
        <v>5596364.6500000004</v>
      </c>
      <c r="AF10" s="21">
        <v>414.67479350000002</v>
      </c>
      <c r="AG10" s="21">
        <v>2.40555E-2</v>
      </c>
      <c r="AH10" s="21">
        <v>2.93665E-2</v>
      </c>
      <c r="AI10" s="21">
        <v>414.426605225</v>
      </c>
      <c r="AJ10" s="21">
        <f>AF10-AI10</f>
        <v>0.24818827500001817</v>
      </c>
      <c r="AK10" s="21">
        <f>AF10-0.05</f>
        <v>414.62479350000001</v>
      </c>
      <c r="AL10" s="21">
        <f>AK10-AI10</f>
        <v>0.1981882750000068</v>
      </c>
      <c r="AM10" s="21">
        <f t="shared" si="1"/>
        <v>0.1981882750000068</v>
      </c>
      <c r="AN10" s="21"/>
      <c r="AO10">
        <v>5</v>
      </c>
      <c r="AP10" t="s">
        <v>33</v>
      </c>
      <c r="AQ10">
        <v>1844577.6760450001</v>
      </c>
      <c r="AR10">
        <v>5596364.6759930002</v>
      </c>
      <c r="AS10">
        <v>414.65527900000001</v>
      </c>
      <c r="AT10">
        <v>2.1472000000000002E-2</v>
      </c>
      <c r="AU10">
        <v>2.6355E-2</v>
      </c>
      <c r="AW10">
        <v>5</v>
      </c>
      <c r="AX10" t="s">
        <v>33</v>
      </c>
      <c r="AY10">
        <v>1844577.6274359999</v>
      </c>
      <c r="AZ10">
        <v>5596364.6241899999</v>
      </c>
      <c r="BA10">
        <v>414.69430799999998</v>
      </c>
      <c r="BB10">
        <v>2.6638999999999999E-2</v>
      </c>
      <c r="BC10">
        <v>3.2377999999999997E-2</v>
      </c>
      <c r="BD10">
        <f t="shared" si="2"/>
        <v>5.1803000271320343E-2</v>
      </c>
      <c r="BE10">
        <f t="shared" si="2"/>
        <v>-3.9028999999970893E-2</v>
      </c>
    </row>
    <row r="11" spans="2:57" x14ac:dyDescent="0.3">
      <c r="B11">
        <v>6</v>
      </c>
      <c r="C11" t="s">
        <v>33</v>
      </c>
      <c r="D11">
        <v>1844789.166</v>
      </c>
      <c r="E11">
        <v>5596419.9079999998</v>
      </c>
      <c r="F11">
        <v>421.48516699999999</v>
      </c>
      <c r="G11">
        <v>1.2711E-2</v>
      </c>
      <c r="H11">
        <v>2.2783999999999999E-2</v>
      </c>
      <c r="I11">
        <v>421.37496948199998</v>
      </c>
      <c r="J11" s="7">
        <f>F11-I11</f>
        <v>0.11019751800000677</v>
      </c>
      <c r="K11" s="7">
        <f>F11-0.05</f>
        <v>421.43516699999998</v>
      </c>
      <c r="L11" s="7">
        <f>K11-I11</f>
        <v>6.0197517999995398E-2</v>
      </c>
      <c r="M11" s="7">
        <f t="shared" si="3"/>
        <v>6.0197517999995398E-2</v>
      </c>
      <c r="N11" s="21"/>
      <c r="O11" s="21">
        <v>6</v>
      </c>
      <c r="P11" s="21" t="s">
        <v>33</v>
      </c>
      <c r="Q11" s="21">
        <v>1844789.227</v>
      </c>
      <c r="R11" s="21">
        <v>5596420.0389999999</v>
      </c>
      <c r="S11" s="21">
        <v>421.41897499999999</v>
      </c>
      <c r="T11" s="21">
        <v>2.4242E-2</v>
      </c>
      <c r="U11" s="21">
        <v>3.2443E-2</v>
      </c>
      <c r="V11" s="21">
        <v>421.84973144499997</v>
      </c>
      <c r="W11" s="7">
        <f>S11-V11</f>
        <v>-0.43075644499998589</v>
      </c>
      <c r="X11" s="21">
        <f>S11-0.05</f>
        <v>421.36897499999998</v>
      </c>
      <c r="Y11" s="7">
        <f>X11-V11</f>
        <v>-0.48075644499999726</v>
      </c>
      <c r="Z11" s="7">
        <f t="shared" si="0"/>
        <v>0.48075644499999726</v>
      </c>
      <c r="AB11" s="21">
        <v>6</v>
      </c>
      <c r="AC11" s="21" t="s">
        <v>33</v>
      </c>
      <c r="AD11" s="21">
        <v>1844789.203</v>
      </c>
      <c r="AE11" s="21">
        <v>5596419.9819999998</v>
      </c>
      <c r="AF11" s="21">
        <v>421.44187649999998</v>
      </c>
      <c r="AG11" s="21">
        <v>2.63865E-2</v>
      </c>
      <c r="AH11" s="21">
        <v>3.5562999999999997E-2</v>
      </c>
      <c r="AI11" s="21">
        <v>421.66470336899999</v>
      </c>
      <c r="AJ11" s="21">
        <f>AF11-AI11</f>
        <v>-0.22282686900001636</v>
      </c>
      <c r="AK11" s="21">
        <f>AF11-0.05</f>
        <v>421.39187649999997</v>
      </c>
      <c r="AL11" s="21">
        <f>AK11-AI11</f>
        <v>-0.27282686900002773</v>
      </c>
      <c r="AM11" s="21">
        <f t="shared" si="1"/>
        <v>0.27282686900002773</v>
      </c>
      <c r="AN11" s="21"/>
      <c r="AO11">
        <v>6</v>
      </c>
      <c r="AP11" t="s">
        <v>33</v>
      </c>
      <c r="AQ11">
        <v>1844789.217645</v>
      </c>
      <c r="AR11">
        <v>5596420.0054500001</v>
      </c>
      <c r="AS11">
        <v>421.42395800000003</v>
      </c>
      <c r="AT11">
        <v>1.7666000000000001E-2</v>
      </c>
      <c r="AU11">
        <v>2.7806000000000001E-2</v>
      </c>
      <c r="AW11">
        <v>6</v>
      </c>
      <c r="AX11" t="s">
        <v>33</v>
      </c>
      <c r="AY11">
        <v>1844789.187559</v>
      </c>
      <c r="AZ11">
        <v>5596419.9587139999</v>
      </c>
      <c r="BA11">
        <v>421.45979499999999</v>
      </c>
      <c r="BB11">
        <v>3.5106999999999999E-2</v>
      </c>
      <c r="BC11">
        <v>4.3319999999999997E-2</v>
      </c>
      <c r="BD11">
        <f t="shared" si="2"/>
        <v>4.673600010573864E-2</v>
      </c>
      <c r="BE11">
        <f t="shared" si="2"/>
        <v>-3.5836999999958152E-2</v>
      </c>
    </row>
    <row r="12" spans="2:57" x14ac:dyDescent="0.3">
      <c r="B12">
        <v>7</v>
      </c>
      <c r="C12" t="s">
        <v>33</v>
      </c>
      <c r="D12">
        <v>1844897.351</v>
      </c>
      <c r="E12">
        <v>5596315.4440000001</v>
      </c>
      <c r="F12">
        <v>399.091768</v>
      </c>
      <c r="G12">
        <v>1.8762000000000001E-2</v>
      </c>
      <c r="H12">
        <v>2.7654999999999999E-2</v>
      </c>
      <c r="I12">
        <v>398.91018676800002</v>
      </c>
      <c r="J12" s="7"/>
      <c r="K12" s="7"/>
      <c r="L12" s="7"/>
      <c r="M12" s="7"/>
      <c r="N12" s="21"/>
      <c r="O12" s="21">
        <v>7</v>
      </c>
      <c r="P12" s="21" t="s">
        <v>33</v>
      </c>
      <c r="Q12" s="21">
        <v>1844897.39</v>
      </c>
      <c r="R12" s="21">
        <v>5596315.5630000001</v>
      </c>
      <c r="S12" s="21">
        <v>399.10175600000002</v>
      </c>
      <c r="T12" s="21">
        <v>3.2099000000000003E-2</v>
      </c>
      <c r="U12" s="21">
        <v>4.2549999999999998E-2</v>
      </c>
      <c r="V12" s="21">
        <v>399.66973876999998</v>
      </c>
      <c r="W12" s="7"/>
      <c r="X12" s="21"/>
      <c r="Y12" s="7"/>
      <c r="Z12" s="7"/>
      <c r="AB12" s="21">
        <v>7</v>
      </c>
      <c r="AC12" s="21" t="s">
        <v>33</v>
      </c>
      <c r="AD12" s="21">
        <v>1844897.3659999999</v>
      </c>
      <c r="AE12" s="21">
        <v>5596315.4879999999</v>
      </c>
      <c r="AF12" s="21">
        <v>399.10829050000001</v>
      </c>
      <c r="AG12" s="21">
        <v>2.384E-2</v>
      </c>
      <c r="AH12" s="21">
        <v>3.2890500000000003E-2</v>
      </c>
      <c r="AI12" s="21">
        <v>399.58532714799998</v>
      </c>
      <c r="AJ12" s="21"/>
      <c r="AK12" s="21"/>
      <c r="AL12" s="21"/>
      <c r="AM12" s="21"/>
      <c r="AN12" s="21" t="s">
        <v>511</v>
      </c>
      <c r="AO12">
        <v>7</v>
      </c>
      <c r="AP12" t="s">
        <v>33</v>
      </c>
      <c r="AQ12">
        <v>1844897.3810729999</v>
      </c>
      <c r="AR12">
        <v>5596315.4978120001</v>
      </c>
      <c r="AS12">
        <v>399.07832100000002</v>
      </c>
      <c r="AT12">
        <v>2.1949E-2</v>
      </c>
      <c r="AU12">
        <v>3.4209000000000003E-2</v>
      </c>
      <c r="AW12">
        <v>7</v>
      </c>
      <c r="AX12" t="s">
        <v>33</v>
      </c>
      <c r="AY12">
        <v>1844897.351181</v>
      </c>
      <c r="AZ12">
        <v>5596315.4784270003</v>
      </c>
      <c r="BA12">
        <v>399.13826</v>
      </c>
      <c r="BB12">
        <v>2.5731E-2</v>
      </c>
      <c r="BC12">
        <v>3.1572000000000003E-2</v>
      </c>
      <c r="BD12">
        <f t="shared" si="2"/>
        <v>1.9384999759495258E-2</v>
      </c>
      <c r="BE12">
        <f t="shared" si="2"/>
        <v>-5.9938999999985754E-2</v>
      </c>
    </row>
    <row r="13" spans="2:57" x14ac:dyDescent="0.3">
      <c r="B13">
        <v>8</v>
      </c>
      <c r="C13" t="s">
        <v>33</v>
      </c>
      <c r="D13">
        <v>1844684.8529999999</v>
      </c>
      <c r="E13">
        <v>5596191.5719999997</v>
      </c>
      <c r="F13">
        <v>402.94071200000002</v>
      </c>
      <c r="G13">
        <v>2.3951E-2</v>
      </c>
      <c r="H13">
        <v>2.7774E-2</v>
      </c>
      <c r="I13">
        <v>402.73495483400001</v>
      </c>
      <c r="J13" s="7">
        <f>F13-I13</f>
        <v>0.20575716600001215</v>
      </c>
      <c r="K13" s="7">
        <f>F13-0.05</f>
        <v>402.89071200000001</v>
      </c>
      <c r="L13" s="7">
        <f>K13-I13</f>
        <v>0.15575716600000078</v>
      </c>
      <c r="M13" s="7">
        <f t="shared" si="3"/>
        <v>0.15575716600000078</v>
      </c>
      <c r="N13" s="21"/>
      <c r="O13" s="21">
        <v>8</v>
      </c>
      <c r="P13" s="21" t="s">
        <v>33</v>
      </c>
      <c r="Q13" s="21">
        <v>1844684.875</v>
      </c>
      <c r="R13" s="21">
        <v>5596191.8499999996</v>
      </c>
      <c r="S13" s="21">
        <v>402.98260099999999</v>
      </c>
      <c r="T13" s="21">
        <v>2.6855E-2</v>
      </c>
      <c r="U13" s="21">
        <v>3.4398999999999999E-2</v>
      </c>
      <c r="V13" s="21">
        <v>403.01828002899998</v>
      </c>
      <c r="W13" s="7">
        <f t="shared" ref="W13:W19" si="4">S13-V13</f>
        <v>-3.5679028999993534E-2</v>
      </c>
      <c r="X13" s="21">
        <f t="shared" ref="X13:X19" si="5">S13-0.05</f>
        <v>402.93260099999998</v>
      </c>
      <c r="Y13" s="7">
        <f t="shared" ref="Y13:Y19" si="6">X13-V13</f>
        <v>-8.5679029000004903E-2</v>
      </c>
      <c r="Z13" s="7">
        <f t="shared" si="0"/>
        <v>8.5679029000004903E-2</v>
      </c>
      <c r="AB13" s="21">
        <v>8</v>
      </c>
      <c r="AC13" s="21" t="s">
        <v>33</v>
      </c>
      <c r="AD13" s="21">
        <v>1844684.8759999999</v>
      </c>
      <c r="AE13" s="21">
        <v>5596191.7199999997</v>
      </c>
      <c r="AF13" s="21">
        <v>402.98796549999997</v>
      </c>
      <c r="AG13" s="21">
        <v>2.3723500000000002E-2</v>
      </c>
      <c r="AH13" s="21">
        <v>3.2114499999999997E-2</v>
      </c>
      <c r="AI13" s="21">
        <v>402.81152343799999</v>
      </c>
      <c r="AJ13" s="21">
        <f t="shared" ref="AJ13:AJ19" si="7">AF13-AI13</f>
        <v>0.17644206199997825</v>
      </c>
      <c r="AK13" s="21">
        <f t="shared" ref="AK13:AK19" si="8">AF13-0.05</f>
        <v>402.93796549999996</v>
      </c>
      <c r="AL13" s="21">
        <f t="shared" ref="AL13:AL19" si="9">AK13-AI13</f>
        <v>0.12644206199996688</v>
      </c>
      <c r="AM13" s="21">
        <f t="shared" si="1"/>
        <v>0.12644206199996688</v>
      </c>
      <c r="AN13" s="21"/>
      <c r="AO13">
        <v>8</v>
      </c>
      <c r="AP13" t="s">
        <v>33</v>
      </c>
      <c r="AQ13">
        <v>1844684.8855059999</v>
      </c>
      <c r="AR13">
        <v>5596191.7553740004</v>
      </c>
      <c r="AS13">
        <v>402.95716599999997</v>
      </c>
      <c r="AT13">
        <v>2.2107999999999999E-2</v>
      </c>
      <c r="AU13">
        <v>2.9822000000000001E-2</v>
      </c>
      <c r="AW13">
        <v>8</v>
      </c>
      <c r="AX13" t="s">
        <v>33</v>
      </c>
      <c r="AY13">
        <v>1844684.8673930001</v>
      </c>
      <c r="AZ13">
        <v>5596191.6851859996</v>
      </c>
      <c r="BA13">
        <v>403.01876499999997</v>
      </c>
      <c r="BB13">
        <v>2.5339E-2</v>
      </c>
      <c r="BC13">
        <v>3.4407E-2</v>
      </c>
      <c r="BD13">
        <f t="shared" si="2"/>
        <v>7.0188000798225403E-2</v>
      </c>
      <c r="BE13">
        <f t="shared" si="2"/>
        <v>-6.159900000000107E-2</v>
      </c>
    </row>
    <row r="14" spans="2:57" x14ac:dyDescent="0.3">
      <c r="B14">
        <v>21</v>
      </c>
      <c r="C14" t="s">
        <v>33</v>
      </c>
      <c r="D14">
        <v>1844487.7560000001</v>
      </c>
      <c r="E14">
        <v>5595551.3310000002</v>
      </c>
      <c r="F14">
        <v>310.509477</v>
      </c>
      <c r="G14">
        <v>2.869E-2</v>
      </c>
      <c r="H14">
        <v>4.6182000000000001E-2</v>
      </c>
      <c r="I14">
        <v>309.51486206099997</v>
      </c>
      <c r="J14" s="7">
        <f>F14-I14</f>
        <v>0.99461493900003006</v>
      </c>
      <c r="K14" s="7">
        <f>F14-0.05</f>
        <v>310.45947699999999</v>
      </c>
      <c r="L14" s="7">
        <f>K14-I14</f>
        <v>0.94461493900001869</v>
      </c>
      <c r="M14" s="7">
        <f t="shared" si="3"/>
        <v>0.94461493900001869</v>
      </c>
      <c r="N14" s="21"/>
      <c r="O14" s="21">
        <v>9</v>
      </c>
      <c r="P14" s="21" t="s">
        <v>33</v>
      </c>
      <c r="Q14" s="21">
        <v>1844488.571</v>
      </c>
      <c r="R14" s="21">
        <v>5596190.3660000004</v>
      </c>
      <c r="S14" s="21">
        <v>401.077157</v>
      </c>
      <c r="T14" s="21">
        <v>2.5446E-2</v>
      </c>
      <c r="U14" s="21">
        <v>3.2228E-2</v>
      </c>
      <c r="V14" s="21">
        <v>400.89324951200001</v>
      </c>
      <c r="W14" s="7">
        <f t="shared" si="4"/>
        <v>0.18390748799998846</v>
      </c>
      <c r="X14" s="21">
        <f t="shared" si="5"/>
        <v>401.02715699999999</v>
      </c>
      <c r="Y14" s="7">
        <f t="shared" si="6"/>
        <v>0.13390748799997709</v>
      </c>
      <c r="Z14" s="7">
        <f t="shared" si="0"/>
        <v>0.13390748799997709</v>
      </c>
      <c r="AB14" s="21">
        <v>9</v>
      </c>
      <c r="AC14" s="21" t="s">
        <v>33</v>
      </c>
      <c r="AD14" s="21">
        <v>1844488.517</v>
      </c>
      <c r="AE14" s="21">
        <v>5596190.1979999999</v>
      </c>
      <c r="AF14" s="21">
        <v>401.07795049999999</v>
      </c>
      <c r="AG14" s="21">
        <v>2.4191000000000001E-2</v>
      </c>
      <c r="AH14" s="21">
        <v>3.2746499999999998E-2</v>
      </c>
      <c r="AI14" s="21">
        <v>400.942230225</v>
      </c>
      <c r="AJ14" s="21">
        <f t="shared" si="7"/>
        <v>0.13572027499998285</v>
      </c>
      <c r="AK14" s="21">
        <f t="shared" si="8"/>
        <v>401.02795049999997</v>
      </c>
      <c r="AL14" s="21">
        <f t="shared" si="9"/>
        <v>8.572027499997148E-2</v>
      </c>
      <c r="AM14" s="21">
        <f t="shared" si="1"/>
        <v>8.572027499997148E-2</v>
      </c>
      <c r="AN14" s="21"/>
      <c r="AO14">
        <v>9</v>
      </c>
      <c r="AP14" t="s">
        <v>33</v>
      </c>
      <c r="AQ14">
        <v>1844488.537301</v>
      </c>
      <c r="AR14">
        <v>5596190.2451240001</v>
      </c>
      <c r="AS14">
        <v>401.05680899999999</v>
      </c>
      <c r="AT14">
        <v>2.2297999999999998E-2</v>
      </c>
      <c r="AU14">
        <v>2.9637E-2</v>
      </c>
      <c r="AW14">
        <v>9</v>
      </c>
      <c r="AX14" t="s">
        <v>33</v>
      </c>
      <c r="AY14">
        <v>1844488.4974839999</v>
      </c>
      <c r="AZ14">
        <v>5596190.1509229997</v>
      </c>
      <c r="BA14">
        <v>401.09909199999998</v>
      </c>
      <c r="BB14">
        <v>2.6084E-2</v>
      </c>
      <c r="BC14">
        <v>3.5855999999999999E-2</v>
      </c>
      <c r="BD14">
        <f t="shared" si="2"/>
        <v>9.4201000407338142E-2</v>
      </c>
      <c r="BE14">
        <f t="shared" si="2"/>
        <v>-4.2282999999997628E-2</v>
      </c>
    </row>
    <row r="15" spans="2:57" x14ac:dyDescent="0.3">
      <c r="B15">
        <v>22</v>
      </c>
      <c r="C15" t="s">
        <v>33</v>
      </c>
      <c r="D15">
        <v>1844457.1070000001</v>
      </c>
      <c r="E15">
        <v>5595448.0789999999</v>
      </c>
      <c r="F15">
        <v>302.56167599999998</v>
      </c>
      <c r="G15">
        <v>2.0688000000000002E-2</v>
      </c>
      <c r="H15">
        <v>2.9496999999999999E-2</v>
      </c>
      <c r="I15">
        <v>301.66851806599999</v>
      </c>
      <c r="J15" s="7">
        <f>F15-I15</f>
        <v>0.89315793399998711</v>
      </c>
      <c r="K15" s="7">
        <f>F15-0.05</f>
        <v>302.51167599999997</v>
      </c>
      <c r="L15" s="7">
        <f>K15-I15</f>
        <v>0.84315793399997574</v>
      </c>
      <c r="M15" s="7">
        <f t="shared" si="3"/>
        <v>0.84315793399997574</v>
      </c>
      <c r="N15" s="21"/>
      <c r="O15" s="21">
        <v>10</v>
      </c>
      <c r="P15" s="21" t="s">
        <v>33</v>
      </c>
      <c r="Q15" s="21">
        <v>1844340.3</v>
      </c>
      <c r="R15" s="21">
        <v>5596229.2549999999</v>
      </c>
      <c r="S15" s="21">
        <v>405.864802</v>
      </c>
      <c r="T15" s="21">
        <v>2.1968000000000001E-2</v>
      </c>
      <c r="U15" s="21">
        <v>2.7449999999999999E-2</v>
      </c>
      <c r="V15" s="21">
        <v>405.76931762700002</v>
      </c>
      <c r="W15" s="7">
        <f t="shared" si="4"/>
        <v>9.5484372999976586E-2</v>
      </c>
      <c r="X15" s="21">
        <f t="shared" si="5"/>
        <v>405.81480199999999</v>
      </c>
      <c r="Y15" s="7">
        <f t="shared" si="6"/>
        <v>4.5484372999965217E-2</v>
      </c>
      <c r="Z15" s="7">
        <f t="shared" si="0"/>
        <v>4.5484372999965217E-2</v>
      </c>
      <c r="AB15" s="21">
        <v>10</v>
      </c>
      <c r="AC15" s="21" t="s">
        <v>33</v>
      </c>
      <c r="AD15" s="21">
        <v>1844340.274</v>
      </c>
      <c r="AE15" s="21">
        <v>5596229.1730000004</v>
      </c>
      <c r="AF15" s="21">
        <v>405.8974235</v>
      </c>
      <c r="AG15" s="21">
        <v>2.7245999999999999E-2</v>
      </c>
      <c r="AH15" s="21">
        <v>3.6997000000000002E-2</v>
      </c>
      <c r="AI15" s="21">
        <v>405.76040649399999</v>
      </c>
      <c r="AJ15" s="21">
        <f t="shared" si="7"/>
        <v>0.13701700600000777</v>
      </c>
      <c r="AK15" s="21">
        <f t="shared" si="8"/>
        <v>405.84742349999999</v>
      </c>
      <c r="AL15" s="21">
        <f t="shared" si="9"/>
        <v>8.70170059999964E-2</v>
      </c>
      <c r="AM15" s="21">
        <f t="shared" si="1"/>
        <v>8.70170059999964E-2</v>
      </c>
      <c r="AN15" s="21"/>
      <c r="AO15">
        <v>10</v>
      </c>
      <c r="AP15" t="s">
        <v>33</v>
      </c>
      <c r="AQ15">
        <v>1844340.282478</v>
      </c>
      <c r="AR15">
        <v>5596229.1894570002</v>
      </c>
      <c r="AS15">
        <v>405.87143400000002</v>
      </c>
      <c r="AT15">
        <v>2.0382999999999998E-2</v>
      </c>
      <c r="AU15">
        <v>2.8792999999999999E-2</v>
      </c>
      <c r="AW15">
        <v>10</v>
      </c>
      <c r="AX15" t="s">
        <v>33</v>
      </c>
      <c r="AY15">
        <v>1844340.2663519999</v>
      </c>
      <c r="AZ15">
        <v>5596229.1569429999</v>
      </c>
      <c r="BA15">
        <v>405.92341299999998</v>
      </c>
      <c r="BB15">
        <v>3.4109E-2</v>
      </c>
      <c r="BC15">
        <v>4.5200999999999998E-2</v>
      </c>
      <c r="BD15">
        <f t="shared" si="2"/>
        <v>3.2514000311493874E-2</v>
      </c>
      <c r="BE15">
        <f t="shared" si="2"/>
        <v>-5.1978999999960251E-2</v>
      </c>
    </row>
    <row r="16" spans="2:57" x14ac:dyDescent="0.3">
      <c r="B16">
        <v>23</v>
      </c>
      <c r="C16" t="s">
        <v>33</v>
      </c>
      <c r="D16">
        <v>1844378.8130000001</v>
      </c>
      <c r="E16">
        <v>5595386.1840000004</v>
      </c>
      <c r="F16">
        <v>310.75782800000002</v>
      </c>
      <c r="G16">
        <v>1.5310000000000001E-2</v>
      </c>
      <c r="H16">
        <v>2.0948999999999999E-2</v>
      </c>
      <c r="I16">
        <v>310.414794922</v>
      </c>
      <c r="J16" s="7"/>
      <c r="K16" s="7"/>
      <c r="L16" s="7"/>
      <c r="M16" s="7"/>
      <c r="N16" s="21"/>
      <c r="O16" s="21">
        <v>11</v>
      </c>
      <c r="P16" s="21" t="s">
        <v>33</v>
      </c>
      <c r="Q16" s="21">
        <v>1844394.7860000001</v>
      </c>
      <c r="R16" s="21">
        <v>5596018.5060000001</v>
      </c>
      <c r="S16" s="21">
        <v>390.19359500000002</v>
      </c>
      <c r="T16" s="21">
        <v>2.2912999999999999E-2</v>
      </c>
      <c r="U16" s="21">
        <v>3.4472000000000003E-2</v>
      </c>
      <c r="V16" s="21">
        <v>390.15988159199998</v>
      </c>
      <c r="W16" s="7">
        <f t="shared" si="4"/>
        <v>3.3713408000039635E-2</v>
      </c>
      <c r="X16" s="21">
        <f t="shared" si="5"/>
        <v>390.143595</v>
      </c>
      <c r="Y16" s="7">
        <f t="shared" si="6"/>
        <v>-1.6286591999971733E-2</v>
      </c>
      <c r="Z16" s="7">
        <f t="shared" si="0"/>
        <v>1.6286591999971733E-2</v>
      </c>
      <c r="AB16" s="21">
        <v>11</v>
      </c>
      <c r="AC16" s="21" t="s">
        <v>33</v>
      </c>
      <c r="AD16" s="21">
        <v>1844394.82</v>
      </c>
      <c r="AE16" s="21">
        <v>5596018.1030000001</v>
      </c>
      <c r="AF16" s="21">
        <v>390.161136</v>
      </c>
      <c r="AG16" s="21">
        <v>3.1789499999999998E-2</v>
      </c>
      <c r="AH16" s="21">
        <v>3.6648E-2</v>
      </c>
      <c r="AI16" s="21">
        <v>390.16815185500002</v>
      </c>
      <c r="AJ16" s="21">
        <f t="shared" si="7"/>
        <v>-7.0158550000201103E-3</v>
      </c>
      <c r="AK16" s="21">
        <f t="shared" si="8"/>
        <v>390.11113599999999</v>
      </c>
      <c r="AL16" s="21">
        <f t="shared" si="9"/>
        <v>-5.7015855000031479E-2</v>
      </c>
      <c r="AM16" s="21">
        <f t="shared" si="1"/>
        <v>5.7015855000031479E-2</v>
      </c>
      <c r="AN16" s="21"/>
      <c r="AO16">
        <v>11</v>
      </c>
      <c r="AP16" t="s">
        <v>33</v>
      </c>
      <c r="AQ16">
        <v>1844394.797055</v>
      </c>
      <c r="AR16">
        <v>5596018.2428970002</v>
      </c>
      <c r="AS16">
        <v>390.15849500000002</v>
      </c>
      <c r="AT16">
        <v>3.2842000000000003E-2</v>
      </c>
      <c r="AU16">
        <v>3.5964999999999997E-2</v>
      </c>
      <c r="AW16">
        <v>11</v>
      </c>
      <c r="AX16" t="s">
        <v>33</v>
      </c>
      <c r="AY16">
        <v>1844394.842007</v>
      </c>
      <c r="AZ16">
        <v>5596017.963982</v>
      </c>
      <c r="BA16">
        <v>390.16377699999998</v>
      </c>
      <c r="BB16">
        <v>3.0737E-2</v>
      </c>
      <c r="BC16">
        <v>3.7331000000000003E-2</v>
      </c>
      <c r="BD16">
        <f t="shared" si="2"/>
        <v>0.27891500014811754</v>
      </c>
      <c r="BE16">
        <f t="shared" si="2"/>
        <v>-5.281999999965592E-3</v>
      </c>
    </row>
    <row r="17" spans="2:57" x14ac:dyDescent="0.3">
      <c r="B17">
        <v>24</v>
      </c>
      <c r="C17" t="s">
        <v>33</v>
      </c>
      <c r="D17">
        <v>1844364.25</v>
      </c>
      <c r="E17">
        <v>5595616.7230000002</v>
      </c>
      <c r="F17">
        <v>326.97829100000001</v>
      </c>
      <c r="G17">
        <v>2.6446000000000001E-2</v>
      </c>
      <c r="H17">
        <v>5.0120999999999999E-2</v>
      </c>
      <c r="I17">
        <v>326.66744995099998</v>
      </c>
      <c r="J17" s="7">
        <f>F17-I17</f>
        <v>0.3108410490000324</v>
      </c>
      <c r="K17" s="7">
        <f>F17-0.05</f>
        <v>326.928291</v>
      </c>
      <c r="L17" s="7">
        <f>K17-I17</f>
        <v>0.26084104900002103</v>
      </c>
      <c r="M17" s="7">
        <f t="shared" si="3"/>
        <v>0.26084104900002103</v>
      </c>
      <c r="N17" s="21"/>
      <c r="O17" s="21">
        <v>12</v>
      </c>
      <c r="P17" s="21" t="s">
        <v>33</v>
      </c>
      <c r="Q17" s="21">
        <v>1844569.889</v>
      </c>
      <c r="R17" s="21">
        <v>5596018.4809999997</v>
      </c>
      <c r="S17" s="21">
        <v>398.28669200000002</v>
      </c>
      <c r="T17" s="21">
        <v>1.9122E-2</v>
      </c>
      <c r="U17" s="21">
        <v>2.4389999999999998E-2</v>
      </c>
      <c r="V17" s="21">
        <v>398.14865112299998</v>
      </c>
      <c r="W17" s="7">
        <f t="shared" si="4"/>
        <v>0.1380408770000372</v>
      </c>
      <c r="X17" s="21">
        <f t="shared" si="5"/>
        <v>398.23669200000001</v>
      </c>
      <c r="Y17" s="7">
        <f t="shared" si="6"/>
        <v>8.804087700002583E-2</v>
      </c>
      <c r="Z17" s="7">
        <f t="shared" si="0"/>
        <v>8.804087700002583E-2</v>
      </c>
      <c r="AB17" s="21">
        <v>12</v>
      </c>
      <c r="AC17" s="21" t="s">
        <v>33</v>
      </c>
      <c r="AD17" s="21">
        <v>1844569.8470000001</v>
      </c>
      <c r="AE17" s="21">
        <v>5596018.1639999999</v>
      </c>
      <c r="AF17" s="21">
        <v>398.19483250000002</v>
      </c>
      <c r="AG17" s="21">
        <v>3.3943500000000001E-2</v>
      </c>
      <c r="AH17" s="21">
        <v>4.8155499999999997E-2</v>
      </c>
      <c r="AI17" s="21">
        <v>398.10656738300003</v>
      </c>
      <c r="AJ17" s="21">
        <f t="shared" si="7"/>
        <v>8.8265116999991733E-2</v>
      </c>
      <c r="AK17" s="21">
        <f t="shared" si="8"/>
        <v>398.14483250000001</v>
      </c>
      <c r="AL17" s="21">
        <f t="shared" si="9"/>
        <v>3.8265116999980364E-2</v>
      </c>
      <c r="AM17" s="21">
        <f t="shared" si="1"/>
        <v>3.8265116999980364E-2</v>
      </c>
      <c r="AN17" s="21"/>
      <c r="AO17">
        <v>12</v>
      </c>
      <c r="AP17" t="s">
        <v>33</v>
      </c>
      <c r="AQ17">
        <v>1844569.862158</v>
      </c>
      <c r="AR17">
        <v>5596018.2921740003</v>
      </c>
      <c r="AS17">
        <v>398.21385800000002</v>
      </c>
      <c r="AT17">
        <v>2.5613E-2</v>
      </c>
      <c r="AU17">
        <v>3.9800000000000002E-2</v>
      </c>
      <c r="AW17">
        <v>12</v>
      </c>
      <c r="AX17" t="s">
        <v>33</v>
      </c>
      <c r="AY17">
        <v>1844569.8312570001</v>
      </c>
      <c r="AZ17">
        <v>5596018.0355719998</v>
      </c>
      <c r="BA17">
        <v>398.17580700000002</v>
      </c>
      <c r="BB17">
        <v>4.2273999999999999E-2</v>
      </c>
      <c r="BC17">
        <v>5.6510999999999999E-2</v>
      </c>
      <c r="BD17">
        <f t="shared" si="2"/>
        <v>0.25660200044512749</v>
      </c>
      <c r="BE17">
        <f t="shared" si="2"/>
        <v>3.8050999999995838E-2</v>
      </c>
    </row>
    <row r="18" spans="2:57" x14ac:dyDescent="0.3">
      <c r="B18">
        <v>25</v>
      </c>
      <c r="C18" t="s">
        <v>33</v>
      </c>
      <c r="D18">
        <v>1844342.7279999999</v>
      </c>
      <c r="E18">
        <v>5595526.7819999997</v>
      </c>
      <c r="F18">
        <v>316.30608899999999</v>
      </c>
      <c r="G18">
        <v>3.3531999999999999E-2</v>
      </c>
      <c r="H18">
        <v>4.9752999999999999E-2</v>
      </c>
      <c r="I18">
        <v>315.98989868199999</v>
      </c>
      <c r="J18" s="7">
        <f>F18-I18</f>
        <v>0.31619031799999675</v>
      </c>
      <c r="K18" s="7">
        <f>F18-0.05</f>
        <v>316.25608899999997</v>
      </c>
      <c r="L18" s="7">
        <f>K18-I18</f>
        <v>0.26619031799998538</v>
      </c>
      <c r="M18" s="7">
        <f t="shared" si="3"/>
        <v>0.26619031799998538</v>
      </c>
      <c r="N18" s="21"/>
      <c r="O18" s="21">
        <v>13</v>
      </c>
      <c r="P18" s="21" t="s">
        <v>33</v>
      </c>
      <c r="Q18" s="21">
        <v>1844676.0870000001</v>
      </c>
      <c r="R18" s="21">
        <v>5595953.4579999996</v>
      </c>
      <c r="S18" s="21">
        <v>392.26230099999998</v>
      </c>
      <c r="T18" s="21">
        <v>2.2440000000000002E-2</v>
      </c>
      <c r="U18" s="21">
        <v>2.9257999999999999E-2</v>
      </c>
      <c r="V18" s="21">
        <v>392.29913330099998</v>
      </c>
      <c r="W18" s="7">
        <f t="shared" si="4"/>
        <v>-3.6832301000004009E-2</v>
      </c>
      <c r="X18" s="21">
        <f t="shared" si="5"/>
        <v>392.21230099999997</v>
      </c>
      <c r="Y18" s="7">
        <f t="shared" si="6"/>
        <v>-8.6832301000015377E-2</v>
      </c>
      <c r="Z18" s="7">
        <f t="shared" si="0"/>
        <v>8.6832301000015377E-2</v>
      </c>
      <c r="AB18" s="21">
        <v>13</v>
      </c>
      <c r="AC18" s="21" t="s">
        <v>33</v>
      </c>
      <c r="AD18" s="21">
        <v>1844676.041</v>
      </c>
      <c r="AE18" s="21">
        <v>5595953.2359999996</v>
      </c>
      <c r="AF18" s="21">
        <v>392.26311700000002</v>
      </c>
      <c r="AG18" s="21">
        <v>2.6610999999999999E-2</v>
      </c>
      <c r="AH18" s="21">
        <v>3.8521E-2</v>
      </c>
      <c r="AI18" s="21">
        <v>392.50054931599999</v>
      </c>
      <c r="AJ18" s="21">
        <f t="shared" si="7"/>
        <v>-0.23743231599996761</v>
      </c>
      <c r="AK18" s="21">
        <f t="shared" si="8"/>
        <v>392.21311700000001</v>
      </c>
      <c r="AL18" s="21">
        <f t="shared" si="9"/>
        <v>-0.28743231599997898</v>
      </c>
      <c r="AM18" s="21">
        <f t="shared" si="1"/>
        <v>0.28743231599997898</v>
      </c>
      <c r="AN18" s="21"/>
      <c r="AO18">
        <v>13</v>
      </c>
      <c r="AP18" t="s">
        <v>33</v>
      </c>
      <c r="AQ18">
        <v>1844676.0501399999</v>
      </c>
      <c r="AR18">
        <v>5595953.3083790001</v>
      </c>
      <c r="AS18">
        <v>392.236672</v>
      </c>
      <c r="AT18">
        <v>2.7174E-2</v>
      </c>
      <c r="AU18">
        <v>4.2040000000000001E-2</v>
      </c>
      <c r="AW18">
        <v>13</v>
      </c>
      <c r="AX18" t="s">
        <v>33</v>
      </c>
      <c r="AY18">
        <v>1844676.032837</v>
      </c>
      <c r="AZ18">
        <v>5595953.1640929999</v>
      </c>
      <c r="BA18">
        <v>392.28956199999999</v>
      </c>
      <c r="BB18">
        <v>2.6048000000000002E-2</v>
      </c>
      <c r="BC18">
        <v>3.5001999999999998E-2</v>
      </c>
      <c r="BD18">
        <f t="shared" si="2"/>
        <v>0.14428600016981363</v>
      </c>
      <c r="BE18">
        <f t="shared" si="2"/>
        <v>-5.2889999999990778E-2</v>
      </c>
    </row>
    <row r="19" spans="2:57" x14ac:dyDescent="0.3">
      <c r="B19">
        <v>26</v>
      </c>
      <c r="C19" t="s">
        <v>33</v>
      </c>
      <c r="D19">
        <v>1844303.142</v>
      </c>
      <c r="E19">
        <v>5595520.1600000001</v>
      </c>
      <c r="F19">
        <v>314.53129100000001</v>
      </c>
      <c r="G19">
        <v>3.0834E-2</v>
      </c>
      <c r="H19">
        <v>4.5560999999999997E-2</v>
      </c>
      <c r="I19">
        <v>314.42141723600002</v>
      </c>
      <c r="J19" s="7">
        <f>F19-I19</f>
        <v>0.10987376399998539</v>
      </c>
      <c r="K19" s="7">
        <f>F19-0.05</f>
        <v>314.481291</v>
      </c>
      <c r="L19" s="7">
        <f>K19-I19</f>
        <v>5.9873763999974017E-2</v>
      </c>
      <c r="M19" s="7">
        <f t="shared" si="3"/>
        <v>5.9873763999974017E-2</v>
      </c>
      <c r="N19" s="21"/>
      <c r="O19" s="21">
        <v>14</v>
      </c>
      <c r="P19" s="21" t="s">
        <v>33</v>
      </c>
      <c r="Q19" s="21">
        <v>1844385.314</v>
      </c>
      <c r="R19" s="21">
        <v>5595881.5710000005</v>
      </c>
      <c r="S19" s="21">
        <v>383.28942499999999</v>
      </c>
      <c r="T19" s="21">
        <v>4.0747999999999999E-2</v>
      </c>
      <c r="U19" s="21">
        <v>5.9921000000000002E-2</v>
      </c>
      <c r="V19" s="21">
        <v>383.14373779300001</v>
      </c>
      <c r="W19" s="7">
        <f t="shared" si="4"/>
        <v>0.14568720699998039</v>
      </c>
      <c r="X19" s="21">
        <f t="shared" si="5"/>
        <v>383.23942499999998</v>
      </c>
      <c r="Y19" s="7">
        <f t="shared" si="6"/>
        <v>9.5687206999969021E-2</v>
      </c>
      <c r="Z19" s="7">
        <f t="shared" si="0"/>
        <v>9.5687206999969021E-2</v>
      </c>
      <c r="AB19" s="21">
        <v>14</v>
      </c>
      <c r="AC19" s="21" t="s">
        <v>33</v>
      </c>
      <c r="AD19" s="21">
        <v>1844385.5630000001</v>
      </c>
      <c r="AE19" s="21">
        <v>5595880.4349999996</v>
      </c>
      <c r="AF19" s="21">
        <v>382.98592000000002</v>
      </c>
      <c r="AG19" s="21">
        <v>2.3156E-2</v>
      </c>
      <c r="AH19" s="21">
        <v>3.1397500000000002E-2</v>
      </c>
      <c r="AI19" s="21">
        <v>383.05291748000002</v>
      </c>
      <c r="AJ19" s="21">
        <f t="shared" si="7"/>
        <v>-6.6997479999997722E-2</v>
      </c>
      <c r="AK19" s="21">
        <f t="shared" si="8"/>
        <v>382.93592000000001</v>
      </c>
      <c r="AL19" s="21">
        <f t="shared" si="9"/>
        <v>-0.11699748000000909</v>
      </c>
      <c r="AM19" s="21">
        <f t="shared" si="1"/>
        <v>0.11699748000000909</v>
      </c>
      <c r="AN19" s="21"/>
      <c r="AO19">
        <v>14</v>
      </c>
      <c r="AP19" t="s">
        <v>33</v>
      </c>
      <c r="AQ19">
        <v>1844385.4765369999</v>
      </c>
      <c r="AR19">
        <v>5595880.8196630003</v>
      </c>
      <c r="AS19">
        <v>383.05090300000001</v>
      </c>
      <c r="AT19">
        <v>2.2266999999999999E-2</v>
      </c>
      <c r="AU19">
        <v>3.1531999999999998E-2</v>
      </c>
      <c r="AW19">
        <v>14</v>
      </c>
      <c r="AX19" t="s">
        <v>33</v>
      </c>
      <c r="AY19">
        <v>1844385.6499030001</v>
      </c>
      <c r="AZ19">
        <v>5595880.0496920003</v>
      </c>
      <c r="BA19">
        <v>382.92093699999998</v>
      </c>
      <c r="BB19">
        <v>2.4045E-2</v>
      </c>
      <c r="BC19">
        <v>3.1262999999999999E-2</v>
      </c>
      <c r="BD19">
        <f t="shared" si="2"/>
        <v>0.76997100003063679</v>
      </c>
      <c r="BE19">
        <f t="shared" si="2"/>
        <v>0.12996600000002445</v>
      </c>
    </row>
    <row r="20" spans="2:57" x14ac:dyDescent="0.3">
      <c r="B20">
        <v>27</v>
      </c>
      <c r="C20" t="s">
        <v>33</v>
      </c>
      <c r="D20">
        <v>1844185.15</v>
      </c>
      <c r="E20">
        <v>5595587.5539999995</v>
      </c>
      <c r="F20">
        <v>355.94076699999999</v>
      </c>
      <c r="G20">
        <v>1.9748000000000002E-2</v>
      </c>
      <c r="H20">
        <v>2.9697000000000001E-2</v>
      </c>
      <c r="I20">
        <v>347.49752807599998</v>
      </c>
      <c r="J20" s="7"/>
      <c r="K20" s="7"/>
      <c r="L20" s="7"/>
      <c r="M20" s="7"/>
      <c r="N20" s="21"/>
      <c r="O20" s="21">
        <v>15</v>
      </c>
      <c r="P20" s="21" t="s">
        <v>33</v>
      </c>
      <c r="Q20" s="21">
        <v>1844189.9169999999</v>
      </c>
      <c r="R20" s="21">
        <v>5596021.5939999996</v>
      </c>
      <c r="S20" s="21">
        <v>395.98666200000002</v>
      </c>
      <c r="T20" s="21">
        <v>2.0643999999999999E-2</v>
      </c>
      <c r="U20" s="21">
        <v>2.4201E-2</v>
      </c>
      <c r="V20" s="21">
        <v>396.41296386699997</v>
      </c>
      <c r="W20" s="7"/>
      <c r="X20" s="21"/>
      <c r="Y20" s="7"/>
      <c r="Z20" s="7"/>
      <c r="AB20" s="21">
        <v>15</v>
      </c>
      <c r="AC20" s="21" t="s">
        <v>33</v>
      </c>
      <c r="AD20" s="21">
        <v>1844189.9269999999</v>
      </c>
      <c r="AE20" s="21">
        <v>5596021.5199999996</v>
      </c>
      <c r="AF20" s="21">
        <v>395.99793199999999</v>
      </c>
      <c r="AG20" s="21">
        <v>2.2300500000000001E-2</v>
      </c>
      <c r="AH20" s="21">
        <v>2.8454500000000001E-2</v>
      </c>
      <c r="AI20" s="21">
        <v>396.35687255900001</v>
      </c>
      <c r="AJ20" s="21"/>
      <c r="AK20" s="21"/>
      <c r="AL20" s="21"/>
      <c r="AM20" s="21"/>
      <c r="AN20" s="21" t="s">
        <v>511</v>
      </c>
      <c r="AO20">
        <v>15</v>
      </c>
      <c r="AP20" t="s">
        <v>33</v>
      </c>
      <c r="AQ20">
        <v>1844189.931753</v>
      </c>
      <c r="AR20">
        <v>5596021.5372390002</v>
      </c>
      <c r="AS20">
        <v>395.962379</v>
      </c>
      <c r="AT20">
        <v>2.3387999999999999E-2</v>
      </c>
      <c r="AU20">
        <v>2.9825999999999998E-2</v>
      </c>
      <c r="AW20">
        <v>15</v>
      </c>
      <c r="AX20" t="s">
        <v>33</v>
      </c>
      <c r="AY20">
        <v>1844189.9219780001</v>
      </c>
      <c r="AZ20">
        <v>5596021.502758</v>
      </c>
      <c r="BA20">
        <v>396.03348499999998</v>
      </c>
      <c r="BB20">
        <v>2.1212999999999999E-2</v>
      </c>
      <c r="BC20">
        <v>2.7082999999999999E-2</v>
      </c>
      <c r="BD20">
        <f t="shared" si="2"/>
        <v>3.4481000155210495E-2</v>
      </c>
      <c r="BE20">
        <f t="shared" si="2"/>
        <v>-7.1105999999986125E-2</v>
      </c>
    </row>
    <row r="21" spans="2:57" x14ac:dyDescent="0.3">
      <c r="B21">
        <v>28</v>
      </c>
      <c r="C21" t="s">
        <v>33</v>
      </c>
      <c r="D21">
        <v>1844265.926</v>
      </c>
      <c r="E21">
        <v>5595681.9649999999</v>
      </c>
      <c r="F21">
        <v>334.66570899999999</v>
      </c>
      <c r="G21">
        <v>2.9690999999999999E-2</v>
      </c>
      <c r="H21">
        <v>5.2484999999999997E-2</v>
      </c>
      <c r="I21">
        <v>334.78884887700002</v>
      </c>
      <c r="J21" s="7">
        <f t="shared" ref="J21:J28" si="10">F21-I21</f>
        <v>-0.12313987700002826</v>
      </c>
      <c r="K21" s="7">
        <f t="shared" ref="K21:K28" si="11">F21-0.05</f>
        <v>334.61570899999998</v>
      </c>
      <c r="L21" s="7">
        <f t="shared" ref="L21:L28" si="12">K21-I21</f>
        <v>-0.17313987700003963</v>
      </c>
      <c r="M21" s="7">
        <f t="shared" si="3"/>
        <v>0.17313987700003963</v>
      </c>
      <c r="N21" s="21"/>
      <c r="O21" s="21">
        <v>21</v>
      </c>
      <c r="P21" s="21" t="s">
        <v>33</v>
      </c>
      <c r="Q21" s="21">
        <v>1844483.709</v>
      </c>
      <c r="R21" s="21">
        <v>5595560.1629999997</v>
      </c>
      <c r="S21" s="21">
        <v>311.88784600000002</v>
      </c>
      <c r="T21" s="21">
        <v>2.2019E-2</v>
      </c>
      <c r="U21" s="21">
        <v>2.7480999999999998E-2</v>
      </c>
      <c r="V21" s="21">
        <v>311.58093261699997</v>
      </c>
      <c r="W21" s="7">
        <f>S21-V21</f>
        <v>0.306913383000051</v>
      </c>
      <c r="X21" s="21">
        <f>S21-0.05</f>
        <v>311.83784600000001</v>
      </c>
      <c r="Y21" s="7"/>
      <c r="Z21" s="7"/>
      <c r="AB21" s="21">
        <v>18</v>
      </c>
      <c r="AC21" s="21" t="s">
        <v>33</v>
      </c>
      <c r="AD21" s="21">
        <v>1844707.8629999999</v>
      </c>
      <c r="AE21" s="21">
        <v>5595726.1579999998</v>
      </c>
      <c r="AF21" s="21">
        <v>375.99901599999998</v>
      </c>
      <c r="AG21" s="21">
        <v>3.28665E-2</v>
      </c>
      <c r="AH21" s="21">
        <v>4.6823499999999997E-2</v>
      </c>
      <c r="AI21" s="21">
        <v>375.79440307599998</v>
      </c>
      <c r="AJ21" s="21">
        <f>AF21-AI21</f>
        <v>0.20461292400000275</v>
      </c>
      <c r="AK21" s="21">
        <f>AF21-0.05</f>
        <v>375.94901599999997</v>
      </c>
      <c r="AL21" s="21">
        <f>AK21-AI21</f>
        <v>0.15461292399999138</v>
      </c>
      <c r="AM21" s="21">
        <f t="shared" si="1"/>
        <v>0.15461292399999138</v>
      </c>
      <c r="AN21" s="21"/>
      <c r="AO21">
        <v>18</v>
      </c>
      <c r="AP21" t="s">
        <v>33</v>
      </c>
      <c r="AQ21">
        <v>1844707.8820400001</v>
      </c>
      <c r="AR21">
        <v>5595726.2264670003</v>
      </c>
      <c r="AS21">
        <v>375.97666800000002</v>
      </c>
      <c r="AT21">
        <v>2.5751E-2</v>
      </c>
      <c r="AU21">
        <v>3.9545999999999998E-2</v>
      </c>
      <c r="AW21">
        <v>18</v>
      </c>
      <c r="AX21" t="s">
        <v>33</v>
      </c>
      <c r="AY21">
        <v>1844707.844576</v>
      </c>
      <c r="AZ21">
        <v>5595726.0888099996</v>
      </c>
      <c r="BA21">
        <v>376.02136400000001</v>
      </c>
      <c r="BB21">
        <v>3.9981999999999997E-2</v>
      </c>
      <c r="BC21">
        <v>5.4101000000000003E-2</v>
      </c>
      <c r="BD21">
        <f t="shared" si="2"/>
        <v>0.13765700068324804</v>
      </c>
      <c r="BE21">
        <f t="shared" si="2"/>
        <v>-4.4695999999987635E-2</v>
      </c>
    </row>
    <row r="22" spans="2:57" x14ac:dyDescent="0.3">
      <c r="B22">
        <v>29</v>
      </c>
      <c r="C22" t="s">
        <v>33</v>
      </c>
      <c r="D22">
        <v>1844374.3370000001</v>
      </c>
      <c r="E22">
        <v>5595697.949</v>
      </c>
      <c r="F22">
        <v>335.24785300000002</v>
      </c>
      <c r="G22">
        <v>2.1018999999999999E-2</v>
      </c>
      <c r="H22">
        <v>4.0967999999999997E-2</v>
      </c>
      <c r="I22">
        <v>335.131103516</v>
      </c>
      <c r="J22" s="7">
        <f t="shared" si="10"/>
        <v>0.11674948400002449</v>
      </c>
      <c r="K22" s="7">
        <f t="shared" si="11"/>
        <v>335.19785300000001</v>
      </c>
      <c r="L22" s="7">
        <f t="shared" si="12"/>
        <v>6.6749484000013126E-2</v>
      </c>
      <c r="M22" s="7">
        <f t="shared" si="3"/>
        <v>6.6749484000013126E-2</v>
      </c>
      <c r="N22" s="21"/>
      <c r="O22" s="21">
        <v>22</v>
      </c>
      <c r="P22" s="21" t="s">
        <v>33</v>
      </c>
      <c r="Q22" s="21">
        <v>1844439.284</v>
      </c>
      <c r="R22" s="21">
        <v>5595458.2649999997</v>
      </c>
      <c r="S22" s="21">
        <v>304.59637600000002</v>
      </c>
      <c r="T22" s="21">
        <v>1.8822999999999999E-2</v>
      </c>
      <c r="U22" s="21">
        <v>2.5416999999999999E-2</v>
      </c>
      <c r="V22" s="21">
        <v>304.21765136699997</v>
      </c>
      <c r="W22" s="7">
        <f>S22-V22</f>
        <v>0.37872463300004711</v>
      </c>
      <c r="X22" s="21">
        <f>S22-0.05</f>
        <v>304.54637600000001</v>
      </c>
      <c r="Y22" s="7">
        <f>X22-V22</f>
        <v>0.32872463300003574</v>
      </c>
      <c r="Z22" s="7">
        <f t="shared" si="0"/>
        <v>0.32872463300003574</v>
      </c>
      <c r="AB22" s="21">
        <v>19</v>
      </c>
      <c r="AC22" s="21" t="s">
        <v>33</v>
      </c>
      <c r="AD22" s="21">
        <v>1844645.21</v>
      </c>
      <c r="AE22" s="21">
        <v>5595688.2609999999</v>
      </c>
      <c r="AF22" s="21">
        <v>359.60111849999998</v>
      </c>
      <c r="AG22" s="21">
        <v>3.3182499999999997E-2</v>
      </c>
      <c r="AH22" s="21">
        <v>4.3201499999999997E-2</v>
      </c>
      <c r="AI22" s="21">
        <v>359.47616577100001</v>
      </c>
      <c r="AJ22" s="21">
        <f>AF22-AI22</f>
        <v>0.1249527289999719</v>
      </c>
      <c r="AK22" s="21">
        <f>AF22-0.05</f>
        <v>359.55111849999997</v>
      </c>
      <c r="AL22" s="21">
        <f>AK22-AI22</f>
        <v>7.4952728999960527E-2</v>
      </c>
      <c r="AM22" s="21">
        <f t="shared" si="1"/>
        <v>7.4952728999960527E-2</v>
      </c>
      <c r="AN22" s="21"/>
      <c r="AO22">
        <v>19</v>
      </c>
      <c r="AP22" t="s">
        <v>33</v>
      </c>
      <c r="AQ22">
        <v>1844645.3717990001</v>
      </c>
      <c r="AR22">
        <v>5595688.4065119997</v>
      </c>
      <c r="AS22">
        <v>359.67004100000003</v>
      </c>
      <c r="AT22">
        <v>2.8237999999999999E-2</v>
      </c>
      <c r="AU22">
        <v>3.5186000000000002E-2</v>
      </c>
      <c r="AW22">
        <v>19</v>
      </c>
      <c r="AX22" t="s">
        <v>33</v>
      </c>
      <c r="AY22">
        <v>1844645.048919</v>
      </c>
      <c r="AZ22">
        <v>5595688.1156749995</v>
      </c>
      <c r="BA22">
        <v>359.532196</v>
      </c>
      <c r="BB22">
        <v>3.8127000000000001E-2</v>
      </c>
      <c r="BC22">
        <v>5.1216999999999999E-2</v>
      </c>
      <c r="BD22">
        <f t="shared" si="2"/>
        <v>0.29083700012415648</v>
      </c>
      <c r="BE22">
        <f t="shared" si="2"/>
        <v>0.13784500000002708</v>
      </c>
    </row>
    <row r="23" spans="2:57" x14ac:dyDescent="0.3">
      <c r="B23" t="s">
        <v>46</v>
      </c>
      <c r="C23" t="s">
        <v>33</v>
      </c>
      <c r="D23">
        <v>1844488.4879999999</v>
      </c>
      <c r="E23">
        <v>5596189.9649999999</v>
      </c>
      <c r="F23">
        <v>401.00484</v>
      </c>
      <c r="G23">
        <v>2.3282000000000001E-2</v>
      </c>
      <c r="H23">
        <v>3.3184999999999999E-2</v>
      </c>
      <c r="I23">
        <v>400.80148315399998</v>
      </c>
      <c r="J23" s="7">
        <f t="shared" si="10"/>
        <v>0.20335684600001969</v>
      </c>
      <c r="K23" s="7">
        <f t="shared" si="11"/>
        <v>400.95483999999999</v>
      </c>
      <c r="L23" s="7">
        <f t="shared" si="12"/>
        <v>0.15335684600000832</v>
      </c>
      <c r="M23" s="7">
        <f t="shared" si="3"/>
        <v>0.15335684600000832</v>
      </c>
      <c r="N23" s="21"/>
      <c r="O23" s="21">
        <v>23</v>
      </c>
      <c r="P23" s="21" t="s">
        <v>33</v>
      </c>
      <c r="Q23" s="21">
        <v>1844378.8149999999</v>
      </c>
      <c r="R23" s="21">
        <v>5595386.2010000004</v>
      </c>
      <c r="S23" s="21">
        <v>310.74034599999999</v>
      </c>
      <c r="T23" s="21">
        <v>1.7319000000000001E-2</v>
      </c>
      <c r="U23" s="21">
        <v>2.4952999999999999E-2</v>
      </c>
      <c r="V23" s="21">
        <v>310.50042724600002</v>
      </c>
      <c r="W23" s="7"/>
      <c r="X23" s="21"/>
      <c r="Y23" s="7"/>
      <c r="Z23" s="7"/>
      <c r="AB23" s="21">
        <v>23</v>
      </c>
      <c r="AC23" s="21" t="s">
        <v>33</v>
      </c>
      <c r="AD23" s="21">
        <v>1844378.7949999999</v>
      </c>
      <c r="AE23" s="21">
        <v>5595386.1849999996</v>
      </c>
      <c r="AF23" s="21">
        <v>310.780866</v>
      </c>
      <c r="AG23" s="21">
        <v>2.4188500000000002E-2</v>
      </c>
      <c r="AH23" s="21">
        <v>3.0624499999999999E-2</v>
      </c>
      <c r="AI23" s="21">
        <v>310.54412841800001</v>
      </c>
      <c r="AJ23" s="21"/>
      <c r="AK23" s="21"/>
      <c r="AL23" s="21"/>
      <c r="AN23" s="21" t="s">
        <v>511</v>
      </c>
      <c r="AO23">
        <v>23</v>
      </c>
      <c r="AP23" t="s">
        <v>33</v>
      </c>
      <c r="AQ23">
        <v>1844378.80055</v>
      </c>
      <c r="AR23">
        <v>5595386.1824770002</v>
      </c>
      <c r="AS23">
        <v>310.76100700000001</v>
      </c>
      <c r="AT23">
        <v>2.0375999999999998E-2</v>
      </c>
      <c r="AU23">
        <v>2.8183E-2</v>
      </c>
      <c r="AW23">
        <v>23</v>
      </c>
      <c r="AX23" t="s">
        <v>33</v>
      </c>
      <c r="AY23">
        <v>1844378.7898329999</v>
      </c>
      <c r="AZ23">
        <v>5595386.1871920004</v>
      </c>
      <c r="BA23">
        <v>310.800725</v>
      </c>
      <c r="BB23">
        <v>2.8001000000000002E-2</v>
      </c>
      <c r="BC23">
        <v>3.3065999999999998E-2</v>
      </c>
      <c r="BD23">
        <f t="shared" si="2"/>
        <v>-4.7150002792477608E-3</v>
      </c>
      <c r="BE23">
        <f t="shared" si="2"/>
        <v>-3.9717999999993481E-2</v>
      </c>
    </row>
    <row r="24" spans="2:57" x14ac:dyDescent="0.3">
      <c r="B24" t="s">
        <v>44</v>
      </c>
      <c r="C24" t="s">
        <v>33</v>
      </c>
      <c r="D24">
        <v>1844340.264</v>
      </c>
      <c r="E24">
        <v>5596229.1119999997</v>
      </c>
      <c r="F24">
        <v>405.86471699999998</v>
      </c>
      <c r="G24">
        <v>2.3365E-2</v>
      </c>
      <c r="H24">
        <v>3.5387000000000002E-2</v>
      </c>
      <c r="I24">
        <v>405.73394775399998</v>
      </c>
      <c r="J24" s="7">
        <f t="shared" si="10"/>
        <v>0.13076924599999984</v>
      </c>
      <c r="K24" s="7">
        <f t="shared" si="11"/>
        <v>405.81471699999997</v>
      </c>
      <c r="L24" s="7">
        <f t="shared" si="12"/>
        <v>8.076924599998847E-2</v>
      </c>
      <c r="M24" s="7">
        <f t="shared" si="3"/>
        <v>8.076924599998847E-2</v>
      </c>
      <c r="N24" s="21"/>
      <c r="O24" s="21">
        <v>24</v>
      </c>
      <c r="P24" s="21" t="s">
        <v>33</v>
      </c>
      <c r="Q24" s="21">
        <v>1844363.3219999999</v>
      </c>
      <c r="R24" s="21">
        <v>5595623.0669999998</v>
      </c>
      <c r="S24" s="21">
        <v>327.02820500000001</v>
      </c>
      <c r="T24" s="21">
        <v>3.3846000000000001E-2</v>
      </c>
      <c r="U24" s="21">
        <v>3.8366999999999998E-2</v>
      </c>
      <c r="V24" s="21">
        <v>326.77917480500003</v>
      </c>
      <c r="W24" s="7">
        <f>S24-V24</f>
        <v>0.24903019499998891</v>
      </c>
      <c r="X24" s="21">
        <f>S24-0.05</f>
        <v>326.978205</v>
      </c>
      <c r="Y24" s="7">
        <f>X24-V24</f>
        <v>0.19903019499997754</v>
      </c>
      <c r="Z24" s="7">
        <f t="shared" si="0"/>
        <v>0.19903019499997754</v>
      </c>
      <c r="AB24" s="21">
        <v>27</v>
      </c>
      <c r="AC24" s="21" t="s">
        <v>33</v>
      </c>
      <c r="AD24" s="21">
        <v>1844185.142</v>
      </c>
      <c r="AE24" s="21">
        <v>5595587.5769999996</v>
      </c>
      <c r="AF24" s="21">
        <v>355.94510450000001</v>
      </c>
      <c r="AG24" s="21">
        <v>2.0804E-2</v>
      </c>
      <c r="AH24" s="21">
        <v>2.6412000000000001E-2</v>
      </c>
      <c r="AI24" s="21">
        <v>356.09460449199997</v>
      </c>
      <c r="AJ24" s="21"/>
      <c r="AK24" s="21"/>
      <c r="AL24" s="21"/>
      <c r="AN24" s="21" t="s">
        <v>511</v>
      </c>
      <c r="AO24">
        <v>27</v>
      </c>
      <c r="AP24" t="s">
        <v>33</v>
      </c>
      <c r="AQ24">
        <v>1844185.1462079999</v>
      </c>
      <c r="AR24">
        <v>5595587.5915249996</v>
      </c>
      <c r="AS24">
        <v>355.92391900000001</v>
      </c>
      <c r="AT24">
        <v>1.9174E-2</v>
      </c>
      <c r="AU24">
        <v>2.6227E-2</v>
      </c>
      <c r="AW24">
        <v>27</v>
      </c>
      <c r="AX24" t="s">
        <v>33</v>
      </c>
      <c r="AY24">
        <v>1844185.1372690001</v>
      </c>
      <c r="AZ24">
        <v>5595587.5618110001</v>
      </c>
      <c r="BA24">
        <v>355.96629000000001</v>
      </c>
      <c r="BB24">
        <v>2.2433999999999999E-2</v>
      </c>
      <c r="BC24">
        <v>2.6596999999999999E-2</v>
      </c>
      <c r="BD24">
        <f t="shared" si="2"/>
        <v>2.9713999480009079E-2</v>
      </c>
      <c r="BE24">
        <f t="shared" si="2"/>
        <v>-4.2371000000002823E-2</v>
      </c>
    </row>
    <row r="25" spans="2:57" x14ac:dyDescent="0.3">
      <c r="B25" t="s">
        <v>48</v>
      </c>
      <c r="C25" t="s">
        <v>33</v>
      </c>
      <c r="D25">
        <v>1844394.93</v>
      </c>
      <c r="E25">
        <v>5596017.4670000002</v>
      </c>
      <c r="F25">
        <v>389.98802999999998</v>
      </c>
      <c r="G25">
        <v>2.8014000000000001E-2</v>
      </c>
      <c r="H25">
        <v>3.4730999999999998E-2</v>
      </c>
      <c r="I25">
        <v>390.00070190399998</v>
      </c>
      <c r="J25" s="7">
        <f t="shared" si="10"/>
        <v>-1.2671904000001177E-2</v>
      </c>
      <c r="K25" s="7">
        <f t="shared" si="11"/>
        <v>389.93802999999997</v>
      </c>
      <c r="L25" s="7">
        <f t="shared" si="12"/>
        <v>-6.2671904000012546E-2</v>
      </c>
      <c r="M25" s="7">
        <f t="shared" si="3"/>
        <v>6.2671904000012546E-2</v>
      </c>
      <c r="N25" s="21"/>
      <c r="O25" s="21">
        <v>25</v>
      </c>
      <c r="P25" s="21" t="s">
        <v>33</v>
      </c>
      <c r="Q25" s="21">
        <v>1844339.659</v>
      </c>
      <c r="R25" s="21">
        <v>5595533.6069999998</v>
      </c>
      <c r="S25" s="21">
        <v>316.83834899999999</v>
      </c>
      <c r="T25" s="21">
        <v>4.8891999999999998E-2</v>
      </c>
      <c r="U25" s="21">
        <v>5.5301000000000003E-2</v>
      </c>
      <c r="V25" s="21">
        <v>316.750244141</v>
      </c>
      <c r="W25" s="7">
        <f>S25-V25</f>
        <v>8.8104858999997759E-2</v>
      </c>
      <c r="X25" s="21">
        <f>S25-0.05</f>
        <v>316.78834899999998</v>
      </c>
      <c r="Y25" s="7">
        <f>X25-V25</f>
        <v>3.8104858999986391E-2</v>
      </c>
      <c r="Z25" s="7">
        <f t="shared" si="0"/>
        <v>3.8104858999986391E-2</v>
      </c>
    </row>
    <row r="26" spans="2:57" x14ac:dyDescent="0.3">
      <c r="B26" t="s">
        <v>49</v>
      </c>
      <c r="C26" t="s">
        <v>33</v>
      </c>
      <c r="D26">
        <v>1844569.7649999999</v>
      </c>
      <c r="E26">
        <v>5596017.6809999999</v>
      </c>
      <c r="F26">
        <v>397.95995199999999</v>
      </c>
      <c r="G26">
        <v>2.4409E-2</v>
      </c>
      <c r="H26">
        <v>3.1371000000000003E-2</v>
      </c>
      <c r="I26">
        <v>397.87008666999998</v>
      </c>
      <c r="J26" s="7">
        <f t="shared" si="10"/>
        <v>8.986533000000918E-2</v>
      </c>
      <c r="K26" s="7">
        <f t="shared" si="11"/>
        <v>397.90995199999998</v>
      </c>
      <c r="L26" s="7">
        <f t="shared" si="12"/>
        <v>3.9865329999997812E-2</v>
      </c>
      <c r="M26" s="7">
        <f t="shared" si="3"/>
        <v>3.9865329999997812E-2</v>
      </c>
      <c r="N26" s="21"/>
      <c r="O26" s="21">
        <v>26</v>
      </c>
      <c r="P26" s="21" t="s">
        <v>33</v>
      </c>
      <c r="Q26" s="21">
        <v>1844303.1839999999</v>
      </c>
      <c r="R26" s="21">
        <v>5595520.193</v>
      </c>
      <c r="S26" s="21">
        <v>314.507093</v>
      </c>
      <c r="T26" s="21">
        <v>3.3029000000000003E-2</v>
      </c>
      <c r="U26" s="21">
        <v>4.1265999999999997E-2</v>
      </c>
      <c r="V26" s="21">
        <v>314.40969848600002</v>
      </c>
      <c r="W26" s="7">
        <f>S26-V26</f>
        <v>9.7394513999972787E-2</v>
      </c>
      <c r="X26" s="21">
        <f>S26-0.05</f>
        <v>314.45709299999999</v>
      </c>
      <c r="Y26" s="7">
        <f>X26-V26</f>
        <v>4.7394513999961418E-2</v>
      </c>
      <c r="Z26" s="7">
        <f t="shared" si="0"/>
        <v>4.7394513999961418E-2</v>
      </c>
    </row>
    <row r="27" spans="2:57" x14ac:dyDescent="0.3">
      <c r="B27" t="s">
        <v>51</v>
      </c>
      <c r="C27" t="s">
        <v>33</v>
      </c>
      <c r="D27">
        <v>1844676.007</v>
      </c>
      <c r="E27">
        <v>5595952.9440000001</v>
      </c>
      <c r="F27">
        <v>392.21338200000002</v>
      </c>
      <c r="G27">
        <v>2.5833999999999999E-2</v>
      </c>
      <c r="H27">
        <v>3.2097000000000001E-2</v>
      </c>
      <c r="I27">
        <v>392.09796142599998</v>
      </c>
      <c r="J27" s="7">
        <f t="shared" si="10"/>
        <v>0.11542057400004069</v>
      </c>
      <c r="K27" s="7">
        <f t="shared" si="11"/>
        <v>392.16338200000001</v>
      </c>
      <c r="L27" s="7">
        <f t="shared" si="12"/>
        <v>6.5420574000029319E-2</v>
      </c>
      <c r="M27" s="7">
        <f t="shared" si="3"/>
        <v>6.5420574000029319E-2</v>
      </c>
      <c r="N27" s="21"/>
      <c r="O27" s="21">
        <v>27</v>
      </c>
      <c r="P27" s="21" t="s">
        <v>33</v>
      </c>
      <c r="Q27" s="21">
        <v>1844185.1440000001</v>
      </c>
      <c r="R27" s="21">
        <v>5595587.5810000002</v>
      </c>
      <c r="S27" s="21">
        <v>355.92442599999998</v>
      </c>
      <c r="T27" s="21">
        <v>1.1738E-2</v>
      </c>
      <c r="U27" s="21">
        <v>2.4462999999999999E-2</v>
      </c>
      <c r="V27" s="21">
        <v>355.18695068400001</v>
      </c>
      <c r="X27" s="21"/>
      <c r="Y27" s="21"/>
      <c r="Z27" s="7"/>
    </row>
    <row r="28" spans="2:57" x14ac:dyDescent="0.3">
      <c r="B28" t="s">
        <v>58</v>
      </c>
      <c r="C28" t="s">
        <v>33</v>
      </c>
      <c r="D28">
        <v>1844385.94</v>
      </c>
      <c r="E28">
        <v>5595878.7980000004</v>
      </c>
      <c r="F28">
        <v>382.34035399999999</v>
      </c>
      <c r="G28">
        <v>2.3629000000000001E-2</v>
      </c>
      <c r="H28">
        <v>2.5201999999999999E-2</v>
      </c>
      <c r="I28">
        <v>382.26699829099999</v>
      </c>
      <c r="J28" s="7">
        <f t="shared" si="10"/>
        <v>7.335570899999766E-2</v>
      </c>
      <c r="K28" s="7">
        <f t="shared" si="11"/>
        <v>382.29035399999998</v>
      </c>
      <c r="L28" s="7">
        <f t="shared" si="12"/>
        <v>2.3355708999986291E-2</v>
      </c>
      <c r="M28" s="7">
        <f t="shared" si="3"/>
        <v>2.3355708999986291E-2</v>
      </c>
      <c r="N28" s="21"/>
    </row>
    <row r="29" spans="2:57" x14ac:dyDescent="0.3">
      <c r="B29" t="s">
        <v>41</v>
      </c>
      <c r="C29" t="s">
        <v>33</v>
      </c>
      <c r="D29">
        <v>1844189.9439999999</v>
      </c>
      <c r="E29">
        <v>5596021.3909999998</v>
      </c>
      <c r="F29">
        <v>395.97865999999999</v>
      </c>
      <c r="G29">
        <v>2.3741000000000002E-2</v>
      </c>
      <c r="H29">
        <v>4.1007000000000002E-2</v>
      </c>
      <c r="I29">
        <v>396.14602661100002</v>
      </c>
      <c r="J29" s="7"/>
      <c r="K29" s="7"/>
      <c r="L29" s="7"/>
      <c r="M29" s="7"/>
      <c r="N29" s="21"/>
      <c r="AA29" s="7"/>
    </row>
    <row r="30" spans="2:57" x14ac:dyDescent="0.3">
      <c r="B30" t="s">
        <v>56</v>
      </c>
      <c r="C30" t="s">
        <v>33</v>
      </c>
      <c r="D30">
        <v>1844523.176</v>
      </c>
      <c r="E30">
        <v>5595817.9950000001</v>
      </c>
      <c r="F30">
        <v>368.20155499999998</v>
      </c>
      <c r="G30">
        <v>2.554E-2</v>
      </c>
      <c r="H30">
        <v>2.6943000000000002E-2</v>
      </c>
      <c r="I30">
        <v>368.14025878899997</v>
      </c>
      <c r="J30" s="7">
        <f>F30-I30</f>
        <v>6.129621100001259E-2</v>
      </c>
      <c r="K30" s="7">
        <f>F30-0.05</f>
        <v>368.15155499999997</v>
      </c>
      <c r="L30" s="7">
        <f>K30-I30</f>
        <v>1.1296211000001222E-2</v>
      </c>
      <c r="M30" s="7">
        <f t="shared" si="3"/>
        <v>1.1296211000001222E-2</v>
      </c>
      <c r="N30" s="21"/>
      <c r="AA30" s="7"/>
    </row>
    <row r="31" spans="2:57" x14ac:dyDescent="0.3">
      <c r="B31" t="s">
        <v>53</v>
      </c>
      <c r="C31" t="s">
        <v>33</v>
      </c>
      <c r="D31">
        <v>1844707.7779999999</v>
      </c>
      <c r="E31">
        <v>5595725.9170000004</v>
      </c>
      <c r="F31">
        <v>375.90539699999999</v>
      </c>
      <c r="G31">
        <v>2.8833000000000001E-2</v>
      </c>
      <c r="H31">
        <v>3.2703000000000003E-2</v>
      </c>
      <c r="I31">
        <v>375.58950805699999</v>
      </c>
      <c r="J31" s="7">
        <f>F31-I31</f>
        <v>0.31588894300000447</v>
      </c>
      <c r="K31" s="7">
        <f>F31-0.05</f>
        <v>375.85539699999998</v>
      </c>
      <c r="L31" s="7">
        <f>K31-I31</f>
        <v>0.26588894299999311</v>
      </c>
      <c r="M31" s="7">
        <f t="shared" si="3"/>
        <v>0.26588894299999311</v>
      </c>
      <c r="N31" s="21"/>
    </row>
    <row r="32" spans="2:57" x14ac:dyDescent="0.3">
      <c r="B32" t="s">
        <v>55</v>
      </c>
      <c r="C32" t="s">
        <v>33</v>
      </c>
      <c r="D32">
        <v>1844644.629</v>
      </c>
      <c r="E32">
        <v>5595687.5769999996</v>
      </c>
      <c r="F32">
        <v>359.11455799999999</v>
      </c>
      <c r="G32">
        <v>3.0025E-2</v>
      </c>
      <c r="H32">
        <v>3.3023999999999998E-2</v>
      </c>
      <c r="I32">
        <v>359.09515380900001</v>
      </c>
      <c r="J32" s="7">
        <f>F32-I32</f>
        <v>1.9404190999978255E-2</v>
      </c>
      <c r="K32" s="7">
        <f>F32-0.05</f>
        <v>359.06455799999998</v>
      </c>
      <c r="L32" s="7">
        <f>K32-I32</f>
        <v>-3.0595809000033114E-2</v>
      </c>
      <c r="M32" s="7">
        <f t="shared" si="3"/>
        <v>3.0595809000033114E-2</v>
      </c>
      <c r="N32" s="21"/>
    </row>
    <row r="33" spans="1:38" x14ac:dyDescent="0.3">
      <c r="B33" t="s">
        <v>39</v>
      </c>
      <c r="C33" t="s">
        <v>33</v>
      </c>
      <c r="D33">
        <v>1844378.879</v>
      </c>
      <c r="E33">
        <v>5595385.5439999998</v>
      </c>
      <c r="F33">
        <v>309.62359300000003</v>
      </c>
      <c r="G33">
        <v>1.176E-2</v>
      </c>
      <c r="H33">
        <v>1.3153E-2</v>
      </c>
      <c r="I33">
        <v>310.38275146500001</v>
      </c>
      <c r="J33" s="7"/>
      <c r="K33" s="7"/>
      <c r="L33" s="7"/>
      <c r="M33" s="21"/>
      <c r="N33" s="21"/>
      <c r="AJ33" s="21"/>
      <c r="AK33" s="21"/>
      <c r="AL33" s="21"/>
    </row>
    <row r="34" spans="1:38" x14ac:dyDescent="0.3">
      <c r="I34" s="21"/>
      <c r="J34" s="21"/>
      <c r="K34" s="21"/>
      <c r="L34" s="21"/>
      <c r="M34" s="21"/>
      <c r="N34" s="21"/>
      <c r="V34"/>
      <c r="X34" s="21"/>
      <c r="Y34" s="21"/>
      <c r="AJ34" s="21"/>
      <c r="AK34" s="21"/>
      <c r="AL34" s="21"/>
    </row>
    <row r="35" spans="1:38" x14ac:dyDescent="0.3">
      <c r="N35" s="21"/>
      <c r="V35"/>
      <c r="W35" s="7"/>
      <c r="X35" s="21"/>
      <c r="Y35" s="21"/>
      <c r="AJ35" s="21"/>
      <c r="AK35" s="21"/>
      <c r="AL35" s="21"/>
    </row>
    <row r="36" spans="1:38" x14ac:dyDescent="0.3">
      <c r="N36" s="21"/>
      <c r="V36"/>
      <c r="W36" s="7"/>
      <c r="X36" s="21"/>
      <c r="Y36" s="21"/>
      <c r="AJ36" s="21"/>
      <c r="AK36" s="21"/>
      <c r="AL36" s="21"/>
    </row>
    <row r="37" spans="1:38" x14ac:dyDescent="0.3">
      <c r="E37" s="21" t="s">
        <v>466</v>
      </c>
      <c r="F37" s="7">
        <f>AVERAGE(L6:L33)</f>
        <v>0.14024880059090286</v>
      </c>
      <c r="G37" s="21"/>
      <c r="I37" s="7"/>
      <c r="K37" s="21" t="s">
        <v>466</v>
      </c>
      <c r="L37" s="7">
        <f>AVERAGE(Y6:Y26)</f>
        <v>1.798544431248672E-2</v>
      </c>
      <c r="M37" s="21"/>
      <c r="O37" s="7"/>
      <c r="R37" s="21" t="s">
        <v>466</v>
      </c>
      <c r="S37" s="7">
        <f>AVERAGE(AL6:AL24)</f>
        <v>1.7762791499986212E-2</v>
      </c>
      <c r="T37" s="21"/>
      <c r="V37"/>
      <c r="W37" s="7"/>
      <c r="X37" s="21"/>
      <c r="Y37" s="21"/>
      <c r="AJ37" s="21"/>
      <c r="AK37" s="21"/>
      <c r="AL37" s="21"/>
    </row>
    <row r="38" spans="1:38" x14ac:dyDescent="0.3">
      <c r="E38" s="21" t="s">
        <v>465</v>
      </c>
      <c r="F38" s="7">
        <f>MAX(L6:L33)</f>
        <v>0.94461493900001869</v>
      </c>
      <c r="G38" s="21"/>
      <c r="I38" s="7"/>
      <c r="K38" s="21" t="s">
        <v>465</v>
      </c>
      <c r="L38" s="7">
        <f>MAX(Y6:Y26)</f>
        <v>0.32872463300003574</v>
      </c>
      <c r="M38" s="21"/>
      <c r="O38" s="7"/>
      <c r="R38" s="21" t="s">
        <v>465</v>
      </c>
      <c r="S38" s="7">
        <f>MAX(AL6:AL24)</f>
        <v>0.30232891999997946</v>
      </c>
      <c r="T38" s="21"/>
      <c r="V38"/>
      <c r="W38" s="7"/>
      <c r="X38" s="21"/>
      <c r="Y38" s="21"/>
      <c r="AJ38" s="21"/>
      <c r="AK38" s="21"/>
      <c r="AL38" s="21"/>
    </row>
    <row r="39" spans="1:38" x14ac:dyDescent="0.3">
      <c r="E39" s="21" t="s">
        <v>475</v>
      </c>
      <c r="F39" s="7">
        <f>MIN(L6:L33)</f>
        <v>-0.17873218400001178</v>
      </c>
      <c r="G39" s="21"/>
      <c r="K39" s="21" t="s">
        <v>475</v>
      </c>
      <c r="L39" s="7">
        <f>MIN(Y6:Y26)</f>
        <v>-0.48075644499999726</v>
      </c>
      <c r="M39" s="21"/>
      <c r="O39" s="7"/>
      <c r="R39" s="21" t="s">
        <v>475</v>
      </c>
      <c r="S39" s="7">
        <f>MIN(AL6:AL24)</f>
        <v>-0.28743231599997898</v>
      </c>
      <c r="T39" s="21"/>
      <c r="V39" s="7"/>
      <c r="W39" s="7"/>
      <c r="X39" s="21"/>
      <c r="Y39" s="21"/>
      <c r="AJ39" s="21"/>
      <c r="AK39" s="21"/>
      <c r="AL39" s="21"/>
    </row>
    <row r="40" spans="1:38" s="21" customFormat="1" x14ac:dyDescent="0.3">
      <c r="E40" s="21" t="s">
        <v>664</v>
      </c>
      <c r="F40" s="7">
        <f>MIN(M6:M33)</f>
        <v>1.1296211000001222E-2</v>
      </c>
      <c r="I40" s="7"/>
      <c r="K40" s="21" t="s">
        <v>664</v>
      </c>
      <c r="L40" s="7">
        <f>MIN(Z6:Z26)</f>
        <v>1.1470370000097319E-3</v>
      </c>
      <c r="O40" s="7"/>
      <c r="R40" s="21" t="s">
        <v>664</v>
      </c>
      <c r="S40" s="7">
        <f>MIN(AM6:AM24)</f>
        <v>2.9080915999998069E-2</v>
      </c>
      <c r="V40" s="7"/>
      <c r="W40" s="7"/>
    </row>
    <row r="41" spans="1:38" x14ac:dyDescent="0.3">
      <c r="E41" s="21" t="s">
        <v>509</v>
      </c>
      <c r="F41" s="7">
        <f>_xlfn.STDEV.S(L6:L33)</f>
        <v>0.27243413601384098</v>
      </c>
      <c r="G41" s="7"/>
      <c r="I41" s="7"/>
      <c r="K41" t="s">
        <v>509</v>
      </c>
      <c r="L41" s="7">
        <f>_xlfn.STDEV.S(Y6:Y26)</f>
        <v>0.17232244546896661</v>
      </c>
      <c r="M41" s="7"/>
      <c r="R41" t="s">
        <v>509</v>
      </c>
      <c r="S41" s="7">
        <f>_xlfn.STDEV.S(AL6:AL24)</f>
        <v>0.17004830148824063</v>
      </c>
      <c r="T41" s="21"/>
      <c r="V41"/>
      <c r="W41" s="7"/>
      <c r="X41" s="21"/>
      <c r="Y41" s="21"/>
      <c r="AJ41" s="21"/>
      <c r="AK41" s="21"/>
      <c r="AL41" s="21"/>
    </row>
    <row r="42" spans="1:38" x14ac:dyDescent="0.3">
      <c r="E42" s="21" t="s">
        <v>512</v>
      </c>
      <c r="F42" s="21">
        <f>COUNT(L6:L33)</f>
        <v>22</v>
      </c>
      <c r="G42" s="21"/>
      <c r="I42" s="7"/>
      <c r="K42" s="21" t="s">
        <v>512</v>
      </c>
      <c r="L42" s="21">
        <f>COUNT(Y6:Y26)</f>
        <v>16</v>
      </c>
      <c r="M42" s="21"/>
      <c r="R42" s="21" t="s">
        <v>512</v>
      </c>
      <c r="S42" s="21">
        <f>COUNT(AL5:AL24)</f>
        <v>14</v>
      </c>
      <c r="T42" s="21"/>
      <c r="V42"/>
      <c r="W42" s="7"/>
      <c r="X42" s="21"/>
      <c r="Y42" s="21"/>
      <c r="AJ42" s="21"/>
      <c r="AK42" s="21"/>
      <c r="AL42" s="21"/>
    </row>
    <row r="43" spans="1:38" x14ac:dyDescent="0.3">
      <c r="E43" s="21" t="s">
        <v>98</v>
      </c>
      <c r="F43" s="7">
        <f>SQRT((SUMSQ(L6:L33)/COUNTA(L6:L33)))</f>
        <v>0.30085948859104844</v>
      </c>
      <c r="G43" s="21"/>
      <c r="K43" t="s">
        <v>98</v>
      </c>
      <c r="L43" s="7">
        <f>SQRT((SUMSQ(Y6:Y27)/COUNTA(Y6:Y27)))</f>
        <v>0.16781705021763202</v>
      </c>
      <c r="M43" s="21"/>
      <c r="O43" s="7"/>
      <c r="R43" s="21" t="s">
        <v>98</v>
      </c>
      <c r="S43" s="7">
        <f>SQRT((SUMSQ(AL6:AL24)/COUNTA(AL6:AL24)))</f>
        <v>0.16482257941141923</v>
      </c>
      <c r="T43" s="21"/>
      <c r="V43"/>
      <c r="W43" s="7"/>
      <c r="X43" s="21"/>
      <c r="Y43" s="21"/>
      <c r="AJ43" s="21"/>
      <c r="AK43" s="21"/>
      <c r="AL43" s="21"/>
    </row>
    <row r="44" spans="1:38" x14ac:dyDescent="0.3">
      <c r="F44" s="7"/>
      <c r="G44" s="7"/>
      <c r="S44" s="21"/>
      <c r="T44" s="21"/>
      <c r="V44"/>
      <c r="W44" s="7"/>
      <c r="X44" s="21"/>
      <c r="Y44" s="7"/>
      <c r="AJ44" s="21"/>
      <c r="AK44" s="21"/>
      <c r="AL44" s="21"/>
    </row>
    <row r="45" spans="1:38" x14ac:dyDescent="0.3">
      <c r="W45" s="7"/>
      <c r="X45" s="21"/>
      <c r="Y45" s="7"/>
    </row>
    <row r="46" spans="1:38" x14ac:dyDescent="0.3">
      <c r="A46" t="s">
        <v>661</v>
      </c>
      <c r="B46" t="s">
        <v>662</v>
      </c>
      <c r="N46" s="21" t="s">
        <v>661</v>
      </c>
      <c r="O46" s="21" t="s">
        <v>662</v>
      </c>
      <c r="W46" s="7"/>
      <c r="X46" s="21"/>
      <c r="Y46" s="7"/>
    </row>
    <row r="47" spans="1:38" x14ac:dyDescent="0.3">
      <c r="A47">
        <v>438.906656</v>
      </c>
      <c r="B47" s="21">
        <v>439.08538818400001</v>
      </c>
      <c r="C47" s="7">
        <f>1.0035*A47-1.4366</f>
        <v>439.00622929600001</v>
      </c>
      <c r="D47" s="7">
        <f>B47-C47</f>
        <v>7.9158887999994931E-2</v>
      </c>
      <c r="N47">
        <v>438.93248699999998</v>
      </c>
      <c r="O47" s="21">
        <v>438.98248699999999</v>
      </c>
      <c r="P47" s="7">
        <f>N47+0.005</f>
        <v>438.93748699999998</v>
      </c>
      <c r="Q47" s="7">
        <f>O47-P47</f>
        <v>4.5000000000015916E-2</v>
      </c>
      <c r="T47" s="21" t="s">
        <v>661</v>
      </c>
      <c r="U47" s="21" t="s">
        <v>662</v>
      </c>
      <c r="W47" s="7"/>
      <c r="X47" s="7"/>
      <c r="Y47" s="7"/>
    </row>
    <row r="48" spans="1:38" x14ac:dyDescent="0.3">
      <c r="A48">
        <v>430.39125200000001</v>
      </c>
      <c r="B48" s="21">
        <v>430.43011474600002</v>
      </c>
      <c r="C48" s="7">
        <f t="shared" ref="C48:C68" si="13">1.0035*A48-1.4366</f>
        <v>430.46102138200001</v>
      </c>
      <c r="D48" s="7">
        <f t="shared" ref="D48:D68" si="14">B48-C48</f>
        <v>-3.0906635999997434E-2</v>
      </c>
      <c r="N48">
        <v>430.39842899999996</v>
      </c>
      <c r="O48" s="21">
        <v>430.44842899999998</v>
      </c>
      <c r="P48" s="7">
        <f>N48+0.005</f>
        <v>430.40342899999996</v>
      </c>
      <c r="Q48" s="7">
        <f t="shared" ref="Q48:Q63" si="15">O48-P48</f>
        <v>4.5000000000015916E-2</v>
      </c>
      <c r="T48">
        <v>438.94905699999998</v>
      </c>
      <c r="U48" s="21">
        <v>439.06271362299998</v>
      </c>
      <c r="W48" t="s">
        <v>634</v>
      </c>
    </row>
    <row r="49" spans="1:31" ht="15" thickBot="1" x14ac:dyDescent="0.35">
      <c r="A49">
        <v>421.84334799999999</v>
      </c>
      <c r="B49" s="21">
        <v>421.68829345699999</v>
      </c>
      <c r="C49" s="7">
        <f t="shared" si="13"/>
        <v>421.88319971800001</v>
      </c>
      <c r="D49" s="7">
        <f t="shared" si="14"/>
        <v>-0.19490626100002828</v>
      </c>
      <c r="N49">
        <v>421.82415199999997</v>
      </c>
      <c r="O49" s="21">
        <v>421.87415199999998</v>
      </c>
      <c r="P49" s="7">
        <f t="shared" ref="P49:P63" si="16">N49+0.005</f>
        <v>421.82915199999997</v>
      </c>
      <c r="Q49" s="7">
        <f t="shared" si="15"/>
        <v>4.5000000000015916E-2</v>
      </c>
      <c r="T49">
        <v>430.41637950000001</v>
      </c>
      <c r="U49" s="21">
        <v>430.38729858400001</v>
      </c>
      <c r="W49"/>
    </row>
    <row r="50" spans="1:31" x14ac:dyDescent="0.3">
      <c r="A50">
        <v>414.58833899999996</v>
      </c>
      <c r="B50" s="21">
        <v>414.47125244099999</v>
      </c>
      <c r="C50" s="7">
        <f t="shared" si="13"/>
        <v>414.60279818649997</v>
      </c>
      <c r="D50" s="7">
        <f t="shared" si="14"/>
        <v>-0.13154574549997733</v>
      </c>
      <c r="N50">
        <v>414.602216</v>
      </c>
      <c r="O50" s="21">
        <v>414.65221600000001</v>
      </c>
      <c r="P50" s="7">
        <f t="shared" si="16"/>
        <v>414.60721599999999</v>
      </c>
      <c r="Q50" s="7">
        <f t="shared" si="15"/>
        <v>4.5000000000015916E-2</v>
      </c>
      <c r="T50">
        <v>421.8580235</v>
      </c>
      <c r="U50" s="21">
        <v>421.55569458000002</v>
      </c>
      <c r="W50" s="63" t="s">
        <v>635</v>
      </c>
      <c r="X50" s="63"/>
    </row>
    <row r="51" spans="1:31" x14ac:dyDescent="0.3">
      <c r="A51">
        <v>421.43516699999998</v>
      </c>
      <c r="B51" s="21">
        <v>421.37496948199998</v>
      </c>
      <c r="C51" s="7">
        <f t="shared" si="13"/>
        <v>421.47359008450002</v>
      </c>
      <c r="D51" s="7">
        <f t="shared" si="14"/>
        <v>-9.8620602500034238E-2</v>
      </c>
      <c r="N51">
        <v>421.36897499999998</v>
      </c>
      <c r="O51" s="21">
        <v>421.41897499999999</v>
      </c>
      <c r="P51" s="7">
        <f t="shared" si="16"/>
        <v>421.37397499999997</v>
      </c>
      <c r="Q51" s="7">
        <f t="shared" si="15"/>
        <v>4.5000000000015916E-2</v>
      </c>
      <c r="T51">
        <v>414.62479350000001</v>
      </c>
      <c r="U51" s="21">
        <v>414.426605225</v>
      </c>
      <c r="W51" s="60" t="s">
        <v>636</v>
      </c>
      <c r="X51" s="60">
        <v>0.999969784426883</v>
      </c>
    </row>
    <row r="52" spans="1:31" x14ac:dyDescent="0.3">
      <c r="A52">
        <v>402.89071200000001</v>
      </c>
      <c r="B52" s="21">
        <v>402.73495483400001</v>
      </c>
      <c r="C52" s="7">
        <f t="shared" si="13"/>
        <v>402.86422949200005</v>
      </c>
      <c r="D52" s="7">
        <f t="shared" si="14"/>
        <v>-0.12927465800004256</v>
      </c>
      <c r="N52">
        <v>402.93260099999998</v>
      </c>
      <c r="O52" s="21">
        <v>402.98260099999999</v>
      </c>
      <c r="P52" s="7">
        <f t="shared" si="16"/>
        <v>402.93760099999997</v>
      </c>
      <c r="Q52" s="7">
        <f t="shared" si="15"/>
        <v>4.5000000000015916E-2</v>
      </c>
      <c r="T52">
        <v>421.39187649999997</v>
      </c>
      <c r="U52" s="21">
        <v>421.66470336899999</v>
      </c>
      <c r="W52" s="60" t="s">
        <v>637</v>
      </c>
      <c r="X52" s="60">
        <v>0.99993956976674692</v>
      </c>
    </row>
    <row r="53" spans="1:31" x14ac:dyDescent="0.3">
      <c r="A53">
        <v>310.45947699999999</v>
      </c>
      <c r="B53" s="21">
        <v>309.51486206099997</v>
      </c>
      <c r="C53" s="7">
        <f t="shared" si="13"/>
        <v>310.10948516950003</v>
      </c>
      <c r="D53" s="7">
        <f t="shared" si="14"/>
        <v>-0.59462310850005906</v>
      </c>
      <c r="N53" s="7">
        <v>401.02715699999999</v>
      </c>
      <c r="O53" s="21">
        <v>401.077157</v>
      </c>
      <c r="P53" s="7">
        <f t="shared" si="16"/>
        <v>401.03215699999998</v>
      </c>
      <c r="Q53" s="7">
        <f t="shared" si="15"/>
        <v>4.5000000000015916E-2</v>
      </c>
      <c r="T53">
        <v>402.93796549999996</v>
      </c>
      <c r="U53" s="21">
        <v>402.81152343799999</v>
      </c>
      <c r="W53" s="60" t="s">
        <v>638</v>
      </c>
      <c r="X53" s="60">
        <v>0.9999345339139758</v>
      </c>
    </row>
    <row r="54" spans="1:31" x14ac:dyDescent="0.3">
      <c r="A54">
        <v>302.51167599999997</v>
      </c>
      <c r="B54" s="21">
        <v>301.66851806599999</v>
      </c>
      <c r="C54" s="7">
        <f t="shared" si="13"/>
        <v>302.13386686600001</v>
      </c>
      <c r="D54" s="7">
        <f t="shared" si="14"/>
        <v>-0.46534880000001522</v>
      </c>
      <c r="N54" s="7">
        <v>405.81480199999999</v>
      </c>
      <c r="O54" s="21">
        <v>405.864802</v>
      </c>
      <c r="P54" s="7">
        <f t="shared" si="16"/>
        <v>405.81980199999998</v>
      </c>
      <c r="Q54" s="7">
        <f t="shared" si="15"/>
        <v>4.5000000000015916E-2</v>
      </c>
      <c r="T54">
        <v>401.02795049999997</v>
      </c>
      <c r="U54" s="21">
        <v>400.942230225</v>
      </c>
      <c r="W54" s="60" t="s">
        <v>639</v>
      </c>
      <c r="X54" s="60">
        <v>0.17689902684544753</v>
      </c>
    </row>
    <row r="55" spans="1:31" ht="15" thickBot="1" x14ac:dyDescent="0.35">
      <c r="A55">
        <v>326.928291</v>
      </c>
      <c r="B55" s="21">
        <v>326.66744995099998</v>
      </c>
      <c r="C55" s="7">
        <f t="shared" si="13"/>
        <v>326.63594001850004</v>
      </c>
      <c r="D55" s="7">
        <f t="shared" si="14"/>
        <v>3.1509932499943716E-2</v>
      </c>
      <c r="N55" s="7">
        <v>390.143595</v>
      </c>
      <c r="O55" s="21">
        <v>390.19359500000002</v>
      </c>
      <c r="P55" s="7">
        <f t="shared" si="16"/>
        <v>390.148595</v>
      </c>
      <c r="Q55" s="7">
        <f t="shared" si="15"/>
        <v>4.5000000000015916E-2</v>
      </c>
      <c r="T55">
        <v>405.84742349999999</v>
      </c>
      <c r="U55" s="21">
        <v>405.76040649399999</v>
      </c>
      <c r="W55" s="61" t="s">
        <v>640</v>
      </c>
      <c r="X55" s="61">
        <v>14</v>
      </c>
    </row>
    <row r="56" spans="1:31" x14ac:dyDescent="0.3">
      <c r="A56">
        <v>316.25608899999997</v>
      </c>
      <c r="B56" s="21">
        <v>315.98989868199999</v>
      </c>
      <c r="C56" s="7">
        <f t="shared" si="13"/>
        <v>315.92638531149998</v>
      </c>
      <c r="D56" s="7">
        <f t="shared" si="14"/>
        <v>6.3513370500004385E-2</v>
      </c>
      <c r="N56">
        <v>398.23669200000001</v>
      </c>
      <c r="O56" s="21">
        <v>398.28669200000002</v>
      </c>
      <c r="P56" s="7">
        <f t="shared" si="16"/>
        <v>398.241692</v>
      </c>
      <c r="Q56" s="7">
        <f t="shared" si="15"/>
        <v>4.5000000000015916E-2</v>
      </c>
      <c r="T56">
        <v>390.11113599999999</v>
      </c>
      <c r="U56" s="21">
        <v>390.16815185500002</v>
      </c>
      <c r="W56"/>
    </row>
    <row r="57" spans="1:31" ht="15" thickBot="1" x14ac:dyDescent="0.35">
      <c r="A57">
        <v>314.481291</v>
      </c>
      <c r="B57" s="21">
        <v>314.42141723600002</v>
      </c>
      <c r="C57" s="7">
        <f t="shared" si="13"/>
        <v>314.14537551850003</v>
      </c>
      <c r="D57" s="7">
        <f t="shared" si="14"/>
        <v>0.27604171749999296</v>
      </c>
      <c r="N57">
        <v>392.21230099999997</v>
      </c>
      <c r="O57" s="21">
        <v>392.26230099999998</v>
      </c>
      <c r="P57" s="7">
        <f t="shared" si="16"/>
        <v>392.21730099999996</v>
      </c>
      <c r="Q57" s="7">
        <f t="shared" si="15"/>
        <v>4.5000000000015916E-2</v>
      </c>
      <c r="T57">
        <v>398.14483250000001</v>
      </c>
      <c r="U57" s="21">
        <v>398.10656738300003</v>
      </c>
      <c r="W57" t="s">
        <v>641</v>
      </c>
    </row>
    <row r="58" spans="1:31" x14ac:dyDescent="0.3">
      <c r="A58">
        <v>334.61570899999998</v>
      </c>
      <c r="B58" s="21">
        <v>334.78884887700002</v>
      </c>
      <c r="C58" s="7">
        <f t="shared" si="13"/>
        <v>334.35026398150001</v>
      </c>
      <c r="D58" s="7">
        <f t="shared" si="14"/>
        <v>0.43858489550001423</v>
      </c>
      <c r="N58">
        <v>383.23942499999998</v>
      </c>
      <c r="O58" s="21">
        <v>383.28942499999999</v>
      </c>
      <c r="P58" s="7">
        <f t="shared" si="16"/>
        <v>383.24442499999998</v>
      </c>
      <c r="Q58" s="7">
        <f t="shared" si="15"/>
        <v>4.5000000000015916E-2</v>
      </c>
      <c r="T58">
        <v>392.21311700000001</v>
      </c>
      <c r="U58" s="21">
        <v>392.50054931599999</v>
      </c>
      <c r="W58" s="62"/>
      <c r="X58" s="62" t="s">
        <v>646</v>
      </c>
      <c r="Y58" s="62" t="s">
        <v>647</v>
      </c>
      <c r="Z58" s="62" t="s">
        <v>648</v>
      </c>
      <c r="AA58" s="62" t="s">
        <v>548</v>
      </c>
      <c r="AB58" s="62" t="s">
        <v>649</v>
      </c>
    </row>
    <row r="59" spans="1:31" x14ac:dyDescent="0.3">
      <c r="A59">
        <v>335.19785300000001</v>
      </c>
      <c r="B59" s="21">
        <v>335.131103516</v>
      </c>
      <c r="C59" s="7">
        <f t="shared" si="13"/>
        <v>334.93444548550002</v>
      </c>
      <c r="D59" s="7">
        <f t="shared" si="14"/>
        <v>0.19665803049997521</v>
      </c>
      <c r="N59">
        <v>311.83784600000001</v>
      </c>
      <c r="O59" s="21">
        <v>311.88784600000002</v>
      </c>
      <c r="P59" s="7">
        <f t="shared" si="16"/>
        <v>311.84284600000001</v>
      </c>
      <c r="Q59" s="7">
        <f t="shared" si="15"/>
        <v>4.5000000000015916E-2</v>
      </c>
      <c r="T59">
        <v>382.93592000000001</v>
      </c>
      <c r="U59" s="21">
        <v>383.05291748000002</v>
      </c>
      <c r="W59" s="60" t="s">
        <v>642</v>
      </c>
      <c r="X59" s="60">
        <v>1</v>
      </c>
      <c r="Y59" s="60">
        <v>6213.7191180725586</v>
      </c>
      <c r="Z59" s="60">
        <v>6213.7191180725586</v>
      </c>
      <c r="AA59" s="60">
        <v>198564.0993134717</v>
      </c>
      <c r="AB59" s="60">
        <v>1.0986235256146857E-26</v>
      </c>
    </row>
    <row r="60" spans="1:31" x14ac:dyDescent="0.3">
      <c r="A60">
        <v>400.95483999999999</v>
      </c>
      <c r="B60" s="21">
        <v>400.80148315399998</v>
      </c>
      <c r="C60" s="7">
        <f t="shared" si="13"/>
        <v>400.92158194000001</v>
      </c>
      <c r="D60" s="7">
        <f t="shared" si="14"/>
        <v>-0.12009878600002821</v>
      </c>
      <c r="N60">
        <v>304.54637600000001</v>
      </c>
      <c r="O60" s="21">
        <v>304.59637600000002</v>
      </c>
      <c r="P60" s="7">
        <f t="shared" si="16"/>
        <v>304.551376</v>
      </c>
      <c r="Q60" s="7">
        <f t="shared" si="15"/>
        <v>4.5000000000015916E-2</v>
      </c>
      <c r="T60">
        <v>375.94901599999997</v>
      </c>
      <c r="U60" s="21">
        <v>375.79440307599998</v>
      </c>
      <c r="W60" s="60" t="s">
        <v>643</v>
      </c>
      <c r="X60" s="60">
        <v>12</v>
      </c>
      <c r="Y60" s="60">
        <v>0.37551918838639642</v>
      </c>
      <c r="Z60" s="60">
        <v>3.1293265698866368E-2</v>
      </c>
      <c r="AA60" s="60"/>
      <c r="AB60" s="60"/>
    </row>
    <row r="61" spans="1:31" ht="15" thickBot="1" x14ac:dyDescent="0.35">
      <c r="A61">
        <v>405.81471699999997</v>
      </c>
      <c r="B61" s="21">
        <v>405.73394775399998</v>
      </c>
      <c r="C61" s="7">
        <f t="shared" si="13"/>
        <v>405.79846850950003</v>
      </c>
      <c r="D61" s="7">
        <f t="shared" si="14"/>
        <v>-6.4520755500041105E-2</v>
      </c>
      <c r="M61" s="21"/>
      <c r="N61">
        <v>326.978205</v>
      </c>
      <c r="O61" s="21">
        <v>327.02820500000001</v>
      </c>
      <c r="P61" s="7">
        <f t="shared" si="16"/>
        <v>326.983205</v>
      </c>
      <c r="Q61" s="7">
        <f t="shared" si="15"/>
        <v>4.5000000000015916E-2</v>
      </c>
      <c r="T61">
        <v>359.55111849999997</v>
      </c>
      <c r="U61" s="21">
        <v>359.47616577100001</v>
      </c>
      <c r="W61" s="61" t="s">
        <v>644</v>
      </c>
      <c r="X61" s="61">
        <v>13</v>
      </c>
      <c r="Y61" s="61">
        <v>6214.0946372609451</v>
      </c>
      <c r="Z61" s="61"/>
      <c r="AA61" s="61"/>
      <c r="AB61" s="61"/>
    </row>
    <row r="62" spans="1:31" ht="15" thickBot="1" x14ac:dyDescent="0.35">
      <c r="A62">
        <v>389.93802999999997</v>
      </c>
      <c r="B62" s="21">
        <v>390.00070190399998</v>
      </c>
      <c r="C62" s="7">
        <f t="shared" si="13"/>
        <v>389.86621310499999</v>
      </c>
      <c r="D62" s="7">
        <f t="shared" si="14"/>
        <v>0.13448879899999611</v>
      </c>
      <c r="M62" s="21"/>
      <c r="N62">
        <v>316.78834899999998</v>
      </c>
      <c r="O62" s="21">
        <v>316.83834899999999</v>
      </c>
      <c r="P62" s="7">
        <f t="shared" si="16"/>
        <v>316.79334899999998</v>
      </c>
      <c r="Q62" s="7">
        <f t="shared" si="15"/>
        <v>4.5000000000015916E-2</v>
      </c>
      <c r="W62"/>
    </row>
    <row r="63" spans="1:31" x14ac:dyDescent="0.3">
      <c r="A63">
        <v>397.90995199999998</v>
      </c>
      <c r="B63" s="21">
        <v>397.87008666999998</v>
      </c>
      <c r="C63" s="7">
        <f t="shared" si="13"/>
        <v>397.86603683200002</v>
      </c>
      <c r="D63" s="7">
        <f t="shared" si="14"/>
        <v>4.0498379999576173E-3</v>
      </c>
      <c r="M63" s="21"/>
      <c r="N63">
        <v>314.45709299999999</v>
      </c>
      <c r="O63" s="21">
        <v>314.507093</v>
      </c>
      <c r="P63" s="7">
        <f t="shared" si="16"/>
        <v>314.46209299999998</v>
      </c>
      <c r="Q63" s="7">
        <f t="shared" si="15"/>
        <v>4.5000000000015916E-2</v>
      </c>
      <c r="W63" s="62"/>
      <c r="X63" s="62" t="s">
        <v>650</v>
      </c>
      <c r="Y63" s="62" t="s">
        <v>639</v>
      </c>
      <c r="Z63" s="62" t="s">
        <v>651</v>
      </c>
      <c r="AA63" s="62" t="s">
        <v>652</v>
      </c>
      <c r="AB63" s="62" t="s">
        <v>653</v>
      </c>
      <c r="AC63" s="62" t="s">
        <v>654</v>
      </c>
      <c r="AD63" s="62" t="s">
        <v>655</v>
      </c>
      <c r="AE63" s="62" t="s">
        <v>656</v>
      </c>
    </row>
    <row r="64" spans="1:31" x14ac:dyDescent="0.3">
      <c r="A64">
        <v>392.16338200000001</v>
      </c>
      <c r="B64" s="21">
        <v>392.09796142599998</v>
      </c>
      <c r="C64" s="7">
        <f t="shared" si="13"/>
        <v>392.09935383700002</v>
      </c>
      <c r="D64" s="7">
        <f t="shared" si="14"/>
        <v>-1.3924110000402834E-3</v>
      </c>
      <c r="K64" s="7"/>
      <c r="L64" s="21"/>
      <c r="M64" s="21"/>
      <c r="O64" s="21"/>
      <c r="W64" s="60" t="s">
        <v>645</v>
      </c>
      <c r="X64" s="60">
        <v>-0.11920198068139598</v>
      </c>
      <c r="Y64" s="60">
        <v>0.90488294519118595</v>
      </c>
      <c r="Z64" s="60">
        <v>-0.13173193429588917</v>
      </c>
      <c r="AA64" s="60">
        <v>0.89737923198084846</v>
      </c>
      <c r="AB64" s="60">
        <v>-2.0907725510110193</v>
      </c>
      <c r="AC64" s="60">
        <v>1.8523685896482274</v>
      </c>
      <c r="AD64" s="60">
        <v>-2.0907725510110193</v>
      </c>
      <c r="AE64" s="60">
        <v>1.8523685896482274</v>
      </c>
    </row>
    <row r="65" spans="1:31" ht="15" thickBot="1" x14ac:dyDescent="0.35">
      <c r="A65">
        <v>382.29035399999998</v>
      </c>
      <c r="B65" s="21">
        <v>382.26699829099999</v>
      </c>
      <c r="C65" s="7">
        <f t="shared" si="13"/>
        <v>382.19177023899999</v>
      </c>
      <c r="D65" s="7">
        <f t="shared" si="14"/>
        <v>7.5228051999999934E-2</v>
      </c>
      <c r="K65" s="7"/>
      <c r="L65" s="21"/>
      <c r="M65" s="21"/>
      <c r="W65" s="61" t="s">
        <v>657</v>
      </c>
      <c r="X65" s="61">
        <v>1.0002519799641798</v>
      </c>
      <c r="Y65" s="61">
        <v>2.2447038665220371E-3</v>
      </c>
      <c r="Z65" s="61">
        <v>445.60531786938049</v>
      </c>
      <c r="AA65" s="61">
        <v>1.0986235256147013E-26</v>
      </c>
      <c r="AB65" s="61">
        <v>0.99536119038099791</v>
      </c>
      <c r="AC65" s="61">
        <v>1.0051427695473616</v>
      </c>
      <c r="AD65" s="61">
        <v>0.99536119038099791</v>
      </c>
      <c r="AE65" s="61">
        <v>1.0051427695473616</v>
      </c>
    </row>
    <row r="66" spans="1:31" x14ac:dyDescent="0.3">
      <c r="A66">
        <v>368.15155499999997</v>
      </c>
      <c r="B66" s="21">
        <v>368.14025878899997</v>
      </c>
      <c r="C66" s="7">
        <f t="shared" si="13"/>
        <v>368.00348544249999</v>
      </c>
      <c r="D66" s="7">
        <f t="shared" si="14"/>
        <v>0.13677334649997874</v>
      </c>
      <c r="K66" s="7"/>
      <c r="L66" s="21"/>
      <c r="M66" s="21"/>
      <c r="W66"/>
    </row>
    <row r="67" spans="1:31" x14ac:dyDescent="0.3">
      <c r="A67">
        <v>375.85539699999998</v>
      </c>
      <c r="B67" s="21">
        <v>375.58950805699999</v>
      </c>
      <c r="C67" s="7">
        <f t="shared" si="13"/>
        <v>375.73429088950002</v>
      </c>
      <c r="D67" s="7">
        <f t="shared" si="14"/>
        <v>-0.14478283250002733</v>
      </c>
      <c r="K67" s="7"/>
      <c r="L67" s="21"/>
      <c r="M67" s="21"/>
      <c r="W67"/>
    </row>
    <row r="68" spans="1:31" x14ac:dyDescent="0.3">
      <c r="A68">
        <v>359.06455799999998</v>
      </c>
      <c r="B68" s="21">
        <v>359.09515380900001</v>
      </c>
      <c r="C68" s="7">
        <f t="shared" si="13"/>
        <v>358.88468395299998</v>
      </c>
      <c r="D68" s="7">
        <f t="shared" si="14"/>
        <v>0.21046985600003154</v>
      </c>
      <c r="K68" s="7"/>
      <c r="L68" s="21"/>
      <c r="M68" s="21"/>
      <c r="W68"/>
    </row>
    <row r="69" spans="1:31" x14ac:dyDescent="0.3">
      <c r="B69" s="21"/>
      <c r="C69" s="7"/>
      <c r="K69" s="7"/>
      <c r="L69" s="21"/>
      <c r="M69" s="21"/>
      <c r="W69" t="s">
        <v>634</v>
      </c>
    </row>
    <row r="70" spans="1:31" ht="15" thickBot="1" x14ac:dyDescent="0.35">
      <c r="B70" s="21"/>
      <c r="K70" s="7"/>
      <c r="L70" s="21"/>
      <c r="M70" s="21"/>
      <c r="W70"/>
    </row>
    <row r="71" spans="1:31" x14ac:dyDescent="0.3">
      <c r="A71" t="s">
        <v>634</v>
      </c>
      <c r="K71" s="7"/>
      <c r="L71" s="21"/>
      <c r="M71" s="21"/>
      <c r="W71" s="63" t="s">
        <v>635</v>
      </c>
      <c r="X71" s="63"/>
    </row>
    <row r="72" spans="1:31" ht="15" thickBot="1" x14ac:dyDescent="0.35">
      <c r="K72" s="7"/>
      <c r="L72" s="21"/>
      <c r="M72" t="s">
        <v>634</v>
      </c>
      <c r="W72" s="60" t="s">
        <v>636</v>
      </c>
      <c r="X72" s="60">
        <v>0.999969784426883</v>
      </c>
    </row>
    <row r="73" spans="1:31" ht="15" thickBot="1" x14ac:dyDescent="0.35">
      <c r="A73" s="63" t="s">
        <v>635</v>
      </c>
      <c r="B73" s="63"/>
      <c r="K73" s="7"/>
      <c r="L73" s="21"/>
      <c r="W73" s="60" t="s">
        <v>637</v>
      </c>
      <c r="X73" s="60">
        <v>0.99993956976674692</v>
      </c>
    </row>
    <row r="74" spans="1:31" x14ac:dyDescent="0.3">
      <c r="A74" s="60" t="s">
        <v>636</v>
      </c>
      <c r="B74" s="60">
        <v>0.9999860616573889</v>
      </c>
      <c r="K74" s="7"/>
      <c r="L74" s="21"/>
      <c r="M74" s="63" t="s">
        <v>635</v>
      </c>
      <c r="N74" s="63"/>
      <c r="W74" s="60" t="s">
        <v>638</v>
      </c>
      <c r="X74" s="60">
        <v>0.9999345339139758</v>
      </c>
    </row>
    <row r="75" spans="1:31" x14ac:dyDescent="0.3">
      <c r="A75" s="60" t="s">
        <v>637</v>
      </c>
      <c r="B75" s="60">
        <v>0.99997212350905529</v>
      </c>
      <c r="K75" s="7"/>
      <c r="L75" s="21"/>
      <c r="M75" s="60" t="s">
        <v>636</v>
      </c>
      <c r="N75" s="60">
        <v>1</v>
      </c>
      <c r="W75" s="60" t="s">
        <v>639</v>
      </c>
      <c r="X75" s="60">
        <v>0.17689902684544753</v>
      </c>
    </row>
    <row r="76" spans="1:31" ht="15" thickBot="1" x14ac:dyDescent="0.35">
      <c r="A76" s="60" t="s">
        <v>638</v>
      </c>
      <c r="B76" s="60">
        <v>0.99997072968450806</v>
      </c>
      <c r="K76" s="7"/>
      <c r="L76" s="21"/>
      <c r="M76" s="60" t="s">
        <v>637</v>
      </c>
      <c r="N76" s="60">
        <v>1</v>
      </c>
      <c r="W76" s="61" t="s">
        <v>640</v>
      </c>
      <c r="X76" s="61">
        <v>14</v>
      </c>
    </row>
    <row r="77" spans="1:31" x14ac:dyDescent="0.3">
      <c r="A77" s="60" t="s">
        <v>639</v>
      </c>
      <c r="B77" s="60">
        <v>0.23373642157362026</v>
      </c>
      <c r="K77" s="7"/>
      <c r="L77" s="21"/>
      <c r="M77" s="60" t="s">
        <v>638</v>
      </c>
      <c r="N77" s="60">
        <v>1</v>
      </c>
      <c r="W77"/>
    </row>
    <row r="78" spans="1:31" ht="15" thickBot="1" x14ac:dyDescent="0.35">
      <c r="A78" s="61" t="s">
        <v>640</v>
      </c>
      <c r="B78" s="61">
        <v>22</v>
      </c>
      <c r="K78" s="7"/>
      <c r="L78" s="21"/>
      <c r="M78" s="60" t="s">
        <v>639</v>
      </c>
      <c r="N78" s="60">
        <v>8.7512997330497931E-15</v>
      </c>
      <c r="W78" t="s">
        <v>641</v>
      </c>
    </row>
    <row r="79" spans="1:31" ht="15" thickBot="1" x14ac:dyDescent="0.35">
      <c r="K79" s="7"/>
      <c r="L79" s="21"/>
      <c r="M79" s="61" t="s">
        <v>640</v>
      </c>
      <c r="N79" s="61">
        <v>17</v>
      </c>
      <c r="W79" s="62"/>
      <c r="X79" s="62" t="s">
        <v>646</v>
      </c>
      <c r="Y79" s="62" t="s">
        <v>647</v>
      </c>
      <c r="Z79" s="62" t="s">
        <v>648</v>
      </c>
      <c r="AA79" s="62" t="s">
        <v>548</v>
      </c>
      <c r="AB79" s="62" t="s">
        <v>649</v>
      </c>
    </row>
    <row r="80" spans="1:31" ht="15" thickBot="1" x14ac:dyDescent="0.35">
      <c r="A80" t="s">
        <v>641</v>
      </c>
      <c r="K80" s="7"/>
      <c r="L80" s="21"/>
      <c r="W80" s="60" t="s">
        <v>642</v>
      </c>
      <c r="X80" s="60">
        <v>1</v>
      </c>
      <c r="Y80" s="60">
        <v>6213.7191180725586</v>
      </c>
      <c r="Z80" s="60">
        <v>6213.7191180725586</v>
      </c>
      <c r="AA80" s="60">
        <v>198564.0993134717</v>
      </c>
      <c r="AB80" s="60">
        <v>1.0986235256146857E-26</v>
      </c>
    </row>
    <row r="81" spans="1:31" ht="15" thickBot="1" x14ac:dyDescent="0.35">
      <c r="A81" s="62"/>
      <c r="B81" s="62" t="s">
        <v>646</v>
      </c>
      <c r="C81" s="62" t="s">
        <v>647</v>
      </c>
      <c r="D81" s="62" t="s">
        <v>648</v>
      </c>
      <c r="E81" s="62" t="s">
        <v>548</v>
      </c>
      <c r="F81" s="62" t="s">
        <v>649</v>
      </c>
      <c r="K81" s="7"/>
      <c r="L81" s="21"/>
      <c r="M81" t="s">
        <v>641</v>
      </c>
      <c r="W81" s="60" t="s">
        <v>643</v>
      </c>
      <c r="X81" s="60">
        <v>12</v>
      </c>
      <c r="Y81" s="60">
        <v>0.37551918838639642</v>
      </c>
      <c r="Z81" s="60">
        <v>3.1293265698866368E-2</v>
      </c>
      <c r="AA81" s="60"/>
      <c r="AB81" s="60"/>
    </row>
    <row r="82" spans="1:31" ht="15" thickBot="1" x14ac:dyDescent="0.35">
      <c r="A82" s="60" t="s">
        <v>642</v>
      </c>
      <c r="B82" s="60">
        <v>1</v>
      </c>
      <c r="C82" s="60">
        <v>39195.171235958012</v>
      </c>
      <c r="D82" s="60">
        <v>39195.171235958012</v>
      </c>
      <c r="E82" s="60">
        <v>717430.41510819108</v>
      </c>
      <c r="F82" s="60">
        <v>4.9932715556481706E-47</v>
      </c>
      <c r="K82" s="7"/>
      <c r="L82" s="21"/>
      <c r="M82" s="62"/>
      <c r="N82" s="62" t="s">
        <v>646</v>
      </c>
      <c r="O82" s="62" t="s">
        <v>647</v>
      </c>
      <c r="P82" s="62" t="s">
        <v>648</v>
      </c>
      <c r="Q82" s="62" t="s">
        <v>548</v>
      </c>
      <c r="R82" s="62" t="s">
        <v>649</v>
      </c>
      <c r="W82" s="61" t="s">
        <v>644</v>
      </c>
      <c r="X82" s="61">
        <v>13</v>
      </c>
      <c r="Y82" s="61">
        <v>6214.0946372609451</v>
      </c>
      <c r="Z82" s="61"/>
      <c r="AA82" s="61"/>
      <c r="AB82" s="61"/>
    </row>
    <row r="83" spans="1:31" ht="15" thickBot="1" x14ac:dyDescent="0.35">
      <c r="A83" s="60" t="s">
        <v>643</v>
      </c>
      <c r="B83" s="60">
        <v>20</v>
      </c>
      <c r="C83" s="60">
        <v>1.0926542954008227</v>
      </c>
      <c r="D83" s="60">
        <v>5.4632714770041134E-2</v>
      </c>
      <c r="E83" s="60"/>
      <c r="F83" s="60"/>
      <c r="K83" s="7"/>
      <c r="L83" s="21"/>
      <c r="M83" s="60" t="s">
        <v>642</v>
      </c>
      <c r="N83" s="60">
        <v>1</v>
      </c>
      <c r="O83" s="60">
        <v>34328.939430538951</v>
      </c>
      <c r="P83" s="60">
        <v>34328.939430538951</v>
      </c>
      <c r="Q83" s="60">
        <v>4.4824480911597973E+32</v>
      </c>
      <c r="R83" s="60">
        <v>1.7417324771488902E-237</v>
      </c>
      <c r="W83"/>
    </row>
    <row r="84" spans="1:31" ht="15" thickBot="1" x14ac:dyDescent="0.35">
      <c r="A84" s="61" t="s">
        <v>644</v>
      </c>
      <c r="B84" s="61">
        <v>21</v>
      </c>
      <c r="C84" s="61">
        <v>39196.263890253416</v>
      </c>
      <c r="D84" s="61"/>
      <c r="E84" s="61"/>
      <c r="F84" s="61"/>
      <c r="K84" s="7"/>
      <c r="L84" s="21"/>
      <c r="M84" s="60" t="s">
        <v>643</v>
      </c>
      <c r="N84" s="60">
        <v>15</v>
      </c>
      <c r="O84" s="60">
        <v>1.1487787052651606E-27</v>
      </c>
      <c r="P84" s="60">
        <v>7.6585247017677377E-29</v>
      </c>
      <c r="Q84" s="60"/>
      <c r="R84" s="60"/>
      <c r="W84" s="62"/>
      <c r="X84" s="62" t="s">
        <v>650</v>
      </c>
      <c r="Y84" s="62" t="s">
        <v>639</v>
      </c>
      <c r="Z84" s="62" t="s">
        <v>651</v>
      </c>
      <c r="AA84" s="62" t="s">
        <v>652</v>
      </c>
      <c r="AB84" s="62" t="s">
        <v>653</v>
      </c>
      <c r="AC84" s="62" t="s">
        <v>654</v>
      </c>
      <c r="AD84" s="62" t="s">
        <v>655</v>
      </c>
      <c r="AE84" s="62" t="s">
        <v>656</v>
      </c>
    </row>
    <row r="85" spans="1:31" ht="15" thickBot="1" x14ac:dyDescent="0.35">
      <c r="K85" s="7"/>
      <c r="L85" s="21"/>
      <c r="M85" s="61" t="s">
        <v>644</v>
      </c>
      <c r="N85" s="61">
        <v>16</v>
      </c>
      <c r="O85" s="61">
        <v>34328.939430538951</v>
      </c>
      <c r="P85" s="61"/>
      <c r="Q85" s="61"/>
      <c r="R85" s="61"/>
      <c r="W85" s="60" t="s">
        <v>645</v>
      </c>
      <c r="X85" s="60">
        <v>-0.11920198068139598</v>
      </c>
      <c r="Y85" s="60">
        <v>0.90488294519118595</v>
      </c>
      <c r="Z85" s="60">
        <v>-0.13173193429588917</v>
      </c>
      <c r="AA85" s="60">
        <v>0.89737923198084846</v>
      </c>
      <c r="AB85" s="60">
        <v>-2.0907725510110193</v>
      </c>
      <c r="AC85" s="60">
        <v>1.8523685896482274</v>
      </c>
      <c r="AD85" s="60">
        <v>-2.0907725510110193</v>
      </c>
      <c r="AE85" s="60">
        <v>1.8523685896482274</v>
      </c>
    </row>
    <row r="86" spans="1:31" ht="15" thickBot="1" x14ac:dyDescent="0.35">
      <c r="A86" s="62"/>
      <c r="B86" s="62" t="s">
        <v>650</v>
      </c>
      <c r="C86" s="62" t="s">
        <v>639</v>
      </c>
      <c r="D86" s="62" t="s">
        <v>651</v>
      </c>
      <c r="E86" s="62" t="s">
        <v>652</v>
      </c>
      <c r="F86" s="62" t="s">
        <v>653</v>
      </c>
      <c r="G86" s="62" t="s">
        <v>654</v>
      </c>
      <c r="H86" s="62" t="s">
        <v>655</v>
      </c>
      <c r="I86" s="62" t="s">
        <v>656</v>
      </c>
      <c r="K86" s="7"/>
      <c r="L86" s="21"/>
      <c r="W86" s="61" t="s">
        <v>661</v>
      </c>
      <c r="X86" s="61">
        <v>1.0002519799641798</v>
      </c>
      <c r="Y86" s="61">
        <v>2.2447038665220371E-3</v>
      </c>
      <c r="Z86" s="61">
        <v>445.60531786938049</v>
      </c>
      <c r="AA86" s="61">
        <v>1.0986235256147013E-26</v>
      </c>
      <c r="AB86" s="61">
        <v>0.99536119038099791</v>
      </c>
      <c r="AC86" s="61">
        <v>1.0051427695473616</v>
      </c>
      <c r="AD86" s="61">
        <v>0.99536119038099791</v>
      </c>
      <c r="AE86" s="61">
        <v>1.0051427695473616</v>
      </c>
    </row>
    <row r="87" spans="1:31" x14ac:dyDescent="0.3">
      <c r="A87" s="60" t="s">
        <v>645</v>
      </c>
      <c r="B87" s="60">
        <v>-1.4365571940112432</v>
      </c>
      <c r="C87" s="60">
        <v>0.44665699600025077</v>
      </c>
      <c r="D87" s="60">
        <v>-3.2162424564607885</v>
      </c>
      <c r="E87" s="60">
        <v>4.3325138870991447E-3</v>
      </c>
      <c r="F87" s="60">
        <v>-2.3682673611333418</v>
      </c>
      <c r="G87" s="60">
        <v>-0.50484702688914451</v>
      </c>
      <c r="H87" s="60">
        <v>-2.3682673611333418</v>
      </c>
      <c r="I87" s="60">
        <v>-0.50484702688914451</v>
      </c>
      <c r="K87" s="7"/>
      <c r="L87" s="21"/>
      <c r="M87" s="62"/>
      <c r="N87" s="62" t="s">
        <v>650</v>
      </c>
      <c r="O87" s="62" t="s">
        <v>639</v>
      </c>
      <c r="P87" s="62" t="s">
        <v>651</v>
      </c>
      <c r="Q87" s="62" t="s">
        <v>652</v>
      </c>
      <c r="R87" s="62" t="s">
        <v>653</v>
      </c>
      <c r="S87" s="62" t="s">
        <v>654</v>
      </c>
      <c r="T87" s="62" t="s">
        <v>655</v>
      </c>
      <c r="U87" s="62" t="s">
        <v>656</v>
      </c>
      <c r="W87"/>
    </row>
    <row r="88" spans="1:31" ht="15" thickBot="1" x14ac:dyDescent="0.35">
      <c r="A88" s="61" t="s">
        <v>661</v>
      </c>
      <c r="B88" s="61">
        <v>1.0034599054119027</v>
      </c>
      <c r="C88" s="61">
        <v>1.1847047565451201E-3</v>
      </c>
      <c r="D88" s="61">
        <v>847.01264164603299</v>
      </c>
      <c r="E88" s="61">
        <v>4.9932715556481706E-47</v>
      </c>
      <c r="F88" s="61">
        <v>1.0009886545939475</v>
      </c>
      <c r="G88" s="61">
        <v>1.0059311562298578</v>
      </c>
      <c r="H88" s="61">
        <v>1.0009886545939475</v>
      </c>
      <c r="I88" s="61">
        <v>1.0059311562298578</v>
      </c>
      <c r="K88" s="7"/>
      <c r="L88" s="21"/>
      <c r="M88" s="60" t="s">
        <v>645</v>
      </c>
      <c r="N88" s="60">
        <v>4.9999999999897682E-2</v>
      </c>
      <c r="O88" s="60">
        <v>1.8115800699005784E-14</v>
      </c>
      <c r="P88" s="60">
        <v>2760021532067.4033</v>
      </c>
      <c r="Q88" s="60">
        <v>3.2633143755529804E-179</v>
      </c>
      <c r="R88" s="60">
        <v>4.9999999999859067E-2</v>
      </c>
      <c r="S88" s="60">
        <v>4.9999999999936297E-2</v>
      </c>
      <c r="T88" s="60">
        <v>4.9999999999859067E-2</v>
      </c>
      <c r="U88" s="60">
        <v>4.9999999999936297E-2</v>
      </c>
      <c r="W88"/>
    </row>
    <row r="89" spans="1:31" ht="15" thickBot="1" x14ac:dyDescent="0.35">
      <c r="K89" s="7"/>
      <c r="L89" s="21"/>
      <c r="M89" s="61" t="s">
        <v>661</v>
      </c>
      <c r="N89" s="61">
        <v>1.0000000000000002</v>
      </c>
      <c r="O89" s="61">
        <v>4.723265577181056E-17</v>
      </c>
      <c r="P89" s="61">
        <v>2.1171792770475996E+16</v>
      </c>
      <c r="Q89" s="61">
        <v>1.7417324771488902E-237</v>
      </c>
      <c r="R89" s="61">
        <v>1.0000000000000002</v>
      </c>
      <c r="S89" s="61">
        <v>1.0000000000000002</v>
      </c>
      <c r="T89" s="61">
        <v>1.0000000000000002</v>
      </c>
      <c r="U89" s="61">
        <v>1.0000000000000002</v>
      </c>
      <c r="W89"/>
    </row>
    <row r="90" spans="1:31" x14ac:dyDescent="0.3">
      <c r="W90" t="s">
        <v>658</v>
      </c>
    </row>
    <row r="91" spans="1:31" ht="15" thickBot="1" x14ac:dyDescent="0.35">
      <c r="J91" s="21"/>
      <c r="K91" s="7"/>
      <c r="L91" s="21"/>
      <c r="W91"/>
    </row>
    <row r="92" spans="1:31" x14ac:dyDescent="0.3">
      <c r="A92" t="s">
        <v>658</v>
      </c>
      <c r="J92" s="21"/>
      <c r="K92" s="7"/>
      <c r="L92" s="21"/>
      <c r="W92" s="62" t="s">
        <v>659</v>
      </c>
      <c r="X92" s="62" t="s">
        <v>663</v>
      </c>
      <c r="Y92" s="62" t="s">
        <v>660</v>
      </c>
    </row>
    <row r="93" spans="1:31" ht="15" thickBot="1" x14ac:dyDescent="0.35">
      <c r="J93" s="21"/>
      <c r="K93" s="7"/>
      <c r="L93" s="21"/>
      <c r="M93" t="s">
        <v>658</v>
      </c>
      <c r="W93" s="60">
        <v>1</v>
      </c>
      <c r="X93" s="60">
        <v>438.9404613869782</v>
      </c>
      <c r="Y93" s="60">
        <v>0.12225223602177948</v>
      </c>
    </row>
    <row r="94" spans="1:31" ht="15" thickBot="1" x14ac:dyDescent="0.35">
      <c r="A94" s="62" t="s">
        <v>659</v>
      </c>
      <c r="B94" s="62" t="s">
        <v>663</v>
      </c>
      <c r="C94" s="62" t="s">
        <v>660</v>
      </c>
      <c r="J94" s="21"/>
      <c r="K94" s="7"/>
      <c r="L94" s="7"/>
      <c r="W94" s="60">
        <v>2</v>
      </c>
      <c r="X94" s="60">
        <v>430.40563382320744</v>
      </c>
      <c r="Y94" s="60">
        <v>-1.8335239207431187E-2</v>
      </c>
    </row>
    <row r="95" spans="1:31" x14ac:dyDescent="0.3">
      <c r="A95" s="60">
        <v>1</v>
      </c>
      <c r="B95" s="60">
        <v>438.98867432040328</v>
      </c>
      <c r="C95" s="60">
        <v>9.6713863596733063E-2</v>
      </c>
      <c r="M95" s="62" t="s">
        <v>659</v>
      </c>
      <c r="N95" s="62" t="s">
        <v>663</v>
      </c>
      <c r="O95" s="62" t="s">
        <v>660</v>
      </c>
      <c r="W95" s="60">
        <v>3</v>
      </c>
      <c r="X95" s="60">
        <v>421.8451212889691</v>
      </c>
      <c r="Y95" s="60">
        <v>-0.2894267089690743</v>
      </c>
    </row>
    <row r="96" spans="1:31" x14ac:dyDescent="0.3">
      <c r="A96" s="60">
        <v>2</v>
      </c>
      <c r="B96" s="60">
        <v>430.44380782801915</v>
      </c>
      <c r="C96" s="60">
        <v>-1.3693082019130998E-2</v>
      </c>
      <c r="M96" s="60">
        <v>1</v>
      </c>
      <c r="N96" s="60">
        <v>438.98248699999999</v>
      </c>
      <c r="O96" s="60">
        <v>0</v>
      </c>
      <c r="W96" s="60">
        <v>4</v>
      </c>
      <c r="X96" s="60">
        <v>414.61006865993278</v>
      </c>
      <c r="Y96" s="60">
        <v>-0.18346343493277573</v>
      </c>
    </row>
    <row r="97" spans="1:25" x14ac:dyDescent="0.3">
      <c r="A97" s="60">
        <v>3</v>
      </c>
      <c r="B97" s="60">
        <v>421.86632888870906</v>
      </c>
      <c r="C97" s="60">
        <v>-0.17803543170907687</v>
      </c>
      <c r="M97" s="60">
        <v>2</v>
      </c>
      <c r="N97" s="60">
        <v>430.44842899999998</v>
      </c>
      <c r="O97" s="60">
        <v>0</v>
      </c>
      <c r="W97" s="60">
        <v>5</v>
      </c>
      <c r="X97" s="60">
        <v>421.37885682926469</v>
      </c>
      <c r="Y97" s="60">
        <v>0.28584653973530294</v>
      </c>
    </row>
    <row r="98" spans="1:25" x14ac:dyDescent="0.3">
      <c r="A98" s="60">
        <v>4</v>
      </c>
      <c r="B98" s="60">
        <v>414.58621824380657</v>
      </c>
      <c r="C98" s="60">
        <v>-0.11496580280658009</v>
      </c>
      <c r="M98" s="60">
        <v>3</v>
      </c>
      <c r="N98" s="60">
        <v>421.87415199999998</v>
      </c>
      <c r="O98" s="60">
        <v>0</v>
      </c>
      <c r="W98" s="60">
        <v>6</v>
      </c>
      <c r="X98" s="60">
        <v>402.92029581343195</v>
      </c>
      <c r="Y98" s="60">
        <v>-0.10877237543195406</v>
      </c>
    </row>
    <row r="99" spans="1:25" x14ac:dyDescent="0.3">
      <c r="A99" s="60">
        <v>5</v>
      </c>
      <c r="B99" s="60">
        <v>421.45673562105816</v>
      </c>
      <c r="C99" s="60">
        <v>-8.1766139058174758E-2</v>
      </c>
      <c r="M99" s="60">
        <v>4</v>
      </c>
      <c r="N99" s="60">
        <v>414.65221600000001</v>
      </c>
      <c r="O99" s="60">
        <v>0</v>
      </c>
      <c r="W99" s="60">
        <v>7</v>
      </c>
      <c r="X99" s="60">
        <v>401.00979952792068</v>
      </c>
      <c r="Y99" s="60">
        <v>-6.756930292067409E-2</v>
      </c>
    </row>
    <row r="100" spans="1:25" x14ac:dyDescent="0.3">
      <c r="A100" s="60">
        <v>6</v>
      </c>
      <c r="B100" s="60">
        <v>402.84811856084286</v>
      </c>
      <c r="C100" s="60">
        <v>-0.11316372684285625</v>
      </c>
      <c r="M100" s="60">
        <v>5</v>
      </c>
      <c r="N100" s="60">
        <v>421.41897499999999</v>
      </c>
      <c r="O100" s="60">
        <v>0</v>
      </c>
      <c r="W100" s="60">
        <v>8</v>
      </c>
      <c r="X100" s="60">
        <v>405.8304869385546</v>
      </c>
      <c r="Y100" s="60">
        <v>-7.0080444554605492E-2</v>
      </c>
    </row>
    <row r="101" spans="1:25" x14ac:dyDescent="0.3">
      <c r="A101" s="60">
        <v>7</v>
      </c>
      <c r="B101" s="60">
        <v>310.09708023063752</v>
      </c>
      <c r="C101" s="60">
        <v>-0.58221816963754236</v>
      </c>
      <c r="M101" s="60">
        <v>6</v>
      </c>
      <c r="N101" s="60">
        <v>402.98260099999999</v>
      </c>
      <c r="O101" s="60">
        <v>0</v>
      </c>
      <c r="W101" s="60">
        <v>9</v>
      </c>
      <c r="X101" s="60">
        <v>390.090234209394</v>
      </c>
      <c r="Y101" s="60">
        <v>7.7917645606021324E-2</v>
      </c>
    </row>
    <row r="102" spans="1:25" x14ac:dyDescent="0.3">
      <c r="A102" s="60">
        <v>8</v>
      </c>
      <c r="B102" s="60">
        <v>302.12178059094487</v>
      </c>
      <c r="C102" s="60">
        <v>-0.45326252494487562</v>
      </c>
      <c r="M102" s="60">
        <v>7</v>
      </c>
      <c r="N102" s="60">
        <v>401.077157</v>
      </c>
      <c r="O102" s="60">
        <v>0</v>
      </c>
      <c r="W102" s="60">
        <v>10</v>
      </c>
      <c r="X102" s="60">
        <v>398.12595503995033</v>
      </c>
      <c r="Y102" s="60">
        <v>-1.9387656950300425E-2</v>
      </c>
    </row>
    <row r="103" spans="1:25" x14ac:dyDescent="0.3">
      <c r="A103" s="60">
        <v>9</v>
      </c>
      <c r="B103" s="60">
        <v>326.62287476932374</v>
      </c>
      <c r="C103" s="60">
        <v>4.4575181676236753E-2</v>
      </c>
      <c r="M103" s="60">
        <v>8</v>
      </c>
      <c r="N103" s="60">
        <v>405.864802</v>
      </c>
      <c r="O103" s="60">
        <v>0</v>
      </c>
      <c r="W103" s="60">
        <v>11</v>
      </c>
      <c r="X103" s="60">
        <v>392.19274486649113</v>
      </c>
      <c r="Y103" s="60">
        <v>0.30780444950886476</v>
      </c>
    </row>
    <row r="104" spans="1:25" x14ac:dyDescent="0.3">
      <c r="A104" s="60">
        <v>10</v>
      </c>
      <c r="B104" s="60">
        <v>315.91374795986701</v>
      </c>
      <c r="C104" s="60">
        <v>7.6150722132979354E-2</v>
      </c>
      <c r="M104" s="60">
        <v>9</v>
      </c>
      <c r="N104" s="60">
        <v>390.19359500000002</v>
      </c>
      <c r="O104" s="60">
        <v>0</v>
      </c>
      <c r="W104" s="60">
        <v>12</v>
      </c>
      <c r="X104" s="60">
        <v>382.91321019872339</v>
      </c>
      <c r="Y104" s="60">
        <v>0.13970728127662824</v>
      </c>
    </row>
    <row r="105" spans="1:25" x14ac:dyDescent="0.3">
      <c r="A105" s="60">
        <v>11</v>
      </c>
      <c r="B105" s="60">
        <v>314.1328093266618</v>
      </c>
      <c r="C105" s="60">
        <v>0.288607909338225</v>
      </c>
      <c r="M105" s="60">
        <v>10</v>
      </c>
      <c r="N105" s="60">
        <v>398.28669200000002</v>
      </c>
      <c r="O105" s="60">
        <v>0</v>
      </c>
      <c r="W105" s="60">
        <v>13</v>
      </c>
      <c r="X105" s="60">
        <v>375.92454563890368</v>
      </c>
      <c r="Y105" s="60">
        <v>-0.13014256290369985</v>
      </c>
    </row>
    <row r="106" spans="1:25" ht="15" thickBot="1" x14ac:dyDescent="0.35">
      <c r="A106" s="60">
        <v>12</v>
      </c>
      <c r="B106" s="60">
        <v>334.3368905084655</v>
      </c>
      <c r="C106" s="60">
        <v>0.45195836853451965</v>
      </c>
      <c r="M106" s="60">
        <v>11</v>
      </c>
      <c r="N106" s="60">
        <v>392.26230099999998</v>
      </c>
      <c r="O106" s="60">
        <v>0</v>
      </c>
      <c r="W106" s="61">
        <v>14</v>
      </c>
      <c r="X106" s="61">
        <v>359.522516197279</v>
      </c>
      <c r="Y106" s="61">
        <v>-4.6350426278991108E-2</v>
      </c>
    </row>
    <row r="107" spans="1:25" x14ac:dyDescent="0.3">
      <c r="A107" s="60">
        <v>13</v>
      </c>
      <c r="B107" s="60">
        <v>334.92104867164164</v>
      </c>
      <c r="C107" s="60">
        <v>0.21005484435835342</v>
      </c>
      <c r="M107" s="60">
        <v>12</v>
      </c>
      <c r="N107" s="60">
        <v>383.28942499999994</v>
      </c>
      <c r="O107" s="60">
        <v>5.6843418860808015E-14</v>
      </c>
    </row>
    <row r="108" spans="1:25" x14ac:dyDescent="0.3">
      <c r="A108" s="60">
        <v>14</v>
      </c>
      <c r="B108" s="60">
        <v>400.90554862683331</v>
      </c>
      <c r="C108" s="60">
        <v>-0.10406547283332657</v>
      </c>
      <c r="M108" s="60">
        <v>13</v>
      </c>
      <c r="N108" s="60">
        <v>311.88784599999997</v>
      </c>
      <c r="O108" s="60">
        <v>5.6843418860808015E-14</v>
      </c>
    </row>
    <row r="109" spans="1:25" x14ac:dyDescent="0.3">
      <c r="A109" s="60">
        <v>15</v>
      </c>
      <c r="B109" s="60">
        <v>405.78224034156676</v>
      </c>
      <c r="C109" s="60">
        <v>-4.8292587566777456E-2</v>
      </c>
      <c r="M109" s="60">
        <v>14</v>
      </c>
      <c r="N109" s="60">
        <v>304.59637599999996</v>
      </c>
      <c r="O109" s="60">
        <v>5.6843418860808015E-14</v>
      </c>
    </row>
    <row r="110" spans="1:25" x14ac:dyDescent="0.3">
      <c r="A110" s="60">
        <v>16</v>
      </c>
      <c r="B110" s="60">
        <v>389.85062150629238</v>
      </c>
      <c r="C110" s="60">
        <v>0.15008039770759751</v>
      </c>
      <c r="M110" s="60">
        <v>15</v>
      </c>
      <c r="N110" s="60">
        <v>327.02820499999996</v>
      </c>
      <c r="O110" s="60">
        <v>5.6843418860808015E-14</v>
      </c>
    </row>
    <row r="111" spans="1:25" x14ac:dyDescent="0.3">
      <c r="A111" s="60">
        <v>17</v>
      </c>
      <c r="B111" s="60">
        <v>397.85012560236345</v>
      </c>
      <c r="C111" s="60">
        <v>1.9961067636529606E-2</v>
      </c>
      <c r="M111" s="60">
        <v>16</v>
      </c>
      <c r="N111" s="60">
        <v>316.83834899999994</v>
      </c>
      <c r="O111" s="60">
        <v>5.6843418860808015E-14</v>
      </c>
    </row>
    <row r="112" spans="1:25" ht="15" thickBot="1" x14ac:dyDescent="0.35">
      <c r="A112" s="60">
        <v>18</v>
      </c>
      <c r="B112" s="60">
        <v>392.08367301372061</v>
      </c>
      <c r="C112" s="60">
        <v>1.4288412279370277E-2</v>
      </c>
      <c r="M112" s="61">
        <v>17</v>
      </c>
      <c r="N112" s="61">
        <v>314.50709299999994</v>
      </c>
      <c r="O112" s="61">
        <v>5.6843418860808015E-14</v>
      </c>
    </row>
    <row r="113" spans="1:3" x14ac:dyDescent="0.3">
      <c r="A113" s="60">
        <v>19</v>
      </c>
      <c r="B113" s="60">
        <v>382.17648527071151</v>
      </c>
      <c r="C113" s="60">
        <v>9.0513020288483403E-2</v>
      </c>
    </row>
    <row r="114" spans="1:3" x14ac:dyDescent="0.3">
      <c r="A114" s="60">
        <v>20</v>
      </c>
      <c r="B114" s="60">
        <v>367.98876736353361</v>
      </c>
      <c r="C114" s="60">
        <v>0.15149142546636085</v>
      </c>
    </row>
    <row r="115" spans="1:3" x14ac:dyDescent="0.3">
      <c r="A115" s="60">
        <v>21</v>
      </c>
      <c r="B115" s="60">
        <v>375.71926392816187</v>
      </c>
      <c r="C115" s="60">
        <v>-0.12975587116187626</v>
      </c>
    </row>
    <row r="116" spans="1:3" ht="15" thickBot="1" x14ac:dyDescent="0.35">
      <c r="A116" s="61">
        <v>22</v>
      </c>
      <c r="B116" s="61">
        <v>358.87033021343535</v>
      </c>
      <c r="C116" s="61">
        <v>0.22482359556465781</v>
      </c>
    </row>
  </sheetData>
  <sortState xmlns:xlrd2="http://schemas.microsoft.com/office/spreadsheetml/2017/richdata2" ref="AC63:AC76">
    <sortCondition ref="AC63"/>
  </sortState>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68"/>
  <sheetViews>
    <sheetView workbookViewId="0">
      <selection activeCell="E17" sqref="E17"/>
    </sheetView>
  </sheetViews>
  <sheetFormatPr defaultRowHeight="14.4" x14ac:dyDescent="0.3"/>
  <cols>
    <col min="3" max="3" width="13" customWidth="1"/>
    <col min="4" max="4" width="12.109375" customWidth="1"/>
    <col min="5" max="5" width="11.6640625" customWidth="1"/>
    <col min="6" max="6" width="12.5546875" bestFit="1" customWidth="1"/>
    <col min="7" max="7" width="13.88671875" customWidth="1"/>
    <col min="8" max="8" width="12.33203125" customWidth="1"/>
    <col min="9" max="9" width="11.6640625" customWidth="1"/>
  </cols>
  <sheetData>
    <row r="1" spans="1:7" s="21" customFormat="1" x14ac:dyDescent="0.3">
      <c r="B1" s="21" t="s">
        <v>527</v>
      </c>
    </row>
    <row r="2" spans="1:7" x14ac:dyDescent="0.3">
      <c r="B2" t="s">
        <v>399</v>
      </c>
    </row>
    <row r="3" spans="1:7" x14ac:dyDescent="0.3">
      <c r="A3" s="4"/>
      <c r="B3" t="s">
        <v>400</v>
      </c>
    </row>
    <row r="4" spans="1:7" x14ac:dyDescent="0.3">
      <c r="A4" s="4"/>
    </row>
    <row r="5" spans="1:7" x14ac:dyDescent="0.3">
      <c r="A5" s="4"/>
      <c r="B5" s="5" t="s">
        <v>372</v>
      </c>
      <c r="C5" t="s">
        <v>385</v>
      </c>
      <c r="D5" t="s">
        <v>386</v>
      </c>
      <c r="E5" t="s">
        <v>387</v>
      </c>
    </row>
    <row r="6" spans="1:7" x14ac:dyDescent="0.3">
      <c r="A6" s="4"/>
      <c r="B6" s="3" t="s">
        <v>373</v>
      </c>
      <c r="C6">
        <f>'Oct2018'!$F$3</f>
        <v>1843366.02</v>
      </c>
      <c r="D6">
        <f>'Oct2018'!$G$3</f>
        <v>5597654.9900000002</v>
      </c>
      <c r="E6">
        <f>'Oct2018'!$H$3</f>
        <v>378.29239999999999</v>
      </c>
      <c r="G6">
        <f>MAX(E6:E13)</f>
        <v>438.97686099999999</v>
      </c>
    </row>
    <row r="7" spans="1:7" x14ac:dyDescent="0.3">
      <c r="A7" s="4"/>
      <c r="B7" s="3" t="s">
        <v>375</v>
      </c>
      <c r="C7">
        <f>'Mar2018'!$F$3</f>
        <v>1843366.02</v>
      </c>
      <c r="D7">
        <f>'Mar2018'!$G$3</f>
        <v>5597654.9900000002</v>
      </c>
      <c r="E7">
        <f>'Mar2018'!$H$3</f>
        <v>378.29239999999999</v>
      </c>
      <c r="F7">
        <f>E7-E9</f>
        <v>0</v>
      </c>
      <c r="G7">
        <f>MIN(E6:E13)</f>
        <v>378.29239999999999</v>
      </c>
    </row>
    <row r="8" spans="1:7" x14ac:dyDescent="0.3">
      <c r="A8" s="4"/>
      <c r="B8" s="3" t="s">
        <v>374</v>
      </c>
      <c r="C8">
        <f>'Oct2017'!$F$3</f>
        <v>1843366.02</v>
      </c>
      <c r="D8">
        <f>'Oct2017'!$G$3</f>
        <v>5597654.9900000002</v>
      </c>
      <c r="E8">
        <f>'Oct2017'!$H$3</f>
        <v>378.29239999999999</v>
      </c>
      <c r="F8">
        <f>E8-E9</f>
        <v>0</v>
      </c>
      <c r="G8">
        <f>G6-G7</f>
        <v>60.684460999999999</v>
      </c>
    </row>
    <row r="9" spans="1:7" x14ac:dyDescent="0.3">
      <c r="A9" s="4"/>
      <c r="B9" s="3" t="s">
        <v>376</v>
      </c>
      <c r="C9">
        <f>June2017!$F$3</f>
        <v>1843366.02</v>
      </c>
      <c r="D9">
        <f>June2017!$G$3</f>
        <v>5597654.9900000002</v>
      </c>
      <c r="E9">
        <f>June2017!$H$3</f>
        <v>378.29239999999999</v>
      </c>
    </row>
    <row r="10" spans="1:7" x14ac:dyDescent="0.3">
      <c r="A10" s="4"/>
      <c r="B10" s="3" t="s">
        <v>377</v>
      </c>
      <c r="C10">
        <f>'Mar2017'!$F$6</f>
        <v>1844611.3216289999</v>
      </c>
      <c r="D10">
        <f>'Mar2017'!$G$6</f>
        <v>5596719.7337739998</v>
      </c>
      <c r="E10">
        <f>'Mar2017'!$H$6</f>
        <v>438.97686099999999</v>
      </c>
    </row>
    <row r="11" spans="1:7" x14ac:dyDescent="0.3">
      <c r="A11" s="4"/>
      <c r="B11" s="3" t="s">
        <v>378</v>
      </c>
      <c r="C11">
        <f>'Dec2016'!$F$3</f>
        <v>1843366.02</v>
      </c>
      <c r="D11">
        <f>'Dec2016'!$G$3</f>
        <v>5597654.9900000002</v>
      </c>
      <c r="E11">
        <f>'Dec2016'!$H$3</f>
        <v>378.29239999999999</v>
      </c>
    </row>
    <row r="12" spans="1:7" x14ac:dyDescent="0.3">
      <c r="A12" s="4"/>
      <c r="B12" s="3" t="s">
        <v>379</v>
      </c>
      <c r="C12">
        <f>'Oct2016'!$F$3</f>
        <v>1843366.02</v>
      </c>
      <c r="D12">
        <f>'Oct2016'!$G$3</f>
        <v>5597654.9900000002</v>
      </c>
      <c r="E12">
        <f>'Oct2016'!$H$3</f>
        <v>378.29240000000004</v>
      </c>
      <c r="F12">
        <f>E12-E11</f>
        <v>0</v>
      </c>
    </row>
    <row r="13" spans="1:7" x14ac:dyDescent="0.3">
      <c r="A13" s="4"/>
      <c r="B13" s="3" t="s">
        <v>380</v>
      </c>
      <c r="C13">
        <f>July2016!$F$62</f>
        <v>1844208.4028109999</v>
      </c>
      <c r="D13">
        <f>July2016!$G$62</f>
        <v>5595887.1891249996</v>
      </c>
      <c r="E13">
        <f>July2016!$H$62</f>
        <v>382.82211100000001</v>
      </c>
      <c r="F13">
        <f>E13-E11</f>
        <v>4.5297110000000202</v>
      </c>
    </row>
    <row r="14" spans="1:7" x14ac:dyDescent="0.3">
      <c r="A14" s="4"/>
      <c r="B14" s="3" t="s">
        <v>381</v>
      </c>
      <c r="C14" t="s">
        <v>391</v>
      </c>
    </row>
    <row r="15" spans="1:7" x14ac:dyDescent="0.3">
      <c r="A15" s="4"/>
      <c r="B15" s="3" t="s">
        <v>382</v>
      </c>
      <c r="C15" t="s">
        <v>391</v>
      </c>
    </row>
    <row r="16" spans="1:7" x14ac:dyDescent="0.3">
      <c r="A16" s="4"/>
      <c r="B16" s="3" t="s">
        <v>383</v>
      </c>
      <c r="C16" t="s">
        <v>391</v>
      </c>
    </row>
    <row r="17" spans="1:10" x14ac:dyDescent="0.3">
      <c r="A17" s="4"/>
      <c r="B17" s="3" t="s">
        <v>384</v>
      </c>
      <c r="C17" t="s">
        <v>391</v>
      </c>
    </row>
    <row r="18" spans="1:10" x14ac:dyDescent="0.3">
      <c r="A18" s="4"/>
      <c r="B18" s="3"/>
    </row>
    <row r="20" spans="1:10" x14ac:dyDescent="0.3">
      <c r="B20" s="3" t="s">
        <v>393</v>
      </c>
    </row>
    <row r="22" spans="1:10" x14ac:dyDescent="0.3">
      <c r="B22" s="3" t="s">
        <v>373</v>
      </c>
      <c r="C22">
        <f>'Oct2018'!F29</f>
        <v>1844365.2979870001</v>
      </c>
      <c r="D22">
        <f>'Oct2018'!G29</f>
        <v>5595610.3593929997</v>
      </c>
      <c r="E22">
        <f>'Oct2018'!H29</f>
        <v>326.92229300000002</v>
      </c>
    </row>
    <row r="23" spans="1:10" x14ac:dyDescent="0.3">
      <c r="B23" s="3" t="s">
        <v>375</v>
      </c>
      <c r="C23">
        <f>'Mar2018'!F6</f>
        <v>1844611.252322</v>
      </c>
      <c r="D23">
        <f>'Mar2018'!G6</f>
        <v>5596719.6546430001</v>
      </c>
      <c r="E23">
        <f>'Mar2018'!H6</f>
        <v>438.91639500000002</v>
      </c>
    </row>
    <row r="24" spans="1:10" x14ac:dyDescent="0.3">
      <c r="B24" s="3" t="s">
        <v>374</v>
      </c>
      <c r="C24">
        <f>'Oct2017'!F57</f>
        <v>1844191.0577469999</v>
      </c>
      <c r="D24">
        <f>'Oct2017'!G57</f>
        <v>5596019.7443650002</v>
      </c>
      <c r="E24">
        <f>'Oct2017'!H57</f>
        <v>395.77002099999999</v>
      </c>
    </row>
    <row r="25" spans="1:10" x14ac:dyDescent="0.3">
      <c r="B25" s="3" t="s">
        <v>376</v>
      </c>
      <c r="C25">
        <f>June2017!F14</f>
        <v>1844488.4974839999</v>
      </c>
      <c r="D25">
        <f>June2017!G14</f>
        <v>5596190.1509229997</v>
      </c>
      <c r="E25">
        <f>June2017!H14</f>
        <v>401.09909199999998</v>
      </c>
      <c r="G25" t="s">
        <v>392</v>
      </c>
    </row>
    <row r="26" spans="1:10" x14ac:dyDescent="0.3">
      <c r="B26" s="3" t="s">
        <v>377</v>
      </c>
      <c r="C26">
        <f>'Mar2017'!F37</f>
        <v>1844289.29449</v>
      </c>
      <c r="D26">
        <f>'Mar2017'!G37</f>
        <v>5596663.8183819996</v>
      </c>
      <c r="E26">
        <f>'Mar2017'!H37</f>
        <v>432.66038800000001</v>
      </c>
      <c r="G26" s="5">
        <f>AVERAGE(C26:C29)</f>
        <v>1844397.8411315</v>
      </c>
      <c r="H26" s="5">
        <f>AVERAGE(D26:D29)</f>
        <v>5596208.9103514999</v>
      </c>
      <c r="I26" s="5">
        <f>AVERAGE(E26:E29)</f>
        <v>394.84408975000002</v>
      </c>
    </row>
    <row r="27" spans="1:10" x14ac:dyDescent="0.3">
      <c r="B27" s="3" t="s">
        <v>378</v>
      </c>
      <c r="C27">
        <f>'Dec2016'!F33</f>
        <v>1844265.285836</v>
      </c>
      <c r="D27">
        <f>'Dec2016'!G33</f>
        <v>5595682.5775319999</v>
      </c>
      <c r="E27">
        <f>'Dec2016'!H33</f>
        <v>334.81211100000002</v>
      </c>
    </row>
    <row r="28" spans="1:10" x14ac:dyDescent="0.3">
      <c r="B28" s="3" t="s">
        <v>379</v>
      </c>
      <c r="C28">
        <f>'Oct2016'!F48</f>
        <v>1844351.8533979999</v>
      </c>
      <c r="D28">
        <f>'Oct2016'!G48</f>
        <v>5596297.2696860004</v>
      </c>
      <c r="E28">
        <f>'Oct2016'!H48</f>
        <v>408.88550400000003</v>
      </c>
      <c r="G28" t="s">
        <v>394</v>
      </c>
    </row>
    <row r="29" spans="1:10" x14ac:dyDescent="0.3">
      <c r="B29" s="3" t="s">
        <v>380</v>
      </c>
      <c r="C29" s="7">
        <f>July2016!F13</f>
        <v>1844684.930802</v>
      </c>
      <c r="D29">
        <f>July2016!G13</f>
        <v>5596191.9758059997</v>
      </c>
      <c r="E29">
        <f>July2016!H13</f>
        <v>403.01835600000004</v>
      </c>
      <c r="G29" s="3"/>
    </row>
    <row r="30" spans="1:10" x14ac:dyDescent="0.3">
      <c r="B30" s="3" t="s">
        <v>381</v>
      </c>
      <c r="C30">
        <f>'Mar2016'!F4</f>
        <v>1844287.3194910001</v>
      </c>
      <c r="D30">
        <f>'Mar2016'!G4</f>
        <v>5596665.680435501</v>
      </c>
      <c r="E30">
        <f>'Mar2016'!H4</f>
        <v>432.57983975000002</v>
      </c>
      <c r="G30" s="3" t="s">
        <v>381</v>
      </c>
      <c r="H30">
        <v>-3.9405000163242221E-2</v>
      </c>
      <c r="I30">
        <v>-4.2065009474754333E-3</v>
      </c>
      <c r="J30">
        <v>4.8041249999982938E-2</v>
      </c>
    </row>
    <row r="31" spans="1:10" x14ac:dyDescent="0.3">
      <c r="B31" s="3" t="s">
        <v>382</v>
      </c>
      <c r="C31" t="s">
        <v>391</v>
      </c>
      <c r="G31" s="3" t="s">
        <v>382</v>
      </c>
    </row>
    <row r="32" spans="1:10" x14ac:dyDescent="0.3">
      <c r="B32" s="3" t="s">
        <v>383</v>
      </c>
      <c r="C32">
        <f>Sept2015!F25</f>
        <v>1844629.2348300002</v>
      </c>
      <c r="D32">
        <f>Sept2015!G25</f>
        <v>5595618.8412744999</v>
      </c>
      <c r="E32">
        <f>Sept2015!H25</f>
        <v>335.12254575000003</v>
      </c>
      <c r="G32" s="3" t="s">
        <v>383</v>
      </c>
      <c r="H32">
        <v>-3.583000018261373E-2</v>
      </c>
      <c r="I32">
        <v>2.6725499890744686E-2</v>
      </c>
      <c r="J32">
        <v>3.0454249999991134E-2</v>
      </c>
    </row>
    <row r="33" spans="2:10" x14ac:dyDescent="0.3">
      <c r="B33" s="3" t="s">
        <v>384</v>
      </c>
      <c r="C33">
        <f>July2015!F32</f>
        <v>1844185.1558300001</v>
      </c>
      <c r="D33">
        <f>July2015!G32</f>
        <v>5595587.5542745013</v>
      </c>
      <c r="E33">
        <f>July2015!H32</f>
        <v>355.91954575</v>
      </c>
      <c r="G33" s="3" t="s">
        <v>384</v>
      </c>
      <c r="H33">
        <v>-4.6830000123009086E-2</v>
      </c>
      <c r="I33">
        <v>2.172549907118082E-2</v>
      </c>
      <c r="J33">
        <v>2.3454249999986132E-2</v>
      </c>
    </row>
    <row r="36" spans="2:10" x14ac:dyDescent="0.3">
      <c r="B36" s="3" t="s">
        <v>396</v>
      </c>
    </row>
    <row r="37" spans="2:10" x14ac:dyDescent="0.3">
      <c r="H37" t="s">
        <v>397</v>
      </c>
    </row>
    <row r="38" spans="2:10" x14ac:dyDescent="0.3">
      <c r="B38" s="3" t="s">
        <v>381</v>
      </c>
      <c r="C38">
        <f>'Mar2016'!F13</f>
        <v>1844684.9259530001</v>
      </c>
      <c r="D38">
        <f>'Mar2016'!G13</f>
        <v>5596192.0593305007</v>
      </c>
      <c r="E38">
        <f>'Mar2016'!H13</f>
        <v>403.04580275000001</v>
      </c>
      <c r="H38" s="5">
        <f>AVERAGE(C38,C41)</f>
        <v>1844506.0538915</v>
      </c>
      <c r="I38" s="5">
        <f t="shared" ref="I38:J38" si="0">AVERAGE(D38,D41)</f>
        <v>5596397.693302501</v>
      </c>
      <c r="J38" s="5">
        <f t="shared" si="0"/>
        <v>416.77017424999997</v>
      </c>
    </row>
    <row r="39" spans="2:10" x14ac:dyDescent="0.3">
      <c r="B39" s="3" t="s">
        <v>382</v>
      </c>
      <c r="C39">
        <f>'Dec2015'!F30</f>
        <v>1844337.6026960001</v>
      </c>
      <c r="D39">
        <f>'Dec2015'!G30</f>
        <v>5595538.6364965001</v>
      </c>
      <c r="E39">
        <f>'Dec2015'!H30</f>
        <v>317.20157225000003</v>
      </c>
      <c r="H39">
        <f>C38-C41</f>
        <v>357.74412299995311</v>
      </c>
      <c r="I39">
        <f t="shared" ref="I39:J39" si="1">D38-D41</f>
        <v>-411.26794400066137</v>
      </c>
      <c r="J39">
        <f t="shared" si="1"/>
        <v>-27.448742999999979</v>
      </c>
    </row>
    <row r="40" spans="2:10" x14ac:dyDescent="0.3">
      <c r="B40" s="3" t="s">
        <v>383</v>
      </c>
      <c r="C40" t="s">
        <v>391</v>
      </c>
    </row>
    <row r="41" spans="2:10" x14ac:dyDescent="0.3">
      <c r="B41" s="3" t="s">
        <v>384</v>
      </c>
      <c r="C41">
        <f>July2015!F7</f>
        <v>1844327.1818300001</v>
      </c>
      <c r="D41">
        <f>July2015!G7</f>
        <v>5596603.3272745013</v>
      </c>
      <c r="E41">
        <f>July2015!H7</f>
        <v>430.49454574999999</v>
      </c>
      <c r="H41" t="s">
        <v>398</v>
      </c>
    </row>
    <row r="42" spans="2:10" x14ac:dyDescent="0.3">
      <c r="H42">
        <v>2.9696000041440129E-2</v>
      </c>
      <c r="I42">
        <v>1.1496500112116337E-2</v>
      </c>
      <c r="J42">
        <v>-1.7427749999967546E-2</v>
      </c>
    </row>
    <row r="45" spans="2:10" x14ac:dyDescent="0.3">
      <c r="B45" t="s">
        <v>477</v>
      </c>
    </row>
    <row r="48" spans="2:10" x14ac:dyDescent="0.3">
      <c r="B48" t="s">
        <v>478</v>
      </c>
    </row>
    <row r="50" spans="2:11" x14ac:dyDescent="0.3">
      <c r="B50" t="s">
        <v>479</v>
      </c>
      <c r="C50" t="s">
        <v>481</v>
      </c>
      <c r="D50" t="s">
        <v>480</v>
      </c>
      <c r="E50" t="s">
        <v>494</v>
      </c>
      <c r="I50" t="s">
        <v>385</v>
      </c>
      <c r="J50" t="s">
        <v>386</v>
      </c>
      <c r="K50" t="s">
        <v>494</v>
      </c>
    </row>
    <row r="51" spans="2:11" x14ac:dyDescent="0.3">
      <c r="B51" s="3" t="s">
        <v>482</v>
      </c>
      <c r="C51">
        <v>1844611.1935320001</v>
      </c>
      <c r="D51">
        <v>5596719.5433409996</v>
      </c>
      <c r="E51">
        <v>438.87606</v>
      </c>
      <c r="F51" s="7">
        <f>C51-C52</f>
        <v>-2.1949999965727329E-2</v>
      </c>
      <c r="G51" s="7">
        <f t="shared" ref="G51:H61" si="2">D51-D52</f>
        <v>-4.6997000463306904E-2</v>
      </c>
      <c r="H51" s="7">
        <f t="shared" si="2"/>
        <v>-2.4043000000006032E-2</v>
      </c>
      <c r="I51" s="7">
        <f>ABS(F51)</f>
        <v>2.1949999965727329E-2</v>
      </c>
      <c r="J51" s="7">
        <f t="shared" ref="J51:K61" si="3">ABS(G51)</f>
        <v>4.6997000463306904E-2</v>
      </c>
      <c r="K51" s="7">
        <f t="shared" si="3"/>
        <v>2.4043000000006032E-2</v>
      </c>
    </row>
    <row r="52" spans="2:11" x14ac:dyDescent="0.3">
      <c r="B52" s="3" t="s">
        <v>483</v>
      </c>
      <c r="C52">
        <v>1844611.215482</v>
      </c>
      <c r="D52">
        <v>5596719.5903380001</v>
      </c>
      <c r="E52">
        <v>438.900103</v>
      </c>
      <c r="F52" s="7">
        <f t="shared" ref="F52:F61" si="4">C52-C53</f>
        <v>-3.683999995701015E-2</v>
      </c>
      <c r="G52" s="7">
        <f t="shared" si="2"/>
        <v>-6.4305000007152557E-2</v>
      </c>
      <c r="H52" s="7">
        <f>E52-E53</f>
        <v>0.12770799999998417</v>
      </c>
      <c r="I52" s="7">
        <f t="shared" ref="I52:I61" si="5">ABS(F52)</f>
        <v>3.683999995701015E-2</v>
      </c>
      <c r="J52" s="7">
        <f t="shared" si="3"/>
        <v>6.4305000007152557E-2</v>
      </c>
      <c r="K52" s="7">
        <f t="shared" si="3"/>
        <v>0.12770799999998417</v>
      </c>
    </row>
    <row r="53" spans="2:11" x14ac:dyDescent="0.3">
      <c r="B53" s="3" t="s">
        <v>484</v>
      </c>
      <c r="C53">
        <v>1844611.252322</v>
      </c>
      <c r="D53">
        <v>5596719.6546430001</v>
      </c>
      <c r="E53">
        <v>438.77239500000002</v>
      </c>
      <c r="F53" s="7">
        <f t="shared" si="4"/>
        <v>-4.2327000061050057E-2</v>
      </c>
      <c r="G53" s="7">
        <f t="shared" si="2"/>
        <v>-3.6782999522984028E-2</v>
      </c>
      <c r="H53" s="7">
        <f>E53-E54</f>
        <v>-0.18426099999999224</v>
      </c>
      <c r="I53" s="7">
        <f t="shared" si="5"/>
        <v>4.2327000061050057E-2</v>
      </c>
      <c r="J53" s="7">
        <f t="shared" si="3"/>
        <v>3.6782999522984028E-2</v>
      </c>
      <c r="K53" s="7">
        <f t="shared" si="3"/>
        <v>0.18426099999999224</v>
      </c>
    </row>
    <row r="54" spans="2:11" x14ac:dyDescent="0.3">
      <c r="B54" s="3" t="s">
        <v>485</v>
      </c>
      <c r="C54">
        <v>1844611.294649</v>
      </c>
      <c r="D54">
        <v>5596719.6914259996</v>
      </c>
      <c r="E54">
        <v>438.95665600000001</v>
      </c>
      <c r="F54" s="7">
        <f t="shared" si="4"/>
        <v>-1.1157999979332089E-2</v>
      </c>
      <c r="G54" s="7">
        <f t="shared" si="2"/>
        <v>-3.1026000156998634E-2</v>
      </c>
      <c r="H54" s="7">
        <f t="shared" si="2"/>
        <v>-6.4596999999992022E-2</v>
      </c>
      <c r="I54" s="7">
        <f t="shared" si="5"/>
        <v>1.1157999979332089E-2</v>
      </c>
      <c r="J54" s="7">
        <f t="shared" si="3"/>
        <v>3.1026000156998634E-2</v>
      </c>
      <c r="K54" s="7">
        <f t="shared" si="3"/>
        <v>6.4596999999992022E-2</v>
      </c>
    </row>
    <row r="55" spans="2:11" x14ac:dyDescent="0.3">
      <c r="B55" s="3" t="s">
        <v>486</v>
      </c>
      <c r="C55">
        <v>1844611.305807</v>
      </c>
      <c r="D55">
        <v>5596719.7224519998</v>
      </c>
      <c r="E55">
        <v>439.021253</v>
      </c>
      <c r="F55" s="7">
        <f t="shared" si="4"/>
        <v>-1.5821999870240688E-2</v>
      </c>
      <c r="G55" s="7">
        <f t="shared" si="2"/>
        <v>-1.1322000063955784E-2</v>
      </c>
      <c r="H55" s="7">
        <f t="shared" si="2"/>
        <v>4.4392000000016196E-2</v>
      </c>
      <c r="I55" s="7">
        <f t="shared" si="5"/>
        <v>1.5821999870240688E-2</v>
      </c>
      <c r="J55" s="7">
        <f t="shared" si="3"/>
        <v>1.1322000063955784E-2</v>
      </c>
      <c r="K55" s="7">
        <f t="shared" si="3"/>
        <v>4.4392000000016196E-2</v>
      </c>
    </row>
    <row r="56" spans="2:11" x14ac:dyDescent="0.3">
      <c r="B56" s="3" t="s">
        <v>487</v>
      </c>
      <c r="C56">
        <v>1844611.3216289999</v>
      </c>
      <c r="D56">
        <v>5596719.7337739998</v>
      </c>
      <c r="E56">
        <v>438.97686099999999</v>
      </c>
      <c r="F56" s="7">
        <f t="shared" si="4"/>
        <v>1.6721999971196055E-2</v>
      </c>
      <c r="G56" s="7">
        <f t="shared" si="2"/>
        <v>-1.8245999701321125E-2</v>
      </c>
      <c r="H56" s="7">
        <f t="shared" si="2"/>
        <v>9.7829999999703432E-3</v>
      </c>
      <c r="I56" s="7">
        <f t="shared" si="5"/>
        <v>1.6721999971196055E-2</v>
      </c>
      <c r="J56" s="7">
        <f t="shared" si="3"/>
        <v>1.8245999701321125E-2</v>
      </c>
      <c r="K56" s="7">
        <f t="shared" si="3"/>
        <v>9.7829999999703432E-3</v>
      </c>
    </row>
    <row r="57" spans="2:11" x14ac:dyDescent="0.3">
      <c r="B57" s="3" t="s">
        <v>488</v>
      </c>
      <c r="C57">
        <v>1844611.3049069999</v>
      </c>
      <c r="D57">
        <v>5596719.7520199995</v>
      </c>
      <c r="E57">
        <v>438.96707800000001</v>
      </c>
      <c r="F57" s="7">
        <f t="shared" si="4"/>
        <v>-2.5469999993219972E-2</v>
      </c>
      <c r="G57" s="7">
        <f t="shared" si="2"/>
        <v>-3.365700040012598E-2</v>
      </c>
      <c r="H57" s="7">
        <f t="shared" si="2"/>
        <v>-1.5408999999976913E-2</v>
      </c>
      <c r="I57" s="7">
        <f t="shared" si="5"/>
        <v>2.5469999993219972E-2</v>
      </c>
      <c r="J57" s="7">
        <f t="shared" si="3"/>
        <v>3.365700040012598E-2</v>
      </c>
      <c r="K57" s="7">
        <f t="shared" si="3"/>
        <v>1.5408999999976913E-2</v>
      </c>
    </row>
    <row r="58" spans="2:11" x14ac:dyDescent="0.3">
      <c r="B58" s="3" t="s">
        <v>489</v>
      </c>
      <c r="C58">
        <v>1844611.3303769999</v>
      </c>
      <c r="D58">
        <v>5596719.7856769999</v>
      </c>
      <c r="E58">
        <v>438.98248699999999</v>
      </c>
      <c r="F58" s="7">
        <f t="shared" si="4"/>
        <v>-3.2105999998748302E-2</v>
      </c>
      <c r="G58" s="7">
        <f t="shared" si="2"/>
        <v>-2.2777999751269817E-2</v>
      </c>
      <c r="H58" s="7">
        <f t="shared" si="2"/>
        <v>-1.9464000000027681E-2</v>
      </c>
      <c r="I58" s="7">
        <f t="shared" si="5"/>
        <v>3.2105999998748302E-2</v>
      </c>
      <c r="J58" s="7">
        <f t="shared" si="3"/>
        <v>2.2777999751269817E-2</v>
      </c>
      <c r="K58" s="7">
        <f t="shared" si="3"/>
        <v>1.9464000000027681E-2</v>
      </c>
    </row>
    <row r="59" spans="2:11" x14ac:dyDescent="0.3">
      <c r="B59" s="3" t="s">
        <v>490</v>
      </c>
      <c r="C59">
        <v>1844611.3624829999</v>
      </c>
      <c r="D59">
        <v>5596719.8084549997</v>
      </c>
      <c r="E59">
        <v>439.00195100000002</v>
      </c>
      <c r="F59" s="7">
        <f t="shared" si="4"/>
        <v>-2.7246000245213509E-2</v>
      </c>
      <c r="G59" s="7">
        <f t="shared" si="2"/>
        <v>-2.7895500883460045E-2</v>
      </c>
      <c r="H59" s="7">
        <f t="shared" si="2"/>
        <v>2.6722499999891625E-3</v>
      </c>
      <c r="I59" s="7">
        <f t="shared" si="5"/>
        <v>2.7246000245213509E-2</v>
      </c>
      <c r="J59" s="7">
        <f t="shared" si="3"/>
        <v>2.7895500883460045E-2</v>
      </c>
      <c r="K59" s="7">
        <f t="shared" si="3"/>
        <v>2.6722499999891625E-3</v>
      </c>
    </row>
    <row r="60" spans="2:11" x14ac:dyDescent="0.3">
      <c r="B60" s="3" t="s">
        <v>491</v>
      </c>
      <c r="C60">
        <v>1844611.3897290002</v>
      </c>
      <c r="D60">
        <v>5596719.8363505006</v>
      </c>
      <c r="E60">
        <v>438.99927875000003</v>
      </c>
      <c r="F60" s="7">
        <f t="shared" si="4"/>
        <v>2.9033000115305185E-2</v>
      </c>
      <c r="G60" s="7">
        <f t="shared" si="2"/>
        <v>-8.1459991633892059E-3</v>
      </c>
      <c r="H60" s="7">
        <f t="shared" si="2"/>
        <v>-3.9293499999985215E-2</v>
      </c>
      <c r="I60" s="7">
        <f t="shared" si="5"/>
        <v>2.9033000115305185E-2</v>
      </c>
      <c r="J60" s="7">
        <f t="shared" si="3"/>
        <v>8.1459991633892059E-3</v>
      </c>
      <c r="K60" s="7">
        <f t="shared" si="3"/>
        <v>3.9293499999985215E-2</v>
      </c>
    </row>
    <row r="61" spans="2:11" x14ac:dyDescent="0.3">
      <c r="B61" s="3" t="s">
        <v>492</v>
      </c>
      <c r="C61">
        <v>1844611.360696</v>
      </c>
      <c r="D61">
        <v>5596719.8444964997</v>
      </c>
      <c r="E61">
        <v>439.03857225000002</v>
      </c>
      <c r="F61" s="7">
        <f t="shared" si="4"/>
        <v>-3.1340001150965691E-3</v>
      </c>
      <c r="G61" s="7">
        <f t="shared" si="2"/>
        <v>3.9221999235451221E-2</v>
      </c>
      <c r="H61" s="7">
        <f t="shared" si="2"/>
        <v>1.9026499999995394E-2</v>
      </c>
      <c r="I61" s="7">
        <f t="shared" si="5"/>
        <v>3.1340001150965691E-3</v>
      </c>
      <c r="J61" s="7">
        <f t="shared" si="3"/>
        <v>3.9221999235451221E-2</v>
      </c>
      <c r="K61" s="7">
        <f t="shared" si="3"/>
        <v>1.9026499999995394E-2</v>
      </c>
    </row>
    <row r="62" spans="2:11" x14ac:dyDescent="0.3">
      <c r="B62" s="3" t="s">
        <v>493</v>
      </c>
      <c r="C62">
        <v>1844611.3638300002</v>
      </c>
      <c r="D62">
        <v>5596719.8052745005</v>
      </c>
      <c r="E62">
        <v>439.01954575000002</v>
      </c>
      <c r="F62" s="7"/>
      <c r="G62" s="7"/>
      <c r="H62" s="7"/>
    </row>
    <row r="63" spans="2:11" x14ac:dyDescent="0.3">
      <c r="B63" s="3"/>
      <c r="F63" s="7"/>
      <c r="G63" s="7"/>
      <c r="H63" s="7" t="s">
        <v>465</v>
      </c>
      <c r="I63" s="7">
        <f>MAX(I51:I61)</f>
        <v>4.2327000061050057E-2</v>
      </c>
      <c r="J63" s="7">
        <f t="shared" ref="J63:K63" si="6">MAX(J51:J61)</f>
        <v>6.4305000007152557E-2</v>
      </c>
      <c r="K63" s="7">
        <f t="shared" si="6"/>
        <v>0.18426099999999224</v>
      </c>
    </row>
    <row r="64" spans="2:11" x14ac:dyDescent="0.3">
      <c r="B64" s="3"/>
      <c r="H64" t="s">
        <v>466</v>
      </c>
      <c r="I64" s="7">
        <f>AVERAGE(I51:I61)</f>
        <v>2.3800727297467263E-2</v>
      </c>
      <c r="J64" s="7">
        <f t="shared" ref="J64:K64" si="7">AVERAGE(J51:J61)</f>
        <v>3.0943409031765026E-2</v>
      </c>
      <c r="K64" s="7">
        <f t="shared" si="7"/>
        <v>5.0059022727266853E-2</v>
      </c>
    </row>
    <row r="65" spans="8:11" x14ac:dyDescent="0.3">
      <c r="H65" t="s">
        <v>476</v>
      </c>
      <c r="I65" s="7">
        <f>_xlfn.STDEV.S(I51:I61)</f>
        <v>1.1525631672694327E-2</v>
      </c>
      <c r="J65" s="7">
        <f t="shared" ref="J65:K65" si="8">_xlfn.STDEV.S(J51:J61)</f>
        <v>1.6194533848265392E-2</v>
      </c>
      <c r="K65" s="7">
        <f t="shared" si="8"/>
        <v>5.6606619239321712E-2</v>
      </c>
    </row>
    <row r="67" spans="8:11" x14ac:dyDescent="0.3">
      <c r="H67" t="s">
        <v>495</v>
      </c>
      <c r="I67" s="7">
        <f>AVERAGE(I64:J64)</f>
        <v>2.7372068164616147E-2</v>
      </c>
      <c r="J67" t="s">
        <v>466</v>
      </c>
    </row>
    <row r="68" spans="8:11" x14ac:dyDescent="0.3">
      <c r="I68" s="7">
        <f>AVERAGE(I65:J65)</f>
        <v>1.3860082760479859E-2</v>
      </c>
      <c r="J68" t="s">
        <v>476</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EA40-13CF-4B7C-9E0A-C304218F7D3F}">
  <sheetPr codeName="Sheet20"/>
  <dimension ref="B1:J38"/>
  <sheetViews>
    <sheetView zoomScale="85" zoomScaleNormal="85" workbookViewId="0">
      <selection activeCell="C36" sqref="C36"/>
    </sheetView>
  </sheetViews>
  <sheetFormatPr defaultRowHeight="14.4" x14ac:dyDescent="0.3"/>
  <cols>
    <col min="4" max="4" width="14.6640625" customWidth="1"/>
    <col min="5" max="5" width="16.6640625" customWidth="1"/>
    <col min="9" max="9" width="12.5546875" customWidth="1"/>
    <col min="10" max="10" width="14" customWidth="1"/>
  </cols>
  <sheetData>
    <row r="1" spans="2:10" x14ac:dyDescent="0.3">
      <c r="B1" t="s">
        <v>515</v>
      </c>
    </row>
    <row r="3" spans="2:10" x14ac:dyDescent="0.3">
      <c r="C3" s="21" t="s">
        <v>1</v>
      </c>
      <c r="D3" s="21" t="s">
        <v>5</v>
      </c>
      <c r="E3" s="21" t="s">
        <v>6</v>
      </c>
      <c r="F3" s="21" t="s">
        <v>7</v>
      </c>
      <c r="G3" s="21" t="s">
        <v>14</v>
      </c>
      <c r="H3" s="21" t="s">
        <v>15</v>
      </c>
      <c r="I3" s="21" t="s">
        <v>16</v>
      </c>
      <c r="J3" s="21" t="s">
        <v>17</v>
      </c>
    </row>
    <row r="4" spans="2:10" x14ac:dyDescent="0.3">
      <c r="C4" s="21">
        <v>1</v>
      </c>
      <c r="D4" s="21">
        <v>1844611.215482</v>
      </c>
      <c r="E4" s="21">
        <v>5596719.5903380001</v>
      </c>
      <c r="F4" s="21">
        <v>438.900103</v>
      </c>
      <c r="G4" s="21">
        <v>1.1742000000000001E-2</v>
      </c>
      <c r="H4" s="21">
        <v>1.5776999999999999E-2</v>
      </c>
      <c r="I4" s="1">
        <v>43382</v>
      </c>
      <c r="J4" s="2">
        <v>0.50369212962962961</v>
      </c>
    </row>
    <row r="5" spans="2:10" x14ac:dyDescent="0.3">
      <c r="C5" s="21">
        <v>2</v>
      </c>
      <c r="D5" s="21">
        <v>1844327.038464</v>
      </c>
      <c r="E5" s="21">
        <v>5596603.1330279997</v>
      </c>
      <c r="F5" s="21">
        <v>430.35954299999997</v>
      </c>
      <c r="G5" s="21">
        <v>1.9463000000000001E-2</v>
      </c>
      <c r="H5" s="21">
        <v>3.1026999999999999E-2</v>
      </c>
      <c r="I5" s="1">
        <v>43382</v>
      </c>
      <c r="J5" s="2">
        <v>0.51484953703703706</v>
      </c>
    </row>
    <row r="6" spans="2:10" x14ac:dyDescent="0.3">
      <c r="C6" s="21">
        <v>3</v>
      </c>
      <c r="D6" s="21">
        <v>1844275.7125929999</v>
      </c>
      <c r="E6" s="21">
        <v>5596482.8176570004</v>
      </c>
      <c r="F6" s="21">
        <v>434.63721500000003</v>
      </c>
      <c r="G6" s="21">
        <v>1.5889E-2</v>
      </c>
      <c r="H6" s="21">
        <v>2.7615000000000001E-2</v>
      </c>
      <c r="I6" s="1">
        <v>43382</v>
      </c>
      <c r="J6" s="2">
        <v>0.52289351851851851</v>
      </c>
    </row>
    <row r="7" spans="2:10" x14ac:dyDescent="0.3">
      <c r="C7" s="21">
        <v>4</v>
      </c>
      <c r="D7" s="21">
        <v>1844444.3660180001</v>
      </c>
      <c r="E7" s="21">
        <v>5596428.8174459999</v>
      </c>
      <c r="F7" s="21">
        <v>421.82895600000001</v>
      </c>
      <c r="G7" s="21">
        <v>1.4307E-2</v>
      </c>
      <c r="H7" s="21">
        <v>2.6218000000000002E-2</v>
      </c>
      <c r="I7" s="1">
        <v>43382</v>
      </c>
      <c r="J7" s="2">
        <v>0.5368518518518518</v>
      </c>
    </row>
    <row r="8" spans="2:10" x14ac:dyDescent="0.3">
      <c r="C8" s="21">
        <v>5</v>
      </c>
      <c r="D8" s="21">
        <v>1844577.5881060001</v>
      </c>
      <c r="E8" s="21">
        <v>5596364.29954</v>
      </c>
      <c r="F8" s="21">
        <v>414.58305899999999</v>
      </c>
      <c r="G8" s="21">
        <v>1.5518000000000001E-2</v>
      </c>
      <c r="H8" s="21">
        <v>2.9389999999999999E-2</v>
      </c>
      <c r="I8" s="1">
        <v>43382</v>
      </c>
      <c r="J8" s="2">
        <v>0.54314814814814816</v>
      </c>
    </row>
    <row r="9" spans="2:10" x14ac:dyDescent="0.3">
      <c r="C9" s="21">
        <v>6</v>
      </c>
      <c r="D9" s="21">
        <v>1844789.104051</v>
      </c>
      <c r="E9" s="21">
        <v>5596419.7366930004</v>
      </c>
      <c r="F9" s="21">
        <v>421.35107599999998</v>
      </c>
      <c r="G9" s="21">
        <v>1.6388E-2</v>
      </c>
      <c r="H9" s="21">
        <v>3.0089999999999999E-2</v>
      </c>
      <c r="I9" s="1">
        <v>43382</v>
      </c>
      <c r="J9" s="2">
        <v>0.54811342592592593</v>
      </c>
    </row>
    <row r="10" spans="2:10" x14ac:dyDescent="0.3">
      <c r="C10" s="21">
        <v>7</v>
      </c>
      <c r="D10" s="21">
        <v>1844897.3165829999</v>
      </c>
      <c r="E10" s="21">
        <v>5596315.3219140004</v>
      </c>
      <c r="F10" s="21">
        <v>399.04069500000003</v>
      </c>
      <c r="G10" s="21">
        <v>1.6872000000000002E-2</v>
      </c>
      <c r="H10" s="21">
        <v>2.9364999999999999E-2</v>
      </c>
      <c r="I10" s="1">
        <v>43382</v>
      </c>
      <c r="J10" s="2">
        <v>0.55356481481481479</v>
      </c>
    </row>
    <row r="11" spans="2:10" x14ac:dyDescent="0.3">
      <c r="C11" s="21">
        <v>8</v>
      </c>
      <c r="D11" s="21">
        <v>1844684.8533950001</v>
      </c>
      <c r="E11" s="21">
        <v>5596191.5718029998</v>
      </c>
      <c r="F11" s="21">
        <v>402.94071200000002</v>
      </c>
      <c r="G11" s="21">
        <v>2.3951E-2</v>
      </c>
      <c r="H11" s="21">
        <v>2.7774E-2</v>
      </c>
      <c r="I11" s="1">
        <v>43019</v>
      </c>
      <c r="J11" s="2">
        <v>0.47569444444444442</v>
      </c>
    </row>
    <row r="12" spans="2:10" x14ac:dyDescent="0.3">
      <c r="C12" s="21">
        <v>9</v>
      </c>
      <c r="D12" s="21">
        <v>1844488.537301</v>
      </c>
      <c r="E12" s="21">
        <v>5596190.2451240001</v>
      </c>
      <c r="F12" s="21">
        <v>401.05680899999999</v>
      </c>
      <c r="G12" s="21">
        <v>2.2297999999999998E-2</v>
      </c>
      <c r="H12" s="21">
        <v>2.9637E-2</v>
      </c>
      <c r="I12" s="1">
        <v>42814</v>
      </c>
      <c r="J12" s="2">
        <v>0.67151620370370368</v>
      </c>
    </row>
    <row r="13" spans="2:10" x14ac:dyDescent="0.3">
      <c r="C13" s="21">
        <v>10</v>
      </c>
      <c r="D13" s="21">
        <v>1844340.242503</v>
      </c>
      <c r="E13" s="21">
        <v>5596228.9248139998</v>
      </c>
      <c r="F13" s="21">
        <v>405.81884400000001</v>
      </c>
      <c r="G13" s="21">
        <v>1.6652E-2</v>
      </c>
      <c r="H13" s="21">
        <v>2.3365E-2</v>
      </c>
      <c r="I13" s="1">
        <v>43382</v>
      </c>
      <c r="J13" s="2">
        <v>0.58560185185185187</v>
      </c>
    </row>
    <row r="14" spans="2:10" x14ac:dyDescent="0.3">
      <c r="C14" s="21">
        <v>11</v>
      </c>
      <c r="D14" s="21">
        <v>1844395.0697069999</v>
      </c>
      <c r="E14" s="21">
        <v>5596016.2094869995</v>
      </c>
      <c r="F14" s="21">
        <v>389.732238</v>
      </c>
      <c r="G14" s="21">
        <v>3.1899999999999998E-2</v>
      </c>
      <c r="H14" s="21">
        <v>2.8385000000000001E-2</v>
      </c>
      <c r="I14" s="1">
        <v>43382</v>
      </c>
      <c r="J14" s="2">
        <v>0.60629629629629633</v>
      </c>
    </row>
    <row r="15" spans="2:10" x14ac:dyDescent="0.3">
      <c r="C15" s="21">
        <v>12</v>
      </c>
      <c r="D15" s="21">
        <v>1844569.6195090001</v>
      </c>
      <c r="E15" s="21">
        <v>5596016.7005279996</v>
      </c>
      <c r="F15" s="21">
        <v>397.55543499999999</v>
      </c>
      <c r="G15" s="21">
        <v>2.0291E-2</v>
      </c>
      <c r="H15" s="21">
        <v>2.5779E-2</v>
      </c>
      <c r="I15" s="1">
        <v>43382</v>
      </c>
      <c r="J15" s="2">
        <v>0.61326388888888894</v>
      </c>
    </row>
    <row r="16" spans="2:10" x14ac:dyDescent="0.3">
      <c r="C16" s="21">
        <v>13</v>
      </c>
      <c r="D16" s="21">
        <v>1844675.8920859999</v>
      </c>
      <c r="E16" s="21">
        <v>5595952.2939719995</v>
      </c>
      <c r="F16" s="21">
        <v>392.12957599999999</v>
      </c>
      <c r="G16" s="21">
        <v>2.0722999999999998E-2</v>
      </c>
      <c r="H16" s="21">
        <v>2.6204999999999999E-2</v>
      </c>
      <c r="I16" s="1">
        <v>43382</v>
      </c>
      <c r="J16" s="2">
        <v>0.61657407407407405</v>
      </c>
    </row>
    <row r="17" spans="3:10" x14ac:dyDescent="0.3">
      <c r="C17" s="21">
        <v>14</v>
      </c>
      <c r="D17" s="21">
        <v>1844386.7183360001</v>
      </c>
      <c r="E17" s="21">
        <v>5595875.8013629997</v>
      </c>
      <c r="F17" s="21">
        <v>381.60200400000002</v>
      </c>
      <c r="G17" s="21">
        <v>2.2062999999999999E-2</v>
      </c>
      <c r="H17" s="21">
        <v>2.8125000000000001E-2</v>
      </c>
      <c r="I17" s="1">
        <v>43382</v>
      </c>
      <c r="J17" s="2">
        <v>0.65101851851851855</v>
      </c>
    </row>
    <row r="18" spans="3:10" x14ac:dyDescent="0.3">
      <c r="C18" s="21">
        <v>15</v>
      </c>
      <c r="D18" s="21">
        <v>1844190.0015759999</v>
      </c>
      <c r="E18" s="21">
        <v>5596021.1572070001</v>
      </c>
      <c r="F18" s="21">
        <v>395.88947000000002</v>
      </c>
      <c r="G18" s="21">
        <v>2.6765000000000001E-2</v>
      </c>
      <c r="H18" s="21">
        <v>3.5303000000000001E-2</v>
      </c>
      <c r="I18" s="1">
        <v>43382</v>
      </c>
      <c r="J18" s="2">
        <v>0.59732638888888889</v>
      </c>
    </row>
    <row r="19" spans="3:10" x14ac:dyDescent="0.3">
      <c r="C19" s="21">
        <v>16</v>
      </c>
      <c r="D19" s="21">
        <v>1844346.785323</v>
      </c>
      <c r="E19" s="21">
        <v>5595795.2373139998</v>
      </c>
      <c r="F19" s="21">
        <v>355.97377800000004</v>
      </c>
      <c r="G19" s="21">
        <v>1.5990000000000001E-2</v>
      </c>
      <c r="H19" s="21">
        <v>1.5146E-2</v>
      </c>
      <c r="I19" s="1">
        <v>42562</v>
      </c>
      <c r="J19" s="2">
        <v>0.41390046296296296</v>
      </c>
    </row>
    <row r="20" spans="3:10" x14ac:dyDescent="0.3">
      <c r="C20" s="21">
        <v>17</v>
      </c>
      <c r="D20" s="21">
        <v>1844522.773364</v>
      </c>
      <c r="E20" s="21">
        <v>5595813.4207859999</v>
      </c>
      <c r="F20" s="21">
        <v>367.29042399999997</v>
      </c>
      <c r="G20" s="21">
        <v>2.8583999999999998E-2</v>
      </c>
      <c r="H20" s="21">
        <v>3.5081000000000001E-2</v>
      </c>
      <c r="I20" s="1">
        <v>43382</v>
      </c>
      <c r="J20" s="2">
        <v>0.64597222222222228</v>
      </c>
    </row>
    <row r="21" spans="3:10" x14ac:dyDescent="0.3">
      <c r="C21" s="21">
        <v>18</v>
      </c>
      <c r="D21" s="21">
        <v>1844707.5853579999</v>
      </c>
      <c r="E21" s="21">
        <v>5595725.3385690004</v>
      </c>
      <c r="F21" s="21">
        <v>375.74750299999999</v>
      </c>
      <c r="G21" s="21">
        <v>2.215E-2</v>
      </c>
      <c r="H21" s="21">
        <v>2.6544000000000002E-2</v>
      </c>
      <c r="I21" s="1">
        <v>43382</v>
      </c>
      <c r="J21" s="2">
        <v>0.62059027777777775</v>
      </c>
    </row>
    <row r="22" spans="3:10" x14ac:dyDescent="0.3">
      <c r="C22" s="21">
        <v>19</v>
      </c>
      <c r="D22" s="21">
        <v>1844643.5233690001</v>
      </c>
      <c r="E22" s="21">
        <v>5595686.1368650002</v>
      </c>
      <c r="F22" s="21">
        <v>358.35370799999998</v>
      </c>
      <c r="G22" s="21">
        <v>2.5551000000000001E-2</v>
      </c>
      <c r="H22" s="21">
        <v>3.1676000000000003E-2</v>
      </c>
      <c r="I22" s="1">
        <v>43382</v>
      </c>
      <c r="J22" s="2">
        <v>0.6411458333333333</v>
      </c>
    </row>
    <row r="23" spans="3:10" x14ac:dyDescent="0.3">
      <c r="C23" s="21">
        <v>20</v>
      </c>
      <c r="D23" s="21">
        <v>1844629.443554</v>
      </c>
      <c r="E23" s="21">
        <v>5595610.6536769997</v>
      </c>
      <c r="F23" s="21">
        <v>332.55132900000001</v>
      </c>
      <c r="G23" s="21">
        <v>2.3084E-2</v>
      </c>
      <c r="H23" s="21">
        <v>2.5243000000000002E-2</v>
      </c>
      <c r="I23" s="1">
        <v>43382</v>
      </c>
      <c r="J23" s="2">
        <v>0.63760416666666664</v>
      </c>
    </row>
    <row r="24" spans="3:10" x14ac:dyDescent="0.3">
      <c r="C24" s="21">
        <v>21</v>
      </c>
      <c r="D24" s="21">
        <v>1844492.341974</v>
      </c>
      <c r="E24" s="21">
        <v>5595542.530735</v>
      </c>
      <c r="F24" s="21">
        <v>309.12802900000003</v>
      </c>
      <c r="G24" s="21">
        <v>1.6354E-2</v>
      </c>
      <c r="H24" s="21">
        <v>2.0591999999999999E-2</v>
      </c>
      <c r="I24" s="1">
        <v>43382</v>
      </c>
      <c r="J24" s="2">
        <v>0.70908564814814812</v>
      </c>
    </row>
    <row r="25" spans="3:10" s="21" customFormat="1" x14ac:dyDescent="0.3">
      <c r="C25" s="21">
        <v>22</v>
      </c>
      <c r="D25" s="21">
        <v>1844433.821334</v>
      </c>
      <c r="E25" s="21">
        <v>5595461.6730829999</v>
      </c>
      <c r="F25" s="21">
        <v>305.20927</v>
      </c>
      <c r="G25" s="21">
        <v>3.1001000000000001E-2</v>
      </c>
      <c r="H25" s="21">
        <v>3.1685999999999999E-2</v>
      </c>
      <c r="I25" s="1">
        <v>42562</v>
      </c>
      <c r="J25" s="2">
        <v>0.55987268518518518</v>
      </c>
    </row>
    <row r="26" spans="3:10" x14ac:dyDescent="0.3">
      <c r="C26" s="21">
        <v>23</v>
      </c>
      <c r="D26" s="21">
        <v>1844378.7990689999</v>
      </c>
      <c r="E26" s="21">
        <v>5595386.1844450003</v>
      </c>
      <c r="F26" s="21">
        <v>310.736445</v>
      </c>
      <c r="G26" s="21">
        <v>1.9900000000000001E-2</v>
      </c>
      <c r="H26" s="21">
        <v>2.741E-2</v>
      </c>
      <c r="I26" s="1">
        <v>43382</v>
      </c>
      <c r="J26" s="2">
        <v>0.67450231481481471</v>
      </c>
    </row>
    <row r="27" spans="3:10" x14ac:dyDescent="0.3">
      <c r="C27" s="21">
        <v>24</v>
      </c>
      <c r="D27" s="21">
        <v>1844365.2979870001</v>
      </c>
      <c r="E27" s="21">
        <v>5595610.3593929997</v>
      </c>
      <c r="F27" s="21">
        <v>326.92229300000002</v>
      </c>
      <c r="G27" s="21">
        <v>2.4747000000000002E-2</v>
      </c>
      <c r="H27" s="21">
        <v>3.3640000000000003E-2</v>
      </c>
      <c r="I27" s="1">
        <v>43382</v>
      </c>
      <c r="J27" s="2">
        <v>0.70295138888888886</v>
      </c>
    </row>
    <row r="28" spans="3:10" x14ac:dyDescent="0.3">
      <c r="C28" s="21">
        <v>25</v>
      </c>
      <c r="D28" s="21">
        <v>1844346.1549229999</v>
      </c>
      <c r="E28" s="21">
        <v>5595520.0882160002</v>
      </c>
      <c r="F28" s="21">
        <v>315.72102899999999</v>
      </c>
      <c r="G28" s="21">
        <v>2.0267E-2</v>
      </c>
      <c r="H28" s="21">
        <v>3.0110999999999999E-2</v>
      </c>
      <c r="I28" s="1">
        <v>43382</v>
      </c>
      <c r="J28" s="2">
        <v>0.68315972222222221</v>
      </c>
    </row>
    <row r="29" spans="3:10" x14ac:dyDescent="0.3">
      <c r="C29" s="21">
        <v>26</v>
      </c>
      <c r="D29" s="21">
        <v>1844303.097658</v>
      </c>
      <c r="E29" s="21">
        <v>5595520.1125020003</v>
      </c>
      <c r="F29" s="21">
        <v>314.57330100000001</v>
      </c>
      <c r="G29" s="21">
        <v>1.6064999999999999E-2</v>
      </c>
      <c r="H29" s="21">
        <v>2.7109999999999999E-2</v>
      </c>
      <c r="I29" s="1">
        <v>43382</v>
      </c>
      <c r="J29" s="2">
        <v>0.68903935185185183</v>
      </c>
    </row>
    <row r="30" spans="3:10" x14ac:dyDescent="0.3">
      <c r="C30" s="21">
        <v>27</v>
      </c>
      <c r="D30" s="21">
        <v>1844185.14001</v>
      </c>
      <c r="E30" s="21">
        <v>5595587.5742960004</v>
      </c>
      <c r="F30" s="21">
        <v>355.90871600000003</v>
      </c>
      <c r="G30" s="21">
        <v>1.8532E-2</v>
      </c>
      <c r="H30" s="21">
        <v>2.5203E-2</v>
      </c>
      <c r="I30" s="1">
        <v>43382</v>
      </c>
      <c r="J30" s="2">
        <v>0.66447916666666662</v>
      </c>
    </row>
    <row r="31" spans="3:10" x14ac:dyDescent="0.3">
      <c r="C31" s="21">
        <v>28</v>
      </c>
      <c r="D31" s="21">
        <v>1844266.9703200001</v>
      </c>
      <c r="E31" s="21">
        <v>5595681.0364250001</v>
      </c>
      <c r="F31" s="21">
        <v>334.47636899999998</v>
      </c>
      <c r="G31" s="21">
        <v>2.4058E-2</v>
      </c>
      <c r="H31" s="21">
        <v>3.6922999999999997E-2</v>
      </c>
      <c r="I31" s="1">
        <v>43382</v>
      </c>
      <c r="J31" s="2">
        <v>0.69469907407407405</v>
      </c>
    </row>
    <row r="32" spans="3:10" x14ac:dyDescent="0.3">
      <c r="C32" s="21">
        <v>29</v>
      </c>
      <c r="D32" s="21">
        <v>1844374.1977580001</v>
      </c>
      <c r="E32" s="21">
        <v>5595692.2421930004</v>
      </c>
      <c r="F32" s="21">
        <v>335.00513100000001</v>
      </c>
      <c r="G32" s="21">
        <v>3.3092000000000003E-2</v>
      </c>
      <c r="H32" s="21">
        <v>4.6457999999999999E-2</v>
      </c>
      <c r="I32" s="1">
        <v>43382</v>
      </c>
      <c r="J32" s="2">
        <v>0.69923611111111106</v>
      </c>
    </row>
    <row r="33" spans="2:10" x14ac:dyDescent="0.3">
      <c r="B33" t="s">
        <v>26</v>
      </c>
      <c r="C33" s="21" t="s">
        <v>631</v>
      </c>
      <c r="D33" s="21">
        <v>1844715.236543</v>
      </c>
      <c r="E33" s="21">
        <v>5595570.9072749997</v>
      </c>
      <c r="F33" s="21">
        <v>340.395309</v>
      </c>
      <c r="G33" s="21">
        <v>2.3595000000000001E-2</v>
      </c>
      <c r="H33" s="21">
        <v>2.7276000000000002E-2</v>
      </c>
      <c r="I33" s="1">
        <v>43382</v>
      </c>
      <c r="J33" s="2">
        <v>0.62987268518518513</v>
      </c>
    </row>
    <row r="34" spans="2:10" x14ac:dyDescent="0.3">
      <c r="B34" t="s">
        <v>23</v>
      </c>
      <c r="C34" s="21">
        <v>30</v>
      </c>
      <c r="D34" s="21">
        <v>1844289.2180850001</v>
      </c>
      <c r="E34" s="21">
        <v>5596663.7209890001</v>
      </c>
      <c r="F34" s="21">
        <v>432.61102499999998</v>
      </c>
      <c r="G34" s="21">
        <v>1.7024999999999998E-2</v>
      </c>
      <c r="H34" s="21">
        <v>2.4895E-2</v>
      </c>
      <c r="I34" s="1">
        <v>43382</v>
      </c>
      <c r="J34" s="2">
        <v>0.51028935185185187</v>
      </c>
    </row>
    <row r="35" spans="2:10" x14ac:dyDescent="0.3">
      <c r="C35" s="21"/>
      <c r="D35" s="21"/>
      <c r="E35" s="21"/>
      <c r="F35" s="21"/>
      <c r="G35" s="21"/>
      <c r="H35" s="21"/>
      <c r="I35" s="1"/>
      <c r="J35" s="2"/>
    </row>
    <row r="36" spans="2:10" x14ac:dyDescent="0.3">
      <c r="C36" s="21"/>
      <c r="D36" s="21"/>
      <c r="E36" s="21"/>
      <c r="F36" s="21"/>
      <c r="G36" s="21"/>
      <c r="H36" s="21"/>
      <c r="I36" s="1"/>
      <c r="J36" s="2"/>
    </row>
    <row r="37" spans="2:10" x14ac:dyDescent="0.3">
      <c r="C37" s="21"/>
      <c r="D37" s="21"/>
      <c r="E37" s="21"/>
      <c r="F37" s="21"/>
      <c r="G37" s="21"/>
      <c r="H37" s="21"/>
      <c r="I37" s="1"/>
      <c r="J37" s="2"/>
    </row>
    <row r="38" spans="2:10" x14ac:dyDescent="0.3">
      <c r="C38" s="21"/>
      <c r="D38" s="21"/>
      <c r="E38" s="21"/>
      <c r="F38" s="21"/>
      <c r="G38" s="21"/>
      <c r="H38" s="21"/>
      <c r="I38" s="1"/>
      <c r="J38" s="2"/>
    </row>
  </sheetData>
  <sortState xmlns:xlrd2="http://schemas.microsoft.com/office/spreadsheetml/2017/richdata2" ref="C4:J34">
    <sortCondition ref="C4:C3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7A35C-BA5D-4D7F-A6F9-859B86D6F855}">
  <sheetPr codeName="Sheet4"/>
  <dimension ref="A1:T43"/>
  <sheetViews>
    <sheetView workbookViewId="0">
      <selection activeCell="A4" sqref="A4:A35"/>
    </sheetView>
  </sheetViews>
  <sheetFormatPr defaultRowHeight="14.4" x14ac:dyDescent="0.3"/>
  <cols>
    <col min="1" max="1" width="9.109375" style="21"/>
    <col min="6" max="6" width="13.6640625" customWidth="1"/>
    <col min="7" max="7" width="14.33203125" customWidth="1"/>
    <col min="8" max="8" width="19.5546875" customWidth="1"/>
    <col min="17" max="17" width="11.5546875" customWidth="1"/>
    <col min="18" max="18" width="12.5546875" customWidth="1"/>
  </cols>
  <sheetData>
    <row r="1" spans="1:18" s="21" customFormat="1" x14ac:dyDescent="0.3"/>
    <row r="2" spans="1:18"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row>
    <row r="3" spans="1:18" x14ac:dyDescent="0.3">
      <c r="A3" s="5" t="s">
        <v>18</v>
      </c>
      <c r="B3">
        <v>25</v>
      </c>
      <c r="C3" t="s">
        <v>18</v>
      </c>
      <c r="D3" t="s">
        <v>20</v>
      </c>
      <c r="E3" t="s">
        <v>32</v>
      </c>
      <c r="F3">
        <v>1843366.02</v>
      </c>
      <c r="G3">
        <v>5597654.9900000002</v>
      </c>
      <c r="H3">
        <v>378.29239999999999</v>
      </c>
      <c r="I3">
        <v>-0.69352899999999995</v>
      </c>
      <c r="J3">
        <v>3.0689860000000002</v>
      </c>
      <c r="K3">
        <v>396.17004200000002</v>
      </c>
      <c r="L3">
        <v>-39.736280999999998</v>
      </c>
      <c r="M3">
        <v>175.83995400000001</v>
      </c>
      <c r="N3">
        <v>396.17008499999997</v>
      </c>
      <c r="O3">
        <v>1.3783999999999999E-2</v>
      </c>
      <c r="P3">
        <v>2.2082999999999998E-2</v>
      </c>
      <c r="Q3" s="1">
        <v>43881</v>
      </c>
      <c r="R3" s="2">
        <v>0.5884490740740741</v>
      </c>
    </row>
    <row r="4" spans="1:18" x14ac:dyDescent="0.3">
      <c r="A4" s="5" t="s">
        <v>23</v>
      </c>
    </row>
    <row r="5" spans="1:18" s="21" customFormat="1" x14ac:dyDescent="0.3">
      <c r="A5" s="5" t="s">
        <v>551</v>
      </c>
      <c r="B5">
        <v>10</v>
      </c>
      <c r="C5" t="s">
        <v>471</v>
      </c>
      <c r="D5" t="s">
        <v>20</v>
      </c>
      <c r="E5" t="s">
        <v>33</v>
      </c>
      <c r="F5">
        <v>1844289.209184</v>
      </c>
      <c r="G5">
        <v>5596663.7021359997</v>
      </c>
      <c r="H5">
        <v>432.59008499999999</v>
      </c>
      <c r="I5">
        <v>-0.69367999999999996</v>
      </c>
      <c r="J5">
        <v>3.0691799999999998</v>
      </c>
      <c r="K5">
        <v>450.40013900000002</v>
      </c>
      <c r="L5">
        <v>-39.744937999999998</v>
      </c>
      <c r="M5">
        <v>175.85108299999999</v>
      </c>
      <c r="N5">
        <v>450.40018199999997</v>
      </c>
      <c r="O5">
        <v>1.5233999999999999E-2</v>
      </c>
      <c r="P5">
        <v>2.4718E-2</v>
      </c>
      <c r="Q5" s="1">
        <v>43881</v>
      </c>
      <c r="R5" s="2">
        <v>0.59633101851851855</v>
      </c>
    </row>
    <row r="6" spans="1:18" x14ac:dyDescent="0.3">
      <c r="A6" s="5">
        <v>1</v>
      </c>
      <c r="B6">
        <v>11</v>
      </c>
      <c r="C6">
        <v>1</v>
      </c>
      <c r="D6" t="s">
        <v>20</v>
      </c>
      <c r="E6" t="s">
        <v>33</v>
      </c>
      <c r="F6">
        <v>1844611.1935320001</v>
      </c>
      <c r="G6">
        <v>5596719.5433409996</v>
      </c>
      <c r="H6">
        <v>438.87606</v>
      </c>
      <c r="I6">
        <v>-0.69367000000000001</v>
      </c>
      <c r="J6">
        <v>3.0692460000000001</v>
      </c>
      <c r="K6">
        <v>456.70699100000002</v>
      </c>
      <c r="L6">
        <v>-39.744343000000001</v>
      </c>
      <c r="M6">
        <v>175.854815</v>
      </c>
      <c r="N6">
        <v>456.70703400000002</v>
      </c>
      <c r="O6">
        <v>1.3783999999999999E-2</v>
      </c>
      <c r="P6">
        <v>2.2082999999999998E-2</v>
      </c>
      <c r="Q6" s="1">
        <v>43881</v>
      </c>
      <c r="R6" s="2">
        <v>0.5884490740740741</v>
      </c>
    </row>
    <row r="7" spans="1:18" x14ac:dyDescent="0.3">
      <c r="A7" s="5">
        <v>2</v>
      </c>
      <c r="B7">
        <v>9</v>
      </c>
      <c r="C7">
        <v>2</v>
      </c>
      <c r="D7" t="s">
        <v>20</v>
      </c>
      <c r="E7" t="s">
        <v>33</v>
      </c>
      <c r="F7">
        <v>1844327.0349940001</v>
      </c>
      <c r="G7">
        <v>5596603.1033340003</v>
      </c>
      <c r="H7">
        <v>430.35041999999999</v>
      </c>
      <c r="I7">
        <v>-0.693689</v>
      </c>
      <c r="J7">
        <v>3.069188</v>
      </c>
      <c r="K7">
        <v>448.15636699999999</v>
      </c>
      <c r="L7">
        <v>-39.745471999999999</v>
      </c>
      <c r="M7">
        <v>175.85154600000001</v>
      </c>
      <c r="N7">
        <v>448.15640999999999</v>
      </c>
      <c r="O7">
        <v>1.6347E-2</v>
      </c>
      <c r="P7">
        <v>3.2927999999999999E-2</v>
      </c>
      <c r="Q7" s="1">
        <v>43881</v>
      </c>
      <c r="R7" s="2">
        <v>0.6026273148148148</v>
      </c>
    </row>
    <row r="8" spans="1:18" x14ac:dyDescent="0.3">
      <c r="A8" s="5">
        <v>3</v>
      </c>
      <c r="B8">
        <v>8</v>
      </c>
      <c r="C8">
        <v>3</v>
      </c>
      <c r="D8" t="s">
        <v>20</v>
      </c>
      <c r="E8" t="s">
        <v>33</v>
      </c>
      <c r="F8">
        <v>1844275.7236540001</v>
      </c>
      <c r="G8">
        <v>5596482.7774860002</v>
      </c>
      <c r="H8">
        <v>434.64107899999999</v>
      </c>
      <c r="I8">
        <v>-0.69370900000000002</v>
      </c>
      <c r="J8">
        <v>3.0691790000000001</v>
      </c>
      <c r="K8">
        <v>452.43283700000001</v>
      </c>
      <c r="L8">
        <v>-39.746569999999998</v>
      </c>
      <c r="M8">
        <v>175.85099199999999</v>
      </c>
      <c r="N8">
        <v>452.43288000000001</v>
      </c>
      <c r="O8">
        <v>1.5561999999999999E-2</v>
      </c>
      <c r="P8">
        <v>3.022E-2</v>
      </c>
      <c r="Q8" s="1">
        <v>43881</v>
      </c>
      <c r="R8" s="2">
        <v>0.61050925925925925</v>
      </c>
    </row>
    <row r="9" spans="1:18" x14ac:dyDescent="0.3">
      <c r="A9" s="5">
        <v>4</v>
      </c>
      <c r="B9">
        <v>12</v>
      </c>
      <c r="C9">
        <v>4</v>
      </c>
      <c r="D9" t="s">
        <v>20</v>
      </c>
      <c r="E9" t="s">
        <v>33</v>
      </c>
      <c r="F9">
        <v>1844444.35604</v>
      </c>
      <c r="G9">
        <v>5596428.7459509997</v>
      </c>
      <c r="H9">
        <v>421.83188999999999</v>
      </c>
      <c r="I9">
        <v>-0.693716</v>
      </c>
      <c r="J9">
        <v>3.069213</v>
      </c>
      <c r="K9">
        <v>439.62637999999998</v>
      </c>
      <c r="L9">
        <v>-39.747008000000001</v>
      </c>
      <c r="M9">
        <v>175.85297800000001</v>
      </c>
      <c r="N9">
        <v>439.62642299999999</v>
      </c>
      <c r="O9">
        <v>9.6760000000000006E-3</v>
      </c>
      <c r="P9">
        <v>1.5421000000000001E-2</v>
      </c>
      <c r="Q9" s="1">
        <v>43817</v>
      </c>
      <c r="R9" s="2">
        <v>0.74282407407407414</v>
      </c>
    </row>
    <row r="10" spans="1:18" x14ac:dyDescent="0.3">
      <c r="A10" s="5">
        <v>5</v>
      </c>
      <c r="B10">
        <v>13</v>
      </c>
      <c r="C10">
        <v>5</v>
      </c>
      <c r="D10" t="s">
        <v>20</v>
      </c>
      <c r="E10" t="s">
        <v>33</v>
      </c>
      <c r="F10">
        <v>1844577.582804</v>
      </c>
      <c r="G10">
        <v>5596364.1203709999</v>
      </c>
      <c r="H10">
        <v>414.53913499999999</v>
      </c>
      <c r="I10">
        <v>-0.69372599999999995</v>
      </c>
      <c r="J10">
        <v>3.0692409999999999</v>
      </c>
      <c r="K10">
        <v>432.33361500000001</v>
      </c>
      <c r="L10">
        <v>-39.747551000000001</v>
      </c>
      <c r="M10">
        <v>175.854556</v>
      </c>
      <c r="N10">
        <v>432.33365800000001</v>
      </c>
      <c r="O10">
        <v>1.1310000000000001E-2</v>
      </c>
      <c r="P10">
        <v>1.8797000000000001E-2</v>
      </c>
      <c r="Q10" s="1">
        <v>43817</v>
      </c>
      <c r="R10" s="2">
        <v>0.73796296296296304</v>
      </c>
    </row>
    <row r="11" spans="1:18" x14ac:dyDescent="0.3">
      <c r="A11" s="5">
        <v>6</v>
      </c>
      <c r="B11">
        <v>14</v>
      </c>
      <c r="C11">
        <v>6</v>
      </c>
      <c r="D11" t="s">
        <v>20</v>
      </c>
      <c r="E11" t="s">
        <v>33</v>
      </c>
      <c r="F11">
        <v>1844789.064982</v>
      </c>
      <c r="G11">
        <v>5596419.657199</v>
      </c>
      <c r="H11">
        <v>421.31316500000003</v>
      </c>
      <c r="I11">
        <v>-0.693716</v>
      </c>
      <c r="J11">
        <v>3.0692840000000001</v>
      </c>
      <c r="K11">
        <v>439.123131</v>
      </c>
      <c r="L11">
        <v>-39.746991000000001</v>
      </c>
      <c r="M11">
        <v>175.857</v>
      </c>
      <c r="N11">
        <v>439.12317400000001</v>
      </c>
      <c r="O11">
        <v>1.1861E-2</v>
      </c>
      <c r="P11">
        <v>2.0782999999999999E-2</v>
      </c>
      <c r="Q11" s="1">
        <v>43817</v>
      </c>
      <c r="R11" s="2">
        <v>0.73375000000000001</v>
      </c>
    </row>
    <row r="12" spans="1:18" x14ac:dyDescent="0.3">
      <c r="A12" s="5">
        <v>7</v>
      </c>
      <c r="B12">
        <v>15</v>
      </c>
      <c r="C12">
        <v>7</v>
      </c>
      <c r="D12" t="s">
        <v>20</v>
      </c>
      <c r="E12" t="s">
        <v>33</v>
      </c>
      <c r="F12">
        <v>1844897.302599</v>
      </c>
      <c r="G12">
        <v>5596315.2713759998</v>
      </c>
      <c r="H12">
        <v>399.038813</v>
      </c>
      <c r="I12">
        <v>-0.69373200000000002</v>
      </c>
      <c r="J12">
        <v>3.0693060000000001</v>
      </c>
      <c r="K12">
        <v>416.843636</v>
      </c>
      <c r="L12">
        <v>-39.747898999999997</v>
      </c>
      <c r="M12">
        <v>175.85830100000001</v>
      </c>
      <c r="N12">
        <v>416.84367900000001</v>
      </c>
      <c r="O12">
        <v>1.2631E-2</v>
      </c>
      <c r="P12">
        <v>2.2724999999999999E-2</v>
      </c>
      <c r="Q12" s="1">
        <v>43817</v>
      </c>
      <c r="R12" s="2">
        <v>0.72902777777777772</v>
      </c>
    </row>
    <row r="13" spans="1:18" x14ac:dyDescent="0.3">
      <c r="A13" s="5">
        <v>8</v>
      </c>
      <c r="B13">
        <v>16</v>
      </c>
      <c r="C13" s="21"/>
      <c r="D13" s="21"/>
      <c r="E13" s="21"/>
      <c r="F13" s="21"/>
      <c r="G13" s="21"/>
      <c r="H13" s="21"/>
      <c r="I13" s="21"/>
      <c r="J13" s="21"/>
      <c r="K13" s="21"/>
      <c r="L13" s="21"/>
      <c r="M13" s="21"/>
      <c r="N13" s="21"/>
      <c r="O13" s="21"/>
      <c r="P13" s="21"/>
      <c r="Q13" s="1"/>
      <c r="R13" s="2"/>
    </row>
    <row r="14" spans="1:18" x14ac:dyDescent="0.3">
      <c r="A14" s="5">
        <v>9</v>
      </c>
      <c r="B14">
        <v>6</v>
      </c>
      <c r="C14" s="21"/>
      <c r="D14" s="21"/>
      <c r="E14" s="21"/>
      <c r="F14" s="21"/>
      <c r="G14" s="21"/>
      <c r="H14" s="21"/>
      <c r="I14" s="21"/>
      <c r="J14" s="21"/>
      <c r="K14" s="21"/>
      <c r="L14" s="21"/>
      <c r="M14" s="21"/>
      <c r="N14" s="21"/>
      <c r="O14" s="21"/>
      <c r="P14" s="21"/>
      <c r="Q14" s="1"/>
      <c r="R14" s="2"/>
    </row>
    <row r="15" spans="1:18" x14ac:dyDescent="0.3">
      <c r="A15" s="5">
        <v>10</v>
      </c>
      <c r="B15">
        <v>5</v>
      </c>
      <c r="C15">
        <v>10</v>
      </c>
      <c r="D15" t="s">
        <v>20</v>
      </c>
      <c r="E15" t="s">
        <v>33</v>
      </c>
      <c r="F15">
        <v>1844340.191511</v>
      </c>
      <c r="G15">
        <v>5596228.825677</v>
      </c>
      <c r="H15">
        <v>405.79440399999999</v>
      </c>
      <c r="I15">
        <v>-0.69374800000000003</v>
      </c>
      <c r="J15">
        <v>3.069194</v>
      </c>
      <c r="K15">
        <v>423.56442099999998</v>
      </c>
      <c r="L15">
        <v>-39.748837000000002</v>
      </c>
      <c r="M15">
        <v>175.85183799999999</v>
      </c>
      <c r="N15">
        <v>423.56446399999999</v>
      </c>
      <c r="O15">
        <v>7.4640000000000001E-3</v>
      </c>
      <c r="P15">
        <v>1.4534E-2</v>
      </c>
      <c r="Q15" s="1">
        <v>43817</v>
      </c>
      <c r="R15" s="2">
        <v>0.71790509259259261</v>
      </c>
    </row>
    <row r="16" spans="1:18" x14ac:dyDescent="0.3">
      <c r="A16" s="5">
        <v>11</v>
      </c>
      <c r="B16">
        <v>4</v>
      </c>
      <c r="C16">
        <v>11</v>
      </c>
      <c r="D16" t="s">
        <v>20</v>
      </c>
      <c r="E16" t="s">
        <v>33</v>
      </c>
      <c r="F16">
        <v>1844395.194262</v>
      </c>
      <c r="G16">
        <v>5596015.1099380003</v>
      </c>
      <c r="H16">
        <v>389.428943</v>
      </c>
      <c r="I16">
        <v>-0.69378099999999998</v>
      </c>
      <c r="J16">
        <v>3.0692059999999999</v>
      </c>
      <c r="K16">
        <v>407.18104099999999</v>
      </c>
      <c r="L16">
        <v>-39.750743999999997</v>
      </c>
      <c r="M16">
        <v>175.85255900000001</v>
      </c>
      <c r="N16">
        <v>407.181084</v>
      </c>
      <c r="O16">
        <v>1.9894999999999999E-2</v>
      </c>
      <c r="P16">
        <v>3.9163000000000003E-2</v>
      </c>
      <c r="Q16" s="1">
        <v>43881</v>
      </c>
      <c r="R16" s="2">
        <v>0.62362268518518515</v>
      </c>
    </row>
    <row r="17" spans="1:18" x14ac:dyDescent="0.3">
      <c r="A17" s="5">
        <v>12</v>
      </c>
      <c r="B17">
        <v>0</v>
      </c>
      <c r="C17">
        <v>12</v>
      </c>
      <c r="D17" t="s">
        <v>20</v>
      </c>
      <c r="E17" t="s">
        <v>33</v>
      </c>
      <c r="F17">
        <v>1844569.510278</v>
      </c>
      <c r="G17">
        <v>5596015.778159</v>
      </c>
      <c r="H17">
        <v>397.17468700000001</v>
      </c>
      <c r="I17">
        <v>-0.69377999999999995</v>
      </c>
      <c r="J17">
        <v>3.069242</v>
      </c>
      <c r="K17">
        <v>414.935046</v>
      </c>
      <c r="L17">
        <v>-39.750687999999997</v>
      </c>
      <c r="M17">
        <v>175.854591</v>
      </c>
      <c r="N17">
        <v>414.93508800000001</v>
      </c>
      <c r="O17">
        <v>1.7559999999999999E-2</v>
      </c>
      <c r="P17">
        <v>4.1002999999999998E-2</v>
      </c>
      <c r="Q17" s="1">
        <v>43881</v>
      </c>
      <c r="R17" s="2">
        <v>0.6292592592592593</v>
      </c>
    </row>
    <row r="18" spans="1:18" x14ac:dyDescent="0.3">
      <c r="A18" s="5">
        <v>13</v>
      </c>
      <c r="B18">
        <v>7</v>
      </c>
      <c r="C18">
        <v>13</v>
      </c>
      <c r="D18" t="s">
        <v>20</v>
      </c>
      <c r="E18" t="s">
        <v>33</v>
      </c>
      <c r="F18">
        <v>1844675.810509</v>
      </c>
      <c r="G18">
        <v>5595951.6662210003</v>
      </c>
      <c r="H18">
        <v>392.02419200000003</v>
      </c>
      <c r="I18">
        <v>-0.69379000000000002</v>
      </c>
      <c r="J18">
        <v>3.069264</v>
      </c>
      <c r="K18">
        <v>409.78363000000002</v>
      </c>
      <c r="L18">
        <v>-39.751233999999997</v>
      </c>
      <c r="M18">
        <v>175.85585399999999</v>
      </c>
      <c r="N18">
        <v>409.78367300000002</v>
      </c>
      <c r="O18">
        <v>1.7510999999999999E-2</v>
      </c>
      <c r="P18">
        <v>3.6433E-2</v>
      </c>
      <c r="Q18" s="1">
        <v>43881</v>
      </c>
      <c r="R18" s="2">
        <v>0.63408564814814816</v>
      </c>
    </row>
    <row r="19" spans="1:18" x14ac:dyDescent="0.3">
      <c r="A19" s="5">
        <v>14</v>
      </c>
      <c r="B19">
        <v>1</v>
      </c>
      <c r="C19">
        <v>14</v>
      </c>
      <c r="D19" t="s">
        <v>20</v>
      </c>
      <c r="E19" t="s">
        <v>33</v>
      </c>
      <c r="F19">
        <v>1844387.379923</v>
      </c>
      <c r="G19">
        <v>5595873.4393229997</v>
      </c>
      <c r="H19">
        <v>381.389906</v>
      </c>
      <c r="I19">
        <v>-0.69380399999999998</v>
      </c>
      <c r="J19">
        <v>3.0692050000000002</v>
      </c>
      <c r="K19">
        <v>399.12844200000001</v>
      </c>
      <c r="L19">
        <v>-39.752020999999999</v>
      </c>
      <c r="M19">
        <v>175.85252</v>
      </c>
      <c r="N19">
        <v>399.12848400000001</v>
      </c>
      <c r="O19">
        <v>1.6579E-2</v>
      </c>
      <c r="P19">
        <v>3.7212000000000002E-2</v>
      </c>
      <c r="Q19" s="1">
        <v>43881</v>
      </c>
      <c r="R19" s="2">
        <v>0.65598379629629633</v>
      </c>
    </row>
    <row r="20" spans="1:18" x14ac:dyDescent="0.3">
      <c r="A20" s="5">
        <v>15</v>
      </c>
      <c r="B20">
        <v>3</v>
      </c>
      <c r="C20">
        <v>15</v>
      </c>
      <c r="D20" t="s">
        <v>20</v>
      </c>
      <c r="E20" t="s">
        <v>33</v>
      </c>
      <c r="F20">
        <v>1844190.0494969999</v>
      </c>
      <c r="G20">
        <v>5596021.040542</v>
      </c>
      <c r="H20">
        <v>395.80733600000002</v>
      </c>
      <c r="I20">
        <v>-0.69378099999999998</v>
      </c>
      <c r="J20">
        <v>3.0691639999999998</v>
      </c>
      <c r="K20">
        <v>413.55033400000002</v>
      </c>
      <c r="L20">
        <v>-39.750748999999999</v>
      </c>
      <c r="M20">
        <v>175.850165</v>
      </c>
      <c r="N20">
        <v>413.55037700000003</v>
      </c>
      <c r="O20">
        <v>1.5617000000000001E-2</v>
      </c>
      <c r="P20">
        <v>3.3008000000000003E-2</v>
      </c>
      <c r="Q20" s="1">
        <v>43881</v>
      </c>
      <c r="R20" s="2">
        <v>0.61549768518518522</v>
      </c>
    </row>
    <row r="21" spans="1:18" x14ac:dyDescent="0.3">
      <c r="A21" s="5">
        <v>16</v>
      </c>
      <c r="B21" s="21"/>
      <c r="C21" s="21"/>
      <c r="D21" s="21"/>
      <c r="E21" s="21"/>
      <c r="F21" s="21"/>
      <c r="G21" s="21"/>
      <c r="H21" s="21"/>
      <c r="I21" s="21"/>
      <c r="J21" s="21"/>
      <c r="K21" s="21"/>
      <c r="L21" s="21"/>
      <c r="M21" s="21"/>
      <c r="N21" s="21"/>
      <c r="O21" s="21"/>
      <c r="P21" s="21"/>
      <c r="Q21" s="1"/>
      <c r="R21" s="2"/>
    </row>
    <row r="22" spans="1:18" x14ac:dyDescent="0.3">
      <c r="A22" s="5">
        <v>17</v>
      </c>
      <c r="B22">
        <v>2</v>
      </c>
      <c r="C22">
        <v>17</v>
      </c>
      <c r="D22" t="s">
        <v>20</v>
      </c>
      <c r="E22" t="s">
        <v>33</v>
      </c>
      <c r="F22">
        <v>1844522.2921190001</v>
      </c>
      <c r="G22">
        <v>5595809.2510810001</v>
      </c>
      <c r="H22">
        <v>366.31895300000002</v>
      </c>
      <c r="I22">
        <v>-0.69381300000000001</v>
      </c>
      <c r="J22">
        <v>3.0692330000000001</v>
      </c>
      <c r="K22">
        <v>384.05793799999998</v>
      </c>
      <c r="L22">
        <v>-39.752560000000003</v>
      </c>
      <c r="M22">
        <v>175.854117</v>
      </c>
      <c r="N22">
        <v>384.05798099999998</v>
      </c>
      <c r="O22">
        <v>1.8280999999999999E-2</v>
      </c>
      <c r="P22">
        <v>4.0901E-2</v>
      </c>
      <c r="Q22" s="1">
        <v>43881</v>
      </c>
      <c r="R22" s="2">
        <v>0.64877314814814813</v>
      </c>
    </row>
    <row r="23" spans="1:18" x14ac:dyDescent="0.3">
      <c r="A23" s="5">
        <v>18</v>
      </c>
      <c r="B23">
        <v>23</v>
      </c>
      <c r="C23">
        <v>18</v>
      </c>
      <c r="D23" t="s">
        <v>20</v>
      </c>
      <c r="E23" t="s">
        <v>33</v>
      </c>
      <c r="F23">
        <v>1844707.4221389999</v>
      </c>
      <c r="G23">
        <v>5595724.775467</v>
      </c>
      <c r="H23">
        <v>375.66105900000002</v>
      </c>
      <c r="I23">
        <v>-0.69382500000000003</v>
      </c>
      <c r="J23">
        <v>3.0692719999999998</v>
      </c>
      <c r="K23">
        <v>393.40107</v>
      </c>
      <c r="L23">
        <v>-39.753267000000001</v>
      </c>
      <c r="M23">
        <v>175.85630699999999</v>
      </c>
      <c r="N23">
        <v>393.40111300000001</v>
      </c>
      <c r="O23">
        <v>1.5837E-2</v>
      </c>
      <c r="P23">
        <v>3.4081E-2</v>
      </c>
      <c r="Q23" s="1">
        <v>43881</v>
      </c>
      <c r="R23" s="2">
        <v>0.63842592592592595</v>
      </c>
    </row>
    <row r="24" spans="1:18" x14ac:dyDescent="0.3">
      <c r="A24" s="5">
        <v>19</v>
      </c>
      <c r="B24">
        <v>21</v>
      </c>
      <c r="C24">
        <v>19</v>
      </c>
      <c r="D24" t="s">
        <v>20</v>
      </c>
      <c r="E24" t="s">
        <v>33</v>
      </c>
      <c r="F24">
        <v>1844642.5206200001</v>
      </c>
      <c r="G24">
        <v>5595684.7471629996</v>
      </c>
      <c r="H24">
        <v>357.65443900000002</v>
      </c>
      <c r="I24">
        <v>-0.693832</v>
      </c>
      <c r="J24">
        <v>3.0692590000000002</v>
      </c>
      <c r="K24">
        <v>375.38764800000001</v>
      </c>
      <c r="L24">
        <v>-39.753646000000003</v>
      </c>
      <c r="M24">
        <v>175.85556500000001</v>
      </c>
      <c r="N24">
        <v>375.38769000000002</v>
      </c>
      <c r="O24">
        <v>1.9786000000000002E-2</v>
      </c>
      <c r="P24">
        <v>4.3929000000000003E-2</v>
      </c>
      <c r="Q24" s="1">
        <v>43881</v>
      </c>
      <c r="R24" s="2">
        <v>0.64234953703703701</v>
      </c>
    </row>
    <row r="25" spans="1:18" x14ac:dyDescent="0.3">
      <c r="A25" s="5">
        <v>20</v>
      </c>
      <c r="B25">
        <v>20</v>
      </c>
      <c r="C25">
        <v>20</v>
      </c>
      <c r="D25" t="s">
        <v>20</v>
      </c>
      <c r="E25" t="s">
        <v>33</v>
      </c>
      <c r="F25">
        <v>1844629.363438</v>
      </c>
      <c r="G25">
        <v>5595607.6544620004</v>
      </c>
      <c r="H25">
        <v>331.71059600000001</v>
      </c>
      <c r="I25">
        <v>-0.69384400000000002</v>
      </c>
      <c r="J25">
        <v>3.0692560000000002</v>
      </c>
      <c r="K25">
        <v>349.43605200000002</v>
      </c>
      <c r="L25">
        <v>-39.754344000000003</v>
      </c>
      <c r="M25">
        <v>175.85543999999999</v>
      </c>
      <c r="N25">
        <v>349.43609500000002</v>
      </c>
      <c r="O25">
        <v>2.5746000000000002E-2</v>
      </c>
      <c r="P25">
        <v>4.3337000000000001E-2</v>
      </c>
      <c r="Q25" s="1">
        <v>43817</v>
      </c>
      <c r="R25" s="2">
        <v>0.60865740740740748</v>
      </c>
    </row>
    <row r="26" spans="1:18" x14ac:dyDescent="0.3">
      <c r="A26" s="5">
        <v>21</v>
      </c>
      <c r="B26">
        <v>24</v>
      </c>
      <c r="C26">
        <v>21</v>
      </c>
      <c r="D26" t="s">
        <v>20</v>
      </c>
      <c r="E26" t="s">
        <v>33</v>
      </c>
      <c r="F26">
        <v>1844500.214831</v>
      </c>
      <c r="G26">
        <v>5595530.2005660003</v>
      </c>
      <c r="H26">
        <v>304.42493999999999</v>
      </c>
      <c r="I26">
        <v>-0.69385699999999995</v>
      </c>
      <c r="J26">
        <v>3.0692309999999998</v>
      </c>
      <c r="K26">
        <v>322.13698799999997</v>
      </c>
      <c r="L26">
        <v>-39.755077999999997</v>
      </c>
      <c r="M26">
        <v>175.85396299999999</v>
      </c>
      <c r="N26">
        <v>322.13703099999998</v>
      </c>
      <c r="O26">
        <v>1.0539E-2</v>
      </c>
      <c r="P26">
        <v>2.1722000000000002E-2</v>
      </c>
      <c r="Q26" s="1">
        <v>43817</v>
      </c>
      <c r="R26" s="2">
        <v>0.67570601851851853</v>
      </c>
    </row>
    <row r="27" spans="1:18" x14ac:dyDescent="0.3">
      <c r="A27" s="5">
        <v>22</v>
      </c>
      <c r="B27" s="21"/>
      <c r="C27" s="21"/>
      <c r="D27" s="21"/>
      <c r="E27" s="21"/>
      <c r="F27" s="21"/>
      <c r="G27" s="21"/>
      <c r="H27" s="21"/>
      <c r="I27" s="21"/>
      <c r="J27" s="21"/>
      <c r="K27" s="21"/>
      <c r="L27" s="21"/>
      <c r="M27" s="21"/>
      <c r="N27" s="21"/>
      <c r="O27" s="21"/>
      <c r="P27" s="21"/>
      <c r="Q27" s="1"/>
      <c r="R27" s="2"/>
    </row>
    <row r="28" spans="1:18" x14ac:dyDescent="0.3">
      <c r="A28" s="5">
        <v>23</v>
      </c>
      <c r="B28">
        <v>19</v>
      </c>
      <c r="C28">
        <v>23</v>
      </c>
      <c r="D28" t="s">
        <v>20</v>
      </c>
      <c r="E28" t="s">
        <v>33</v>
      </c>
      <c r="F28">
        <v>1844378.793267</v>
      </c>
      <c r="G28">
        <v>5595386.1768840002</v>
      </c>
      <c r="H28">
        <v>310.733542</v>
      </c>
      <c r="I28">
        <v>-0.69388000000000005</v>
      </c>
      <c r="J28">
        <v>3.069207</v>
      </c>
      <c r="K28">
        <v>328.42630500000001</v>
      </c>
      <c r="L28">
        <v>-39.756408999999998</v>
      </c>
      <c r="M28">
        <v>175.85260099999999</v>
      </c>
      <c r="N28">
        <v>328.42634700000002</v>
      </c>
      <c r="O28">
        <v>9.868E-3</v>
      </c>
      <c r="P28">
        <v>2.0348000000000002E-2</v>
      </c>
      <c r="Q28" s="1">
        <v>43817</v>
      </c>
      <c r="R28" s="2">
        <v>0.68642361111111105</v>
      </c>
    </row>
    <row r="29" spans="1:18" x14ac:dyDescent="0.3">
      <c r="A29" s="5">
        <v>24</v>
      </c>
      <c r="B29">
        <v>18</v>
      </c>
      <c r="C29">
        <v>24</v>
      </c>
      <c r="D29" t="s">
        <v>20</v>
      </c>
      <c r="E29" t="s">
        <v>33</v>
      </c>
      <c r="F29">
        <v>1844366.2500849999</v>
      </c>
      <c r="G29">
        <v>5595605.1841869997</v>
      </c>
      <c r="H29">
        <v>326.93478699999997</v>
      </c>
      <c r="I29">
        <v>-0.69384599999999996</v>
      </c>
      <c r="J29">
        <v>3.0692029999999999</v>
      </c>
      <c r="K29">
        <v>344.64732900000001</v>
      </c>
      <c r="L29">
        <v>-39.754441</v>
      </c>
      <c r="M29">
        <v>175.852374</v>
      </c>
      <c r="N29">
        <v>344.64737200000002</v>
      </c>
      <c r="O29">
        <v>2.8728E-2</v>
      </c>
      <c r="P29">
        <v>5.2634E-2</v>
      </c>
      <c r="Q29" s="1">
        <v>43817</v>
      </c>
      <c r="R29" s="2">
        <v>0.59918981481481481</v>
      </c>
    </row>
    <row r="30" spans="1:18" x14ac:dyDescent="0.3">
      <c r="A30" s="5">
        <v>25</v>
      </c>
      <c r="B30">
        <v>17</v>
      </c>
      <c r="C30">
        <v>25</v>
      </c>
      <c r="D30" t="s">
        <v>20</v>
      </c>
      <c r="E30" t="s">
        <v>33</v>
      </c>
      <c r="F30">
        <v>1844349.2292810001</v>
      </c>
      <c r="G30">
        <v>5595514.8842219999</v>
      </c>
      <c r="H30">
        <v>315.43366099999997</v>
      </c>
      <c r="I30">
        <v>-0.69386000000000003</v>
      </c>
      <c r="J30">
        <v>3.0691999999999999</v>
      </c>
      <c r="K30">
        <v>333.13696800000002</v>
      </c>
      <c r="L30">
        <v>-39.755259000000002</v>
      </c>
      <c r="M30">
        <v>175.85220899999999</v>
      </c>
      <c r="N30">
        <v>333.13701099999997</v>
      </c>
      <c r="O30">
        <v>1.651E-2</v>
      </c>
      <c r="P30">
        <v>3.8646E-2</v>
      </c>
      <c r="Q30" s="1">
        <v>43817</v>
      </c>
      <c r="R30" s="2">
        <v>0.69113425925925931</v>
      </c>
    </row>
    <row r="31" spans="1:18" x14ac:dyDescent="0.3">
      <c r="A31" s="5">
        <v>26</v>
      </c>
      <c r="C31">
        <v>26</v>
      </c>
      <c r="D31" t="s">
        <v>20</v>
      </c>
      <c r="E31" t="s">
        <v>33</v>
      </c>
      <c r="F31">
        <v>1844303.0701860001</v>
      </c>
      <c r="G31">
        <v>5595520.0634059999</v>
      </c>
      <c r="H31">
        <v>314.61509699999999</v>
      </c>
      <c r="I31">
        <v>-0.69386000000000003</v>
      </c>
      <c r="J31">
        <v>3.069191</v>
      </c>
      <c r="K31">
        <v>332.31664899999998</v>
      </c>
      <c r="L31">
        <v>-39.755225000000003</v>
      </c>
      <c r="M31">
        <v>175.85166899999999</v>
      </c>
      <c r="N31">
        <v>332.31669199999999</v>
      </c>
      <c r="O31">
        <v>1.0982E-2</v>
      </c>
      <c r="P31">
        <v>2.6350999999999999E-2</v>
      </c>
      <c r="Q31" s="1">
        <v>43817</v>
      </c>
      <c r="R31" s="2">
        <v>0.69412037037037033</v>
      </c>
    </row>
    <row r="32" spans="1:18" x14ac:dyDescent="0.3">
      <c r="A32" s="5">
        <v>27</v>
      </c>
    </row>
    <row r="33" spans="1:20" x14ac:dyDescent="0.3">
      <c r="A33" s="5">
        <v>28</v>
      </c>
      <c r="C33">
        <v>28</v>
      </c>
      <c r="D33" t="s">
        <v>20</v>
      </c>
      <c r="E33" t="s">
        <v>33</v>
      </c>
      <c r="F33">
        <v>1844267.6034659999</v>
      </c>
      <c r="G33">
        <v>5595680.3968510004</v>
      </c>
      <c r="H33">
        <v>334.234937</v>
      </c>
      <c r="I33">
        <v>-0.69383499999999998</v>
      </c>
      <c r="J33">
        <v>3.0691820000000001</v>
      </c>
      <c r="K33">
        <v>351.949748</v>
      </c>
      <c r="L33">
        <v>-39.753793000000002</v>
      </c>
      <c r="M33">
        <v>175.85119599999999</v>
      </c>
      <c r="N33">
        <v>351.94979000000001</v>
      </c>
      <c r="O33">
        <v>1.9938999999999998E-2</v>
      </c>
      <c r="P33">
        <v>4.0430000000000001E-2</v>
      </c>
      <c r="Q33" s="1">
        <v>43817</v>
      </c>
      <c r="R33" s="2">
        <v>0.69861111111111107</v>
      </c>
      <c r="T33">
        <f>F33-'Dec2016'!F33</f>
        <v>2.3176299999468029</v>
      </c>
    </row>
    <row r="34" spans="1:20" x14ac:dyDescent="0.3">
      <c r="A34" s="5">
        <v>29</v>
      </c>
    </row>
    <row r="35" spans="1:20" x14ac:dyDescent="0.3">
      <c r="A35" s="5" t="s">
        <v>26</v>
      </c>
      <c r="B35">
        <v>22</v>
      </c>
      <c r="C35" t="s">
        <v>26</v>
      </c>
      <c r="D35" t="s">
        <v>20</v>
      </c>
      <c r="E35" t="s">
        <v>33</v>
      </c>
      <c r="F35">
        <v>1844715.2664890001</v>
      </c>
      <c r="G35">
        <v>5595570.8466069996</v>
      </c>
      <c r="H35">
        <v>340.459901</v>
      </c>
      <c r="I35">
        <v>-0.69384999999999997</v>
      </c>
      <c r="J35">
        <v>3.0692740000000001</v>
      </c>
      <c r="K35">
        <v>358.186104</v>
      </c>
      <c r="L35">
        <v>-39.754649999999998</v>
      </c>
      <c r="M35">
        <v>175.85645600000001</v>
      </c>
      <c r="N35">
        <v>358.18614700000001</v>
      </c>
      <c r="O35">
        <v>1.4484E-2</v>
      </c>
      <c r="P35">
        <v>2.6624999999999999E-2</v>
      </c>
      <c r="Q35" s="1">
        <v>43817</v>
      </c>
      <c r="R35" s="2">
        <v>0.61781249999999999</v>
      </c>
    </row>
    <row r="36" spans="1:20" x14ac:dyDescent="0.3">
      <c r="A36" s="5"/>
      <c r="Q36" s="1"/>
      <c r="R36" s="2"/>
    </row>
    <row r="41" spans="1:20" x14ac:dyDescent="0.3">
      <c r="O41" s="21">
        <f>MAX(O3:O35)</f>
        <v>2.8728E-2</v>
      </c>
      <c r="P41" s="21">
        <f>MAX(P3:P35)</f>
        <v>5.2634E-2</v>
      </c>
    </row>
    <row r="42" spans="1:20" x14ac:dyDescent="0.3">
      <c r="O42" s="21">
        <f>AVERAGE(O3:O35)</f>
        <v>1.5596730769230767E-2</v>
      </c>
      <c r="P42" s="21">
        <f>AVERAGE(P3:P35)</f>
        <v>3.0773653846153843E-2</v>
      </c>
    </row>
    <row r="43" spans="1:20" x14ac:dyDescent="0.3">
      <c r="O43" s="21">
        <f>_xlfn.STDEV.S(O3:O35)</f>
        <v>4.8059286100206929E-3</v>
      </c>
      <c r="P43" s="21">
        <f>_xlfn.STDEV.S(P3:P35)</f>
        <v>1.011637403793398E-2</v>
      </c>
    </row>
  </sheetData>
  <sortState xmlns:xlrd2="http://schemas.microsoft.com/office/spreadsheetml/2017/richdata2" ref="B6:R35">
    <sortCondition ref="C6:C35"/>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R58"/>
  <sheetViews>
    <sheetView workbookViewId="0">
      <selection activeCell="F28" sqref="F28:H28"/>
    </sheetView>
  </sheetViews>
  <sheetFormatPr defaultRowHeight="14.4" x14ac:dyDescent="0.3"/>
  <sheetData>
    <row r="2" spans="1:18"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row>
    <row r="3" spans="1:18" x14ac:dyDescent="0.3">
      <c r="A3" s="5" t="s">
        <v>18</v>
      </c>
      <c r="B3">
        <v>0</v>
      </c>
      <c r="C3" t="s">
        <v>18</v>
      </c>
      <c r="D3" t="s">
        <v>20</v>
      </c>
      <c r="E3" t="s">
        <v>21</v>
      </c>
      <c r="F3">
        <v>1843366.02</v>
      </c>
      <c r="G3">
        <v>5597654.9900000002</v>
      </c>
      <c r="H3">
        <v>378.29239999999999</v>
      </c>
      <c r="I3">
        <v>-0.69352899999999995</v>
      </c>
      <c r="J3">
        <v>3.0689860000000002</v>
      </c>
      <c r="K3">
        <v>396.17004200000002</v>
      </c>
      <c r="L3">
        <v>-39.736280999999998</v>
      </c>
      <c r="M3">
        <v>175.83995400000001</v>
      </c>
      <c r="N3">
        <v>396.17008499999997</v>
      </c>
      <c r="O3">
        <v>1.1882999999999999E-2</v>
      </c>
      <c r="P3">
        <v>1.5812E-2</v>
      </c>
      <c r="Q3" s="1">
        <v>43382</v>
      </c>
      <c r="R3" s="2">
        <v>0.50289351851851849</v>
      </c>
    </row>
    <row r="4" spans="1:18" s="21" customFormat="1" x14ac:dyDescent="0.3">
      <c r="A4" s="5" t="s">
        <v>23</v>
      </c>
    </row>
    <row r="5" spans="1:18" s="21" customFormat="1" x14ac:dyDescent="0.3">
      <c r="A5" s="5" t="s">
        <v>551</v>
      </c>
      <c r="B5">
        <v>2</v>
      </c>
      <c r="C5" t="s">
        <v>23</v>
      </c>
      <c r="D5" t="s">
        <v>20</v>
      </c>
      <c r="E5" t="s">
        <v>24</v>
      </c>
      <c r="F5">
        <v>1844289.2180850001</v>
      </c>
      <c r="G5">
        <v>5596663.7209890001</v>
      </c>
      <c r="H5">
        <v>432.61102499999998</v>
      </c>
      <c r="I5">
        <v>-0.69367999999999996</v>
      </c>
      <c r="J5">
        <v>3.0691799999999998</v>
      </c>
      <c r="K5">
        <v>450.42108200000001</v>
      </c>
      <c r="L5">
        <v>-39.744937999999998</v>
      </c>
      <c r="M5">
        <v>175.85108299999999</v>
      </c>
      <c r="N5">
        <v>450.42112500000002</v>
      </c>
      <c r="O5">
        <v>1.7024999999999998E-2</v>
      </c>
      <c r="P5">
        <v>2.4895E-2</v>
      </c>
      <c r="Q5" s="1">
        <v>43382</v>
      </c>
      <c r="R5" s="2">
        <v>0.51028935185185187</v>
      </c>
    </row>
    <row r="6" spans="1:18" x14ac:dyDescent="0.3">
      <c r="A6" s="5">
        <v>1</v>
      </c>
      <c r="B6">
        <v>1</v>
      </c>
      <c r="C6">
        <v>1</v>
      </c>
      <c r="D6" t="s">
        <v>20</v>
      </c>
      <c r="E6" t="s">
        <v>22</v>
      </c>
      <c r="F6">
        <v>1844611.215482</v>
      </c>
      <c r="G6">
        <v>5596719.5903380001</v>
      </c>
      <c r="H6">
        <v>438.900103</v>
      </c>
      <c r="I6">
        <v>-0.69367000000000001</v>
      </c>
      <c r="J6">
        <v>3.0692460000000001</v>
      </c>
      <c r="K6">
        <v>456.73103900000001</v>
      </c>
      <c r="L6">
        <v>-39.744342000000003</v>
      </c>
      <c r="M6">
        <v>175.854815</v>
      </c>
      <c r="N6">
        <v>456.73108200000001</v>
      </c>
      <c r="O6">
        <v>1.1742000000000001E-2</v>
      </c>
      <c r="P6">
        <v>1.5776999999999999E-2</v>
      </c>
      <c r="Q6" s="1">
        <v>43382</v>
      </c>
      <c r="R6" s="2">
        <v>0.50369212962962961</v>
      </c>
    </row>
    <row r="7" spans="1:18" x14ac:dyDescent="0.3">
      <c r="A7" s="5">
        <v>2</v>
      </c>
      <c r="B7">
        <v>3</v>
      </c>
      <c r="C7">
        <v>2</v>
      </c>
      <c r="D7" t="s">
        <v>20</v>
      </c>
      <c r="E7" t="s">
        <v>25</v>
      </c>
      <c r="F7">
        <v>1844327.038464</v>
      </c>
      <c r="G7">
        <v>5596603.1330279997</v>
      </c>
      <c r="H7">
        <v>430.35954299999997</v>
      </c>
      <c r="I7">
        <v>-0.693689</v>
      </c>
      <c r="J7">
        <v>3.069188</v>
      </c>
      <c r="K7">
        <v>448.16549300000003</v>
      </c>
      <c r="L7">
        <v>-39.745471999999999</v>
      </c>
      <c r="M7">
        <v>175.85154600000001</v>
      </c>
      <c r="N7">
        <v>448.16553599999997</v>
      </c>
      <c r="O7">
        <v>1.9463000000000001E-2</v>
      </c>
      <c r="P7">
        <v>3.1026999999999999E-2</v>
      </c>
      <c r="Q7" s="1">
        <v>43382</v>
      </c>
      <c r="R7" s="2">
        <v>0.51484953703703706</v>
      </c>
    </row>
    <row r="8" spans="1:18" x14ac:dyDescent="0.3">
      <c r="A8" s="5">
        <v>3</v>
      </c>
      <c r="B8">
        <v>4</v>
      </c>
      <c r="C8">
        <v>3</v>
      </c>
      <c r="D8" t="s">
        <v>20</v>
      </c>
      <c r="E8" t="s">
        <v>25</v>
      </c>
      <c r="F8">
        <v>1844275.7125929999</v>
      </c>
      <c r="G8">
        <v>5596482.8176570004</v>
      </c>
      <c r="H8">
        <v>434.63721500000003</v>
      </c>
      <c r="I8">
        <v>-0.69370900000000002</v>
      </c>
      <c r="J8">
        <v>3.0691790000000001</v>
      </c>
      <c r="K8">
        <v>452.42897699999997</v>
      </c>
      <c r="L8">
        <v>-39.746569000000001</v>
      </c>
      <c r="M8">
        <v>175.85099199999999</v>
      </c>
      <c r="N8">
        <v>452.42901999999998</v>
      </c>
      <c r="O8">
        <v>1.5889E-2</v>
      </c>
      <c r="P8">
        <v>2.7615000000000001E-2</v>
      </c>
      <c r="Q8" s="1">
        <v>43382</v>
      </c>
      <c r="R8" s="2">
        <v>0.52289351851851851</v>
      </c>
    </row>
    <row r="9" spans="1:18" x14ac:dyDescent="0.3">
      <c r="A9" s="5">
        <v>4</v>
      </c>
      <c r="B9">
        <v>5</v>
      </c>
      <c r="C9">
        <v>4</v>
      </c>
      <c r="D9" t="s">
        <v>20</v>
      </c>
      <c r="E9" t="s">
        <v>25</v>
      </c>
      <c r="F9">
        <v>1844444.3660180001</v>
      </c>
      <c r="G9">
        <v>5596428.8174459999</v>
      </c>
      <c r="H9">
        <v>421.82895600000001</v>
      </c>
      <c r="I9">
        <v>-0.693716</v>
      </c>
      <c r="J9">
        <v>3.069213</v>
      </c>
      <c r="K9">
        <v>439.62345399999998</v>
      </c>
      <c r="L9">
        <v>-39.747007000000004</v>
      </c>
      <c r="M9">
        <v>175.85297800000001</v>
      </c>
      <c r="N9">
        <v>439.62349699999999</v>
      </c>
      <c r="O9">
        <v>1.4307E-2</v>
      </c>
      <c r="P9">
        <v>2.6218000000000002E-2</v>
      </c>
      <c r="Q9" s="1">
        <v>43382</v>
      </c>
      <c r="R9" s="2">
        <v>0.5368518518518518</v>
      </c>
    </row>
    <row r="10" spans="1:18" x14ac:dyDescent="0.3">
      <c r="A10" s="5">
        <v>5</v>
      </c>
      <c r="B10">
        <v>6</v>
      </c>
      <c r="C10">
        <v>5</v>
      </c>
      <c r="D10" t="s">
        <v>20</v>
      </c>
      <c r="E10" t="s">
        <v>25</v>
      </c>
      <c r="F10">
        <v>1844577.5881060001</v>
      </c>
      <c r="G10">
        <v>5596364.29954</v>
      </c>
      <c r="H10">
        <v>414.58305899999999</v>
      </c>
      <c r="I10">
        <v>-0.69372599999999995</v>
      </c>
      <c r="J10">
        <v>3.0692409999999999</v>
      </c>
      <c r="K10">
        <v>432.37755700000002</v>
      </c>
      <c r="L10">
        <v>-39.747548999999999</v>
      </c>
      <c r="M10">
        <v>175.854555</v>
      </c>
      <c r="N10">
        <v>432.37759999999997</v>
      </c>
      <c r="O10">
        <v>1.5518000000000001E-2</v>
      </c>
      <c r="P10">
        <v>2.9389999999999999E-2</v>
      </c>
      <c r="Q10" s="1">
        <v>43382</v>
      </c>
      <c r="R10" s="2">
        <v>0.54314814814814816</v>
      </c>
    </row>
    <row r="11" spans="1:18" x14ac:dyDescent="0.3">
      <c r="A11" s="5">
        <v>6</v>
      </c>
      <c r="B11">
        <v>7</v>
      </c>
      <c r="C11">
        <v>6</v>
      </c>
      <c r="D11" t="s">
        <v>20</v>
      </c>
      <c r="E11" t="s">
        <v>25</v>
      </c>
      <c r="F11">
        <v>1844789.104051</v>
      </c>
      <c r="G11">
        <v>5596419.7366930004</v>
      </c>
      <c r="H11">
        <v>421.35107599999998</v>
      </c>
      <c r="I11">
        <v>-0.693716</v>
      </c>
      <c r="J11">
        <v>3.0692840000000001</v>
      </c>
      <c r="K11">
        <v>439.16105199999998</v>
      </c>
      <c r="L11">
        <v>-39.746989999999997</v>
      </c>
      <c r="M11">
        <v>175.857001</v>
      </c>
      <c r="N11">
        <v>439.16109499999999</v>
      </c>
      <c r="O11">
        <v>1.6388E-2</v>
      </c>
      <c r="P11">
        <v>3.0089999999999999E-2</v>
      </c>
      <c r="Q11" s="1">
        <v>43382</v>
      </c>
      <c r="R11" s="2">
        <v>0.54811342592592593</v>
      </c>
    </row>
    <row r="12" spans="1:18" x14ac:dyDescent="0.3">
      <c r="A12" s="5">
        <v>7</v>
      </c>
      <c r="B12">
        <v>8</v>
      </c>
      <c r="C12">
        <v>7</v>
      </c>
      <c r="D12" t="s">
        <v>20</v>
      </c>
      <c r="E12" t="s">
        <v>25</v>
      </c>
      <c r="F12">
        <v>1844897.3165829999</v>
      </c>
      <c r="G12">
        <v>5596315.3219140004</v>
      </c>
      <c r="H12">
        <v>399.04069500000003</v>
      </c>
      <c r="I12">
        <v>-0.69373200000000002</v>
      </c>
      <c r="J12">
        <v>3.0693060000000001</v>
      </c>
      <c r="K12">
        <v>416.84552300000001</v>
      </c>
      <c r="L12">
        <v>-39.747897999999999</v>
      </c>
      <c r="M12">
        <v>175.85830100000001</v>
      </c>
      <c r="N12">
        <v>416.84556600000002</v>
      </c>
      <c r="O12">
        <v>1.6872000000000002E-2</v>
      </c>
      <c r="P12">
        <v>2.9364999999999999E-2</v>
      </c>
      <c r="Q12" s="1">
        <v>43382</v>
      </c>
      <c r="R12" s="2">
        <v>0.55356481481481479</v>
      </c>
    </row>
    <row r="13" spans="1:18" s="21" customFormat="1" x14ac:dyDescent="0.3">
      <c r="A13" s="5">
        <v>8</v>
      </c>
      <c r="C13" s="21">
        <v>8</v>
      </c>
      <c r="Q13" s="1"/>
      <c r="R13" s="2"/>
    </row>
    <row r="14" spans="1:18" s="21" customFormat="1" x14ac:dyDescent="0.3">
      <c r="A14" s="5">
        <v>9</v>
      </c>
      <c r="C14" s="21">
        <v>9</v>
      </c>
      <c r="Q14" s="1"/>
      <c r="R14" s="2"/>
    </row>
    <row r="15" spans="1:18" x14ac:dyDescent="0.3">
      <c r="A15" s="5">
        <v>10</v>
      </c>
      <c r="B15">
        <v>9</v>
      </c>
      <c r="C15">
        <v>10</v>
      </c>
      <c r="D15" t="s">
        <v>20</v>
      </c>
      <c r="E15" t="s">
        <v>25</v>
      </c>
      <c r="F15">
        <v>1844340.242503</v>
      </c>
      <c r="G15">
        <v>5596228.9248139998</v>
      </c>
      <c r="H15">
        <v>405.81884400000001</v>
      </c>
      <c r="I15">
        <v>-0.69374800000000003</v>
      </c>
      <c r="J15">
        <v>3.069194</v>
      </c>
      <c r="K15">
        <v>423.58887299999998</v>
      </c>
      <c r="L15">
        <v>-39.748835999999997</v>
      </c>
      <c r="M15">
        <v>175.85183900000001</v>
      </c>
      <c r="N15">
        <v>423.58891599999998</v>
      </c>
      <c r="O15">
        <v>1.6652E-2</v>
      </c>
      <c r="P15">
        <v>2.3365E-2</v>
      </c>
      <c r="Q15" s="1">
        <v>43382</v>
      </c>
      <c r="R15" s="2">
        <v>0.58560185185185187</v>
      </c>
    </row>
    <row r="16" spans="1:18" x14ac:dyDescent="0.3">
      <c r="A16" s="5">
        <v>11</v>
      </c>
      <c r="B16">
        <v>11</v>
      </c>
      <c r="C16">
        <v>11</v>
      </c>
      <c r="D16" t="s">
        <v>20</v>
      </c>
      <c r="E16" t="s">
        <v>25</v>
      </c>
      <c r="F16">
        <v>1844395.0697069999</v>
      </c>
      <c r="G16">
        <v>5596016.2094869995</v>
      </c>
      <c r="H16">
        <v>389.732238</v>
      </c>
      <c r="I16">
        <v>-0.69378099999999998</v>
      </c>
      <c r="J16">
        <v>3.0692059999999999</v>
      </c>
      <c r="K16">
        <v>407.48443200000003</v>
      </c>
      <c r="L16">
        <v>-39.750734000000001</v>
      </c>
      <c r="M16">
        <v>175.85255699999999</v>
      </c>
      <c r="N16">
        <v>407.48447499999997</v>
      </c>
      <c r="O16">
        <v>3.1899999999999998E-2</v>
      </c>
      <c r="P16">
        <v>2.8385000000000001E-2</v>
      </c>
      <c r="Q16" s="1">
        <v>43382</v>
      </c>
      <c r="R16" s="2">
        <v>0.60629629629629633</v>
      </c>
    </row>
    <row r="17" spans="1:18" x14ac:dyDescent="0.3">
      <c r="A17" s="5">
        <v>12</v>
      </c>
      <c r="B17">
        <v>12</v>
      </c>
      <c r="C17">
        <v>12</v>
      </c>
      <c r="D17" t="s">
        <v>20</v>
      </c>
      <c r="E17" t="s">
        <v>25</v>
      </c>
      <c r="F17">
        <v>1844569.6195090001</v>
      </c>
      <c r="G17">
        <v>5596016.7005279996</v>
      </c>
      <c r="H17">
        <v>397.55543499999999</v>
      </c>
      <c r="I17">
        <v>-0.69377999999999995</v>
      </c>
      <c r="J17">
        <v>3.069242</v>
      </c>
      <c r="K17">
        <v>415.31588499999998</v>
      </c>
      <c r="L17">
        <v>-39.750680000000003</v>
      </c>
      <c r="M17">
        <v>175.854592</v>
      </c>
      <c r="N17">
        <v>415.31592799999999</v>
      </c>
      <c r="O17">
        <v>2.0291E-2</v>
      </c>
      <c r="P17">
        <v>2.5779E-2</v>
      </c>
      <c r="Q17" s="1">
        <v>43382</v>
      </c>
      <c r="R17" s="2">
        <v>0.61326388888888894</v>
      </c>
    </row>
    <row r="18" spans="1:18" x14ac:dyDescent="0.3">
      <c r="A18" s="5">
        <v>13</v>
      </c>
      <c r="B18">
        <v>13</v>
      </c>
      <c r="C18">
        <v>13</v>
      </c>
      <c r="D18" t="s">
        <v>20</v>
      </c>
      <c r="E18" t="s">
        <v>25</v>
      </c>
      <c r="F18">
        <v>1844675.8920859999</v>
      </c>
      <c r="G18">
        <v>5595952.2939719995</v>
      </c>
      <c r="H18">
        <v>392.12957599999999</v>
      </c>
      <c r="I18">
        <v>-0.69379000000000002</v>
      </c>
      <c r="J18">
        <v>3.069264</v>
      </c>
      <c r="K18">
        <v>409.88907499999999</v>
      </c>
      <c r="L18">
        <v>-39.751229000000002</v>
      </c>
      <c r="M18">
        <v>175.85585499999999</v>
      </c>
      <c r="N18">
        <v>409.889118</v>
      </c>
      <c r="O18">
        <v>2.0722999999999998E-2</v>
      </c>
      <c r="P18">
        <v>2.6204999999999999E-2</v>
      </c>
      <c r="Q18" s="1">
        <v>43382</v>
      </c>
      <c r="R18" s="2">
        <v>0.61657407407407405</v>
      </c>
    </row>
    <row r="19" spans="1:18" x14ac:dyDescent="0.3">
      <c r="A19" s="5">
        <v>14</v>
      </c>
      <c r="B19">
        <v>19</v>
      </c>
      <c r="C19">
        <v>14</v>
      </c>
      <c r="D19" t="s">
        <v>20</v>
      </c>
      <c r="E19" t="s">
        <v>25</v>
      </c>
      <c r="F19">
        <v>1844386.7183360001</v>
      </c>
      <c r="G19">
        <v>5595875.8013629997</v>
      </c>
      <c r="H19">
        <v>381.60200400000002</v>
      </c>
      <c r="I19">
        <v>-0.69380299999999995</v>
      </c>
      <c r="J19">
        <v>3.0692050000000002</v>
      </c>
      <c r="K19">
        <v>399.34072800000001</v>
      </c>
      <c r="L19">
        <v>-39.752000000000002</v>
      </c>
      <c r="M19">
        <v>175.85251199999999</v>
      </c>
      <c r="N19">
        <v>399.34077100000002</v>
      </c>
      <c r="O19">
        <v>2.2062999999999999E-2</v>
      </c>
      <c r="P19">
        <v>2.8125000000000001E-2</v>
      </c>
      <c r="Q19" s="1">
        <v>43382</v>
      </c>
      <c r="R19" s="2">
        <v>0.65101851851851855</v>
      </c>
    </row>
    <row r="20" spans="1:18" x14ac:dyDescent="0.3">
      <c r="A20" s="5">
        <v>15</v>
      </c>
      <c r="B20">
        <v>10</v>
      </c>
      <c r="C20">
        <v>15</v>
      </c>
      <c r="D20" t="s">
        <v>20</v>
      </c>
      <c r="E20" t="s">
        <v>25</v>
      </c>
      <c r="F20">
        <v>1844190.0015759999</v>
      </c>
      <c r="G20">
        <v>5596021.1572070001</v>
      </c>
      <c r="H20">
        <v>395.88947000000002</v>
      </c>
      <c r="I20">
        <v>-0.69378099999999998</v>
      </c>
      <c r="J20">
        <v>3.0691639999999998</v>
      </c>
      <c r="K20">
        <v>413.632476</v>
      </c>
      <c r="L20">
        <v>-39.750748000000002</v>
      </c>
      <c r="M20">
        <v>175.85016400000001</v>
      </c>
      <c r="N20">
        <v>413.632519</v>
      </c>
      <c r="O20">
        <v>2.6765000000000001E-2</v>
      </c>
      <c r="P20">
        <v>3.5303000000000001E-2</v>
      </c>
      <c r="Q20" s="1">
        <v>43382</v>
      </c>
      <c r="R20" s="2">
        <v>0.59732638888888889</v>
      </c>
    </row>
    <row r="21" spans="1:18" s="21" customFormat="1" x14ac:dyDescent="0.3">
      <c r="A21" s="5">
        <v>16</v>
      </c>
      <c r="C21" s="21">
        <v>16</v>
      </c>
      <c r="Q21" s="1"/>
      <c r="R21" s="2"/>
    </row>
    <row r="22" spans="1:18" x14ac:dyDescent="0.3">
      <c r="A22" s="5">
        <v>17</v>
      </c>
      <c r="B22">
        <v>18</v>
      </c>
      <c r="C22">
        <v>17</v>
      </c>
      <c r="D22" t="s">
        <v>20</v>
      </c>
      <c r="E22" t="s">
        <v>25</v>
      </c>
      <c r="F22">
        <v>1844522.773364</v>
      </c>
      <c r="G22">
        <v>5595813.4207859999</v>
      </c>
      <c r="H22">
        <v>367.29042399999997</v>
      </c>
      <c r="I22">
        <v>-0.69381199999999998</v>
      </c>
      <c r="J22">
        <v>3.0692330000000001</v>
      </c>
      <c r="K22">
        <v>385.02981799999998</v>
      </c>
      <c r="L22">
        <v>-39.752521999999999</v>
      </c>
      <c r="M22">
        <v>175.85412099999999</v>
      </c>
      <c r="N22">
        <v>385.02986099999998</v>
      </c>
      <c r="O22">
        <v>2.8583999999999998E-2</v>
      </c>
      <c r="P22">
        <v>3.5081000000000001E-2</v>
      </c>
      <c r="Q22" s="1">
        <v>43382</v>
      </c>
      <c r="R22" s="2">
        <v>0.64597222222222228</v>
      </c>
    </row>
    <row r="23" spans="1:18" x14ac:dyDescent="0.3">
      <c r="A23" s="5">
        <v>18</v>
      </c>
      <c r="B23">
        <v>14</v>
      </c>
      <c r="C23">
        <v>18</v>
      </c>
      <c r="D23" t="s">
        <v>20</v>
      </c>
      <c r="E23" t="s">
        <v>25</v>
      </c>
      <c r="F23">
        <v>1844707.5853579999</v>
      </c>
      <c r="G23">
        <v>5595725.3385690004</v>
      </c>
      <c r="H23">
        <v>375.74750299999999</v>
      </c>
      <c r="I23">
        <v>-0.69382500000000003</v>
      </c>
      <c r="J23">
        <v>3.0692719999999998</v>
      </c>
      <c r="K23">
        <v>393.487573</v>
      </c>
      <c r="L23">
        <v>-39.753261999999999</v>
      </c>
      <c r="M23">
        <v>175.85630900000001</v>
      </c>
      <c r="N23">
        <v>393.487616</v>
      </c>
      <c r="O23">
        <v>2.215E-2</v>
      </c>
      <c r="P23">
        <v>2.6544000000000002E-2</v>
      </c>
      <c r="Q23" s="1">
        <v>43382</v>
      </c>
      <c r="R23" s="2">
        <v>0.62059027777777775</v>
      </c>
    </row>
    <row r="24" spans="1:18" x14ac:dyDescent="0.3">
      <c r="A24" s="5">
        <v>19</v>
      </c>
      <c r="B24">
        <v>17</v>
      </c>
      <c r="C24">
        <v>19</v>
      </c>
      <c r="D24" t="s">
        <v>20</v>
      </c>
      <c r="E24" t="s">
        <v>25</v>
      </c>
      <c r="F24">
        <v>1844643.5233690001</v>
      </c>
      <c r="G24">
        <v>5595686.1368650002</v>
      </c>
      <c r="H24">
        <v>358.35370799999998</v>
      </c>
      <c r="I24">
        <v>-0.693832</v>
      </c>
      <c r="J24">
        <v>3.0692590000000002</v>
      </c>
      <c r="K24">
        <v>376.08709299999998</v>
      </c>
      <c r="L24">
        <v>-39.753633000000001</v>
      </c>
      <c r="M24">
        <v>175.85557600000001</v>
      </c>
      <c r="N24">
        <v>376.08713599999999</v>
      </c>
      <c r="O24">
        <v>2.5551000000000001E-2</v>
      </c>
      <c r="P24">
        <v>3.1676000000000003E-2</v>
      </c>
      <c r="Q24" s="1">
        <v>43382</v>
      </c>
      <c r="R24" s="2">
        <v>0.6411458333333333</v>
      </c>
    </row>
    <row r="25" spans="1:18" x14ac:dyDescent="0.3">
      <c r="A25" s="5">
        <v>20</v>
      </c>
      <c r="B25">
        <v>16</v>
      </c>
      <c r="C25">
        <v>20</v>
      </c>
      <c r="D25" t="s">
        <v>20</v>
      </c>
      <c r="E25" t="s">
        <v>25</v>
      </c>
      <c r="F25">
        <v>1844629.443554</v>
      </c>
      <c r="G25">
        <v>5595610.6536769997</v>
      </c>
      <c r="H25">
        <v>332.55132900000001</v>
      </c>
      <c r="I25">
        <v>-0.69384400000000002</v>
      </c>
      <c r="J25">
        <v>3.0692560000000002</v>
      </c>
      <c r="K25">
        <v>350.27706499999999</v>
      </c>
      <c r="L25">
        <v>-39.754317</v>
      </c>
      <c r="M25">
        <v>175.85543999999999</v>
      </c>
      <c r="N25">
        <v>350.277108</v>
      </c>
      <c r="O25">
        <v>2.3084E-2</v>
      </c>
      <c r="P25">
        <v>2.5243000000000002E-2</v>
      </c>
      <c r="Q25" s="1">
        <v>43382</v>
      </c>
      <c r="R25" s="2">
        <v>0.63760416666666664</v>
      </c>
    </row>
    <row r="26" spans="1:18" x14ac:dyDescent="0.3">
      <c r="A26" s="5">
        <v>21</v>
      </c>
      <c r="B26">
        <v>27</v>
      </c>
      <c r="C26">
        <v>21</v>
      </c>
      <c r="D26" t="s">
        <v>20</v>
      </c>
      <c r="E26" t="s">
        <v>25</v>
      </c>
      <c r="F26">
        <v>1844492.341974</v>
      </c>
      <c r="G26">
        <v>5595542.530735</v>
      </c>
      <c r="H26">
        <v>309.12802900000003</v>
      </c>
      <c r="I26">
        <v>-0.693855</v>
      </c>
      <c r="J26">
        <v>3.069229</v>
      </c>
      <c r="K26">
        <v>326.84084000000001</v>
      </c>
      <c r="L26">
        <v>-39.754969000000003</v>
      </c>
      <c r="M26">
        <v>175.85386700000001</v>
      </c>
      <c r="N26">
        <v>326.84088300000002</v>
      </c>
      <c r="O26">
        <v>1.6354E-2</v>
      </c>
      <c r="P26">
        <v>2.0591999999999999E-2</v>
      </c>
      <c r="Q26" s="1">
        <v>43382</v>
      </c>
      <c r="R26" s="2">
        <v>0.70908564814814812</v>
      </c>
    </row>
    <row r="27" spans="1:18" s="21" customFormat="1" x14ac:dyDescent="0.3">
      <c r="A27" s="5">
        <v>22</v>
      </c>
      <c r="C27" s="21">
        <v>22</v>
      </c>
      <c r="Q27" s="1"/>
      <c r="R27" s="2"/>
    </row>
    <row r="28" spans="1:18" x14ac:dyDescent="0.3">
      <c r="A28" s="5">
        <v>23</v>
      </c>
      <c r="B28">
        <v>21</v>
      </c>
      <c r="C28">
        <v>23</v>
      </c>
      <c r="D28" t="s">
        <v>20</v>
      </c>
      <c r="E28" t="s">
        <v>25</v>
      </c>
      <c r="F28">
        <v>1844378.7990689999</v>
      </c>
      <c r="G28">
        <v>5595386.1844450003</v>
      </c>
      <c r="H28">
        <v>310.736445</v>
      </c>
      <c r="I28">
        <v>-0.69388000000000005</v>
      </c>
      <c r="J28">
        <v>3.069207</v>
      </c>
      <c r="K28">
        <v>328.42920900000001</v>
      </c>
      <c r="L28">
        <v>-39.756408</v>
      </c>
      <c r="M28">
        <v>175.85260099999999</v>
      </c>
      <c r="N28">
        <v>328.42925200000002</v>
      </c>
      <c r="O28">
        <v>1.9900000000000001E-2</v>
      </c>
      <c r="P28">
        <v>2.741E-2</v>
      </c>
      <c r="Q28" s="1">
        <v>43382</v>
      </c>
      <c r="R28" s="2">
        <v>0.67450231481481471</v>
      </c>
    </row>
    <row r="29" spans="1:18" x14ac:dyDescent="0.3">
      <c r="A29" s="5">
        <v>24</v>
      </c>
      <c r="B29">
        <v>26</v>
      </c>
      <c r="C29">
        <v>24</v>
      </c>
      <c r="D29" t="s">
        <v>20</v>
      </c>
      <c r="E29" t="s">
        <v>25</v>
      </c>
      <c r="F29">
        <v>1844365.2979870001</v>
      </c>
      <c r="G29">
        <v>5595610.3593929997</v>
      </c>
      <c r="H29">
        <v>326.92229300000002</v>
      </c>
      <c r="I29">
        <v>-0.69384500000000005</v>
      </c>
      <c r="J29">
        <v>3.0692029999999999</v>
      </c>
      <c r="K29">
        <v>344.63527099999999</v>
      </c>
      <c r="L29">
        <v>-39.754395000000002</v>
      </c>
      <c r="M29">
        <v>175.852361</v>
      </c>
      <c r="N29">
        <v>344.63531399999999</v>
      </c>
      <c r="O29">
        <v>2.4747000000000002E-2</v>
      </c>
      <c r="P29">
        <v>3.3640000000000003E-2</v>
      </c>
      <c r="Q29" s="1">
        <v>43382</v>
      </c>
      <c r="R29" s="2">
        <v>0.70295138888888886</v>
      </c>
    </row>
    <row r="30" spans="1:18" x14ac:dyDescent="0.3">
      <c r="A30" s="5">
        <v>25</v>
      </c>
      <c r="B30">
        <v>22</v>
      </c>
      <c r="C30">
        <v>25</v>
      </c>
      <c r="D30" t="s">
        <v>20</v>
      </c>
      <c r="E30" t="s">
        <v>25</v>
      </c>
      <c r="F30">
        <v>1844346.1549229999</v>
      </c>
      <c r="G30">
        <v>5595520.0882160002</v>
      </c>
      <c r="H30">
        <v>315.72102899999999</v>
      </c>
      <c r="I30">
        <v>-0.693859</v>
      </c>
      <c r="J30">
        <v>3.0691989999999998</v>
      </c>
      <c r="K30">
        <v>333.42467199999999</v>
      </c>
      <c r="L30">
        <v>-39.755212999999998</v>
      </c>
      <c r="M30">
        <v>175.852171</v>
      </c>
      <c r="N30">
        <v>333.42471499999999</v>
      </c>
      <c r="O30">
        <v>2.0267E-2</v>
      </c>
      <c r="P30">
        <v>3.0110999999999999E-2</v>
      </c>
      <c r="Q30" s="1">
        <v>43382</v>
      </c>
      <c r="R30" s="2">
        <v>0.68315972222222221</v>
      </c>
    </row>
    <row r="31" spans="1:18" x14ac:dyDescent="0.3">
      <c r="A31" s="5">
        <v>26</v>
      </c>
      <c r="B31">
        <v>23</v>
      </c>
      <c r="C31">
        <v>26</v>
      </c>
      <c r="D31" t="s">
        <v>20</v>
      </c>
      <c r="E31" t="s">
        <v>25</v>
      </c>
      <c r="F31">
        <v>1844303.097658</v>
      </c>
      <c r="G31">
        <v>5595520.1125020003</v>
      </c>
      <c r="H31">
        <v>314.57330100000001</v>
      </c>
      <c r="I31">
        <v>-0.69386000000000003</v>
      </c>
      <c r="J31">
        <v>3.069191</v>
      </c>
      <c r="K31">
        <v>332.27485899999999</v>
      </c>
      <c r="L31">
        <v>-39.755225000000003</v>
      </c>
      <c r="M31">
        <v>175.85166899999999</v>
      </c>
      <c r="N31">
        <v>332.274902</v>
      </c>
      <c r="O31">
        <v>1.6064999999999999E-2</v>
      </c>
      <c r="P31">
        <v>2.7109999999999999E-2</v>
      </c>
      <c r="Q31" s="1">
        <v>43382</v>
      </c>
      <c r="R31" s="2">
        <v>0.68903935185185183</v>
      </c>
    </row>
    <row r="32" spans="1:18" x14ac:dyDescent="0.3">
      <c r="A32" s="5">
        <v>27</v>
      </c>
      <c r="B32">
        <v>20</v>
      </c>
      <c r="C32">
        <v>27</v>
      </c>
      <c r="D32" t="s">
        <v>20</v>
      </c>
      <c r="E32" t="s">
        <v>25</v>
      </c>
      <c r="F32">
        <v>1844185.14001</v>
      </c>
      <c r="G32">
        <v>5595587.5742960004</v>
      </c>
      <c r="H32">
        <v>355.90871600000003</v>
      </c>
      <c r="I32">
        <v>-0.69384999999999997</v>
      </c>
      <c r="J32">
        <v>3.0691660000000001</v>
      </c>
      <c r="K32">
        <v>373.61086999999998</v>
      </c>
      <c r="L32">
        <v>-39.754652</v>
      </c>
      <c r="M32">
        <v>175.850269</v>
      </c>
      <c r="N32">
        <v>373.61091299999998</v>
      </c>
      <c r="O32">
        <v>1.8532E-2</v>
      </c>
      <c r="P32">
        <v>2.5203E-2</v>
      </c>
      <c r="Q32" s="1">
        <v>43382</v>
      </c>
      <c r="R32" s="2">
        <v>0.66447916666666662</v>
      </c>
    </row>
    <row r="33" spans="1:18" x14ac:dyDescent="0.3">
      <c r="A33" s="5">
        <v>28</v>
      </c>
      <c r="B33">
        <v>24</v>
      </c>
      <c r="C33">
        <v>28</v>
      </c>
      <c r="D33" t="s">
        <v>20</v>
      </c>
      <c r="E33" t="s">
        <v>25</v>
      </c>
      <c r="F33">
        <v>1844266.9703200001</v>
      </c>
      <c r="G33">
        <v>5595681.0364250001</v>
      </c>
      <c r="H33">
        <v>334.47636899999998</v>
      </c>
      <c r="I33">
        <v>-0.69383399999999995</v>
      </c>
      <c r="J33">
        <v>3.0691820000000001</v>
      </c>
      <c r="K33">
        <v>352.19120900000001</v>
      </c>
      <c r="L33">
        <v>-39.753787000000003</v>
      </c>
      <c r="M33">
        <v>175.85118800000001</v>
      </c>
      <c r="N33">
        <v>352.19125200000002</v>
      </c>
      <c r="O33">
        <v>2.4058E-2</v>
      </c>
      <c r="P33">
        <v>3.6922999999999997E-2</v>
      </c>
      <c r="Q33" s="1">
        <v>43382</v>
      </c>
      <c r="R33" s="2">
        <v>0.69469907407407405</v>
      </c>
    </row>
    <row r="34" spans="1:18" x14ac:dyDescent="0.3">
      <c r="A34" s="5">
        <v>29</v>
      </c>
      <c r="B34">
        <v>25</v>
      </c>
      <c r="C34">
        <v>29</v>
      </c>
      <c r="D34" t="s">
        <v>20</v>
      </c>
      <c r="E34" t="s">
        <v>25</v>
      </c>
      <c r="F34">
        <v>1844374.1977580001</v>
      </c>
      <c r="G34">
        <v>5595692.2421930004</v>
      </c>
      <c r="H34">
        <v>335.00513100000001</v>
      </c>
      <c r="I34">
        <v>-0.693832</v>
      </c>
      <c r="J34">
        <v>3.069204</v>
      </c>
      <c r="K34">
        <v>352.72616399999998</v>
      </c>
      <c r="L34">
        <v>-39.753655999999999</v>
      </c>
      <c r="M34">
        <v>175.85243399999999</v>
      </c>
      <c r="N34">
        <v>352.72620599999999</v>
      </c>
      <c r="O34">
        <v>3.3092000000000003E-2</v>
      </c>
      <c r="P34">
        <v>4.6457999999999999E-2</v>
      </c>
      <c r="Q34" s="1">
        <v>43382</v>
      </c>
      <c r="R34" s="2">
        <v>0.69923611111111106</v>
      </c>
    </row>
    <row r="35" spans="1:18" x14ac:dyDescent="0.3">
      <c r="A35" s="5" t="s">
        <v>26</v>
      </c>
      <c r="B35">
        <v>15</v>
      </c>
      <c r="C35" t="s">
        <v>26</v>
      </c>
      <c r="D35" t="s">
        <v>20</v>
      </c>
      <c r="E35" t="s">
        <v>25</v>
      </c>
      <c r="F35">
        <v>1844715.236543</v>
      </c>
      <c r="G35">
        <v>5595570.9072749997</v>
      </c>
      <c r="H35">
        <v>340.395309</v>
      </c>
      <c r="I35">
        <v>-0.69384999999999997</v>
      </c>
      <c r="J35">
        <v>3.0692740000000001</v>
      </c>
      <c r="K35">
        <v>358.12151599999999</v>
      </c>
      <c r="L35">
        <v>-39.754649999999998</v>
      </c>
      <c r="M35">
        <v>175.85645500000001</v>
      </c>
      <c r="N35">
        <v>358.12155899999999</v>
      </c>
      <c r="O35">
        <v>2.3595000000000001E-2</v>
      </c>
      <c r="P35">
        <v>2.7276000000000002E-2</v>
      </c>
      <c r="Q35" s="1">
        <v>43382</v>
      </c>
      <c r="R35" s="2">
        <v>0.62987268518518513</v>
      </c>
    </row>
    <row r="36" spans="1:18" x14ac:dyDescent="0.3">
      <c r="A36" s="5" t="s">
        <v>27</v>
      </c>
      <c r="B36">
        <v>28</v>
      </c>
      <c r="C36" t="s">
        <v>27</v>
      </c>
      <c r="D36" t="s">
        <v>20</v>
      </c>
      <c r="E36" t="s">
        <v>28</v>
      </c>
      <c r="F36">
        <v>1844453.4138539999</v>
      </c>
      <c r="G36">
        <v>5595424.3640109999</v>
      </c>
      <c r="H36">
        <v>301.73469899999998</v>
      </c>
      <c r="I36">
        <v>-0.69387399999999999</v>
      </c>
      <c r="J36">
        <v>3.0692219999999999</v>
      </c>
      <c r="K36">
        <v>319.43465300000003</v>
      </c>
      <c r="L36">
        <v>-39.756042999999998</v>
      </c>
      <c r="M36">
        <v>175.85345699999999</v>
      </c>
      <c r="N36">
        <v>319.43469499999998</v>
      </c>
      <c r="O36">
        <v>3.0171E-2</v>
      </c>
      <c r="P36">
        <v>3.5887000000000002E-2</v>
      </c>
      <c r="Q36" s="1">
        <v>43382</v>
      </c>
      <c r="R36" s="2">
        <v>0.71859953703703694</v>
      </c>
    </row>
    <row r="37" spans="1:18" x14ac:dyDescent="0.3">
      <c r="B37">
        <v>29</v>
      </c>
      <c r="C37" t="s">
        <v>29</v>
      </c>
      <c r="D37" t="s">
        <v>20</v>
      </c>
      <c r="E37" t="s">
        <v>30</v>
      </c>
      <c r="F37">
        <v>1844378.7918169999</v>
      </c>
      <c r="G37">
        <v>5595386.1884740004</v>
      </c>
      <c r="H37">
        <v>310.72975100000002</v>
      </c>
      <c r="I37">
        <v>-0.69388000000000005</v>
      </c>
      <c r="J37">
        <v>3.069207</v>
      </c>
      <c r="K37">
        <v>328.42251499999998</v>
      </c>
      <c r="L37">
        <v>-39.756408</v>
      </c>
      <c r="M37">
        <v>175.85260099999999</v>
      </c>
      <c r="N37">
        <v>328.42255799999998</v>
      </c>
      <c r="O37">
        <v>1.9601E-2</v>
      </c>
      <c r="P37">
        <v>2.6082999999999999E-2</v>
      </c>
      <c r="Q37" s="1">
        <v>43382</v>
      </c>
      <c r="R37" s="2">
        <v>0.78052083333333344</v>
      </c>
    </row>
    <row r="38" spans="1:18" x14ac:dyDescent="0.3">
      <c r="B38">
        <v>30</v>
      </c>
      <c r="C38" t="s">
        <v>31</v>
      </c>
      <c r="D38" t="s">
        <v>20</v>
      </c>
      <c r="E38" t="s">
        <v>30</v>
      </c>
      <c r="F38">
        <v>1844190.0044879999</v>
      </c>
      <c r="G38">
        <v>5596021.1657769997</v>
      </c>
      <c r="H38">
        <v>395.88652500000001</v>
      </c>
      <c r="I38">
        <v>-0.69378099999999998</v>
      </c>
      <c r="J38">
        <v>3.0691639999999998</v>
      </c>
      <c r="K38">
        <v>413.62953299999998</v>
      </c>
      <c r="L38">
        <v>-39.750748000000002</v>
      </c>
      <c r="M38">
        <v>175.85016400000001</v>
      </c>
      <c r="N38">
        <v>413.62957499999999</v>
      </c>
      <c r="O38">
        <v>1.4877E-2</v>
      </c>
      <c r="P38">
        <v>1.6799999999999999E-2</v>
      </c>
      <c r="Q38" s="1">
        <v>43382</v>
      </c>
      <c r="R38" s="2">
        <v>0.79497685185185185</v>
      </c>
    </row>
    <row r="40" spans="1:18" x14ac:dyDescent="0.3">
      <c r="O40">
        <f>MAX(O3:O38)</f>
        <v>3.3092000000000003E-2</v>
      </c>
      <c r="P40">
        <f>MAX(P3:P38)</f>
        <v>4.6457999999999999E-2</v>
      </c>
    </row>
    <row r="41" spans="1:18" x14ac:dyDescent="0.3">
      <c r="O41">
        <f>AVERAGE(O3:O38)</f>
        <v>2.0584161290322579E-2</v>
      </c>
      <c r="P41">
        <f>AVERAGE(P3:P38)</f>
        <v>2.8044774193548384E-2</v>
      </c>
    </row>
    <row r="42" spans="1:18" x14ac:dyDescent="0.3">
      <c r="E42" t="s">
        <v>468</v>
      </c>
      <c r="F42" t="s">
        <v>469</v>
      </c>
      <c r="G42" t="s">
        <v>470</v>
      </c>
      <c r="O42">
        <f>_xlfn.STDEV.S(O3:O38)</f>
        <v>5.5711868878888854E-3</v>
      </c>
      <c r="P42">
        <f>_xlfn.STDEV.S(P3:P38)</f>
        <v>6.316532401614461E-3</v>
      </c>
    </row>
    <row r="43" spans="1:18" x14ac:dyDescent="0.3">
      <c r="E43" t="s">
        <v>465</v>
      </c>
      <c r="F43" t="e">
        <f>MAX('Oct2018'!O40,'Mar2018'!O40,'Oct2017'!O40,June2017!O40,'Mar2017'!O40,'Dec2016'!O40,'Oct2016'!#REF!,July2016!O58,'Mar2016'!O41,'Dec2015'!O40,Sept2015!O40,July2015!O40)</f>
        <v>#REF!</v>
      </c>
      <c r="G43" t="e">
        <f>MAX('Oct2018'!P40,'Mar2018'!P40,'Oct2017'!P40,June2017!P40,'Mar2017'!P40,'Dec2016'!P40,'Oct2016'!#REF!,July2016!P58,'Mar2016'!P41,'Dec2015'!P40,Sept2015!P40,July2015!P40)</f>
        <v>#REF!</v>
      </c>
    </row>
    <row r="44" spans="1:18" x14ac:dyDescent="0.3">
      <c r="E44" t="s">
        <v>466</v>
      </c>
      <c r="F44" t="e">
        <f>AVERAGE('Oct2018'!O40,'Mar2018'!O40,'Oct2017'!O40,June2017!O40,'Mar2017'!O40,'Dec2016'!O40,'Oct2016'!#REF!,July2016!O58,'Mar2016'!O41,'Dec2015'!O40,Sept2015!O40,July2015!O40)</f>
        <v>#REF!</v>
      </c>
      <c r="G44" t="e">
        <f>AVERAGE('Oct2018'!P40,'Mar2018'!P40,'Oct2017'!P40,June2017!P40,'Mar2017'!P40,'Dec2016'!P40,'Oct2016'!#REF!,July2016!P58,'Mar2016'!P41,'Dec2015'!P40,Sept2015!P40,July2015!P40)</f>
        <v>#REF!</v>
      </c>
    </row>
    <row r="45" spans="1:18" x14ac:dyDescent="0.3">
      <c r="E45" t="s">
        <v>467</v>
      </c>
      <c r="F45" t="e">
        <f>_xlfn.STDEV.S('Oct2018'!O40,'Mar2018'!O40,'Oct2017'!O40,June2017!O40,'Mar2017'!O40,'Dec2016'!O40,'Oct2016'!#REF!,July2016!O58,'Mar2016'!O41,'Dec2015'!O40,Sept2015!O40,July2015!O40)</f>
        <v>#REF!</v>
      </c>
      <c r="G45" t="e">
        <f>_xlfn.STDEV.S('Oct2018'!P40,'Mar2018'!P40,'Oct2017'!P40,June2017!P40,'Mar2017'!P40,'Dec2016'!P40,'Oct2016'!#REF!,July2016!P58,'Mar2016'!P41,'Dec2015'!P40,Sept2015!P40,July2015!P40)</f>
        <v>#REF!</v>
      </c>
    </row>
    <row r="48" spans="1:18" x14ac:dyDescent="0.3">
      <c r="F48">
        <f>F37-F28</f>
        <v>-7.2520000394433737E-3</v>
      </c>
      <c r="G48" s="21">
        <f t="shared" ref="G48:H48" si="0">G37-G28</f>
        <v>4.0290001779794693E-3</v>
      </c>
      <c r="H48" s="21">
        <f t="shared" si="0"/>
        <v>-6.6939999999817701E-3</v>
      </c>
    </row>
    <row r="49" spans="5:8" x14ac:dyDescent="0.3">
      <c r="F49">
        <f>F38-F20</f>
        <v>2.9120000544935465E-3</v>
      </c>
      <c r="G49" s="21">
        <f t="shared" ref="G49:H49" si="1">G38-G20</f>
        <v>8.569999597966671E-3</v>
      </c>
      <c r="H49" s="21">
        <f t="shared" si="1"/>
        <v>-2.9450000000110776E-3</v>
      </c>
    </row>
    <row r="50" spans="5:8" x14ac:dyDescent="0.3">
      <c r="E50" t="s">
        <v>474</v>
      </c>
    </row>
    <row r="51" spans="5:8" x14ac:dyDescent="0.3">
      <c r="E51" t="s">
        <v>465</v>
      </c>
      <c r="F51" s="7">
        <f>MAX(MAX(F48,F49,June2017!F41,June2017!F42,'Mar2017'!F42,'Dec2016'!F41,July2016!F59,'Mar2016'!F40,'Dec2015'!F40,Sept2015!F41),(ABS(MIN(F48,F49,June2017!F41,June2017!F42,'Mar2017'!F42,'Dec2016'!F41,July2016!F59,'Mar2016'!F40,'Dec2015'!F40,Sept2015!F41))))</f>
        <v>148.27367500006221</v>
      </c>
      <c r="G51" s="7">
        <f>MAX(MAX(G48,G49,June2017!G41,June2017!G42,'Mar2017'!G42,'Dec2016'!G41,July2016!G59,'Mar2016'!G40,'Dec2015'!G40,Sept2015!G41),(ABS(MIN(G48,G49,June2017!G41,June2017!G42,'Mar2017'!G42,'Dec2016'!G41,July2016!G59,'Mar2016'!G40,'Dec2015'!G40,Sept2015!G41))))</f>
        <v>38.78963700029999</v>
      </c>
      <c r="H51" s="7">
        <f>MAX(MAX(H48,H49,June2017!H41,June2017!H42,'Mar2017'!H42,'Dec2016'!H41,July2016!H59,'Mar2016'!H40,'Dec2015'!H40,Sept2015!H41),(ABS(MIN(H48,H49,June2017!H41,June2017!H42,'Mar2017'!H42,'Dec2016'!H41,July2016!H59,'Mar2016'!H40,'Dec2015'!H40,Sept2015!H41))))</f>
        <v>4.7697029999999927</v>
      </c>
    </row>
    <row r="52" spans="5:8" x14ac:dyDescent="0.3">
      <c r="E52" t="s">
        <v>475</v>
      </c>
      <c r="F52" s="7">
        <f>MIN(ABS(F48),ABS(F49),ABS(June2017!F41),ABS(June2017!F42),ABS('Mar2017'!F42),ABS('Dec2016'!F41),ABS(July2016!F59),ABS('Mar2016'!F40),ABS('Dec2015'!F40),ABS(Sept2015!F41))</f>
        <v>2.9120000544935465E-3</v>
      </c>
      <c r="G52" s="7">
        <f>MIN(ABS(G48),ABS(G49),ABS(June2017!G41),ABS(June2017!G42),ABS('Mar2017'!G42),ABS('Dec2016'!G41),ABS(July2016!G59),ABS('Mar2016'!G40),ABS('Dec2015'!G40),ABS(Sept2015!G41))</f>
        <v>3.8830004632472992E-3</v>
      </c>
      <c r="H52" s="7">
        <f>MIN(ABS(H48),ABS(H49),ABS(June2017!H41),ABS(June2017!H42),ABS('Mar2017'!H42),ABS('Dec2016'!H41),ABS(July2016!H59),ABS('Mar2016'!H40),ABS('Dec2015'!H40),ABS(Sept2015!H41))</f>
        <v>2.9450000000110776E-3</v>
      </c>
    </row>
    <row r="53" spans="5:8" x14ac:dyDescent="0.3">
      <c r="E53" t="s">
        <v>476</v>
      </c>
      <c r="F53" s="7">
        <f>_xlfn.STDEV.S(ABS(F48),ABS(F49),ABS(June2017!F41),ABS(June2017!F42),ABS('Mar2017'!F42),ABS('Dec2016'!F41),ABS(July2016!F59),ABS('Mar2016'!F40),ABS('Dec2015'!F40),ABS(Sept2015!F41))</f>
        <v>46.884811068305204</v>
      </c>
      <c r="G53" s="7">
        <f>_xlfn.STDEV.S(ABS(G48),ABS(G49),ABS(June2017!G41),ABS(June2017!G42),ABS('Mar2017'!G42),ABS('Dec2016'!G41),ABS(July2016!G59),ABS('Mar2016'!G40),ABS('Dec2015'!G40),ABS(Sept2015!G41))</f>
        <v>12.263330339460447</v>
      </c>
      <c r="H53" s="7">
        <f>_xlfn.STDEV.S(ABS(H48),ABS(H49),ABS(June2017!H41),ABS(June2017!H42),ABS('Mar2017'!H42),ABS('Dec2016'!H41),ABS(July2016!H59),ABS('Mar2016'!H40),ABS('Dec2015'!H40),ABS(Sept2015!H41))</f>
        <v>1.5060319308689578</v>
      </c>
    </row>
    <row r="54" spans="5:8" x14ac:dyDescent="0.3">
      <c r="E54" t="s">
        <v>466</v>
      </c>
      <c r="F54" s="7">
        <f>AVERAGE(ABS(F48),ABS(F49),ABS(June2017!F41),ABS(June2017!F42),ABS('Mar2017'!F42),ABS('Dec2016'!F41),ABS(July2016!F59),ABS('Mar2016'!F40),ABS('Dec2015'!F40),ABS(Sept2015!F41))</f>
        <v>14.837164899986238</v>
      </c>
      <c r="G54" s="7">
        <f>AVERAGE(ABS(G48),ABS(G49),ABS(June2017!G41),ABS(June2017!G42),ABS('Mar2017'!G42),ABS('Dec2016'!G41),ABS(July2016!G59),ABS('Mar2016'!G40),ABS('Dec2015'!G40),ABS(Sept2015!G41))</f>
        <v>3.8875902002677321</v>
      </c>
      <c r="H54" s="7">
        <f>AVERAGE(ABS(H48),ABS(H49),ABS(June2017!H41),ABS(June2017!H42),ABS('Mar2017'!H42),ABS('Dec2016'!H41),ABS(July2016!H59),ABS('Mar2016'!H40),ABS('Dec2015'!H40),ABS(Sept2015!H41))</f>
        <v>0.48346999999999979</v>
      </c>
    </row>
    <row r="56" spans="5:8" x14ac:dyDescent="0.3">
      <c r="F56" s="16"/>
    </row>
    <row r="58" spans="5:8" ht="16.8" x14ac:dyDescent="0.4">
      <c r="F58" s="17"/>
    </row>
  </sheetData>
  <sortState xmlns:xlrd2="http://schemas.microsoft.com/office/spreadsheetml/2017/richdata2" ref="B16:R35">
    <sortCondition ref="C16:C35"/>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B42"/>
  <sheetViews>
    <sheetView topLeftCell="A14" workbookViewId="0">
      <selection activeCell="F39" sqref="F39:H40"/>
    </sheetView>
  </sheetViews>
  <sheetFormatPr defaultRowHeight="14.4" x14ac:dyDescent="0.3"/>
  <cols>
    <col min="6" max="7" width="12.33203125" customWidth="1"/>
  </cols>
  <sheetData>
    <row r="1" spans="1:28" x14ac:dyDescent="0.3">
      <c r="F1" t="s">
        <v>389</v>
      </c>
      <c r="H1" t="s">
        <v>583</v>
      </c>
    </row>
    <row r="2" spans="1:28"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c r="U2" t="s">
        <v>388</v>
      </c>
      <c r="V2" t="s">
        <v>390</v>
      </c>
      <c r="AB2" s="21"/>
    </row>
    <row r="3" spans="1:28" x14ac:dyDescent="0.3">
      <c r="A3" s="5" t="s">
        <v>18</v>
      </c>
      <c r="B3">
        <v>0</v>
      </c>
      <c r="C3" t="s">
        <v>18</v>
      </c>
      <c r="D3" t="s">
        <v>20</v>
      </c>
      <c r="E3" t="s">
        <v>32</v>
      </c>
      <c r="F3">
        <f>U3+0.02</f>
        <v>1843366.02</v>
      </c>
      <c r="G3">
        <v>5597654.9900000002</v>
      </c>
      <c r="H3">
        <f>V3+0.0009</f>
        <v>378.29239999999999</v>
      </c>
      <c r="I3">
        <v>-0.69352899999999995</v>
      </c>
      <c r="J3">
        <v>3.0689860000000002</v>
      </c>
      <c r="K3">
        <v>396.16914200000002</v>
      </c>
      <c r="L3">
        <v>-39.736280999999998</v>
      </c>
      <c r="M3">
        <v>175.83995400000001</v>
      </c>
      <c r="N3">
        <v>396.16918399999997</v>
      </c>
      <c r="O3">
        <v>3.1008999999999998E-2</v>
      </c>
      <c r="P3">
        <v>3.9544000000000003E-2</v>
      </c>
      <c r="Q3" s="1">
        <v>43186</v>
      </c>
      <c r="R3" s="2">
        <v>0.48726851851851855</v>
      </c>
      <c r="U3">
        <v>1843366</v>
      </c>
      <c r="V3">
        <v>378.29149999999998</v>
      </c>
      <c r="Z3" s="7"/>
      <c r="AA3" s="7"/>
      <c r="AB3" s="21"/>
    </row>
    <row r="4" spans="1:28" x14ac:dyDescent="0.3">
      <c r="A4" s="5" t="s">
        <v>23</v>
      </c>
      <c r="Z4" s="7"/>
      <c r="AA4" s="7"/>
      <c r="AB4" s="21"/>
    </row>
    <row r="5" spans="1:28" s="21" customFormat="1" x14ac:dyDescent="0.3">
      <c r="A5" s="5" t="s">
        <v>551</v>
      </c>
      <c r="B5">
        <v>25</v>
      </c>
      <c r="C5" t="s">
        <v>35</v>
      </c>
      <c r="D5" t="s">
        <v>20</v>
      </c>
      <c r="E5" t="s">
        <v>33</v>
      </c>
      <c r="F5">
        <f>U5+0.02</f>
        <v>1844289.2565049999</v>
      </c>
      <c r="G5">
        <v>5596663.7589990003</v>
      </c>
      <c r="H5">
        <f>V5+0.0009+0.144</f>
        <v>432.622007</v>
      </c>
      <c r="I5">
        <v>-0.69367999999999996</v>
      </c>
      <c r="J5">
        <v>3.0691799999999998</v>
      </c>
      <c r="K5">
        <v>450.28716900000001</v>
      </c>
      <c r="L5">
        <v>-39.744937</v>
      </c>
      <c r="M5">
        <v>175.85108299999999</v>
      </c>
      <c r="N5">
        <v>450.28721100000001</v>
      </c>
      <c r="O5">
        <v>1.5958E-2</v>
      </c>
      <c r="P5">
        <v>1.8237E-2</v>
      </c>
      <c r="Q5" s="1">
        <v>43186</v>
      </c>
      <c r="R5" s="2">
        <v>0.65769675925925919</v>
      </c>
      <c r="S5"/>
      <c r="T5"/>
      <c r="U5">
        <v>1844289.2365049999</v>
      </c>
      <c r="V5">
        <v>432.47710699999999</v>
      </c>
      <c r="Z5" s="7"/>
      <c r="AA5" s="7"/>
    </row>
    <row r="6" spans="1:28" x14ac:dyDescent="0.3">
      <c r="A6" s="5">
        <v>1</v>
      </c>
      <c r="B6">
        <v>24</v>
      </c>
      <c r="C6">
        <v>1</v>
      </c>
      <c r="D6" t="s">
        <v>20</v>
      </c>
      <c r="E6" t="s">
        <v>33</v>
      </c>
      <c r="F6">
        <f>U6+0.02</f>
        <v>1844611.252322</v>
      </c>
      <c r="G6">
        <v>5596719.6546430001</v>
      </c>
      <c r="H6" s="21">
        <f t="shared" ref="H6:H35" si="0">V6+0.0009+0.144</f>
        <v>438.91639500000002</v>
      </c>
      <c r="I6">
        <v>-0.69367000000000001</v>
      </c>
      <c r="J6">
        <v>3.0692460000000001</v>
      </c>
      <c r="K6">
        <v>456.60243800000001</v>
      </c>
      <c r="L6">
        <v>-39.744342000000003</v>
      </c>
      <c r="M6">
        <v>175.854816</v>
      </c>
      <c r="N6">
        <v>456.60248100000001</v>
      </c>
      <c r="O6">
        <v>2.1878999999999999E-2</v>
      </c>
      <c r="P6">
        <v>2.7546000000000001E-2</v>
      </c>
      <c r="Q6" s="1">
        <v>43186</v>
      </c>
      <c r="R6" s="2">
        <v>0.65340277777777778</v>
      </c>
      <c r="U6">
        <v>1844611.232322</v>
      </c>
      <c r="V6">
        <v>438.77149500000002</v>
      </c>
      <c r="Y6" s="21"/>
      <c r="Z6" s="7"/>
      <c r="AA6" s="7"/>
      <c r="AB6" s="21"/>
    </row>
    <row r="7" spans="1:28" x14ac:dyDescent="0.3">
      <c r="A7" s="5">
        <v>2</v>
      </c>
      <c r="B7">
        <v>26</v>
      </c>
      <c r="C7">
        <v>2</v>
      </c>
      <c r="D7" t="s">
        <v>20</v>
      </c>
      <c r="E7" t="s">
        <v>33</v>
      </c>
      <c r="F7">
        <f>U7+0.02</f>
        <v>1844327.083837</v>
      </c>
      <c r="G7">
        <v>5596603.2046760004</v>
      </c>
      <c r="H7" s="21">
        <f t="shared" si="0"/>
        <v>430.403682</v>
      </c>
      <c r="I7">
        <v>-0.693689</v>
      </c>
      <c r="J7">
        <v>3.069188</v>
      </c>
      <c r="K7">
        <v>448.06473999999997</v>
      </c>
      <c r="L7">
        <v>-39.745471000000002</v>
      </c>
      <c r="M7">
        <v>175.85154600000001</v>
      </c>
      <c r="N7">
        <v>448.06478199999998</v>
      </c>
      <c r="O7">
        <v>2.3222E-2</v>
      </c>
      <c r="P7">
        <v>2.4791000000000001E-2</v>
      </c>
      <c r="Q7" s="1">
        <v>43186</v>
      </c>
      <c r="R7" s="2">
        <v>0.65986111111111112</v>
      </c>
      <c r="U7">
        <v>1844327.0638369999</v>
      </c>
      <c r="V7">
        <v>430.258782</v>
      </c>
      <c r="X7" s="21"/>
      <c r="Y7" s="21"/>
      <c r="Z7" s="7"/>
      <c r="AA7" s="7"/>
      <c r="AB7" s="21"/>
    </row>
    <row r="8" spans="1:28" x14ac:dyDescent="0.3">
      <c r="A8" s="5">
        <v>3</v>
      </c>
      <c r="H8" s="21"/>
      <c r="X8" s="21"/>
      <c r="Y8" s="21"/>
      <c r="Z8" s="7"/>
      <c r="AA8" s="7"/>
      <c r="AB8" s="21"/>
    </row>
    <row r="9" spans="1:28" x14ac:dyDescent="0.3">
      <c r="A9" s="5">
        <v>4</v>
      </c>
      <c r="B9">
        <v>20</v>
      </c>
      <c r="C9">
        <v>4</v>
      </c>
      <c r="D9" t="s">
        <v>20</v>
      </c>
      <c r="E9" t="s">
        <v>33</v>
      </c>
      <c r="F9">
        <f>U9+0.02</f>
        <v>1844444.4132749999</v>
      </c>
      <c r="G9">
        <v>5596428.9074090002</v>
      </c>
      <c r="H9" s="21">
        <f t="shared" si="0"/>
        <v>421.85439000000002</v>
      </c>
      <c r="I9">
        <v>-0.693716</v>
      </c>
      <c r="J9">
        <v>3.069213</v>
      </c>
      <c r="K9">
        <v>439.50399800000002</v>
      </c>
      <c r="L9">
        <v>-39.747005999999999</v>
      </c>
      <c r="M9">
        <v>175.852979</v>
      </c>
      <c r="N9">
        <v>439.50403999999997</v>
      </c>
      <c r="O9">
        <v>1.7245E-2</v>
      </c>
      <c r="P9">
        <v>2.5156000000000001E-2</v>
      </c>
      <c r="Q9" s="1">
        <v>43186</v>
      </c>
      <c r="R9" s="2">
        <v>0.62936342592592587</v>
      </c>
      <c r="U9">
        <v>1844444.3932749999</v>
      </c>
      <c r="V9">
        <v>421.70949000000002</v>
      </c>
      <c r="X9" s="21"/>
      <c r="Y9" s="21"/>
      <c r="Z9" s="7"/>
      <c r="AA9" s="7"/>
      <c r="AB9" s="21"/>
    </row>
    <row r="10" spans="1:28" x14ac:dyDescent="0.3">
      <c r="A10" s="5">
        <v>5</v>
      </c>
      <c r="B10">
        <v>21</v>
      </c>
      <c r="C10">
        <v>5</v>
      </c>
      <c r="D10" t="s">
        <v>20</v>
      </c>
      <c r="E10" t="s">
        <v>33</v>
      </c>
      <c r="F10">
        <f>U10+0.02</f>
        <v>1844577.6000369999</v>
      </c>
      <c r="G10">
        <v>5596364.46404</v>
      </c>
      <c r="H10" s="21">
        <f t="shared" si="0"/>
        <v>414.60538300000002</v>
      </c>
      <c r="I10">
        <v>-0.69372599999999995</v>
      </c>
      <c r="J10">
        <v>3.0692409999999999</v>
      </c>
      <c r="K10">
        <v>432.25499600000001</v>
      </c>
      <c r="L10">
        <v>-39.747548000000002</v>
      </c>
      <c r="M10">
        <v>175.854555</v>
      </c>
      <c r="N10">
        <v>432.25503900000001</v>
      </c>
      <c r="O10">
        <v>1.7942E-2</v>
      </c>
      <c r="P10">
        <v>2.6324E-2</v>
      </c>
      <c r="Q10" s="1">
        <v>43186</v>
      </c>
      <c r="R10" s="2">
        <v>0.63196759259259261</v>
      </c>
      <c r="U10">
        <v>1844577.5800369999</v>
      </c>
      <c r="V10">
        <v>414.46048300000001</v>
      </c>
      <c r="X10" s="21"/>
      <c r="Y10" s="21"/>
      <c r="Z10" s="7"/>
      <c r="AA10" s="7"/>
      <c r="AB10" s="21"/>
    </row>
    <row r="11" spans="1:28" x14ac:dyDescent="0.3">
      <c r="A11" s="5">
        <v>6</v>
      </c>
      <c r="B11">
        <v>23</v>
      </c>
      <c r="C11">
        <v>6</v>
      </c>
      <c r="D11" t="s">
        <v>20</v>
      </c>
      <c r="E11" t="s">
        <v>33</v>
      </c>
      <c r="F11">
        <f>U11+0.02</f>
        <v>1844789.149771</v>
      </c>
      <c r="G11">
        <v>5596419.8632279998</v>
      </c>
      <c r="H11" s="21">
        <f t="shared" si="0"/>
        <v>421.37347699999998</v>
      </c>
      <c r="I11">
        <v>-0.693716</v>
      </c>
      <c r="J11">
        <v>3.0692840000000001</v>
      </c>
      <c r="K11">
        <v>439.038567</v>
      </c>
      <c r="L11">
        <v>-39.746988999999999</v>
      </c>
      <c r="M11">
        <v>175.857001</v>
      </c>
      <c r="N11">
        <v>439.03860900000001</v>
      </c>
      <c r="O11">
        <v>2.4677000000000001E-2</v>
      </c>
      <c r="P11">
        <v>3.8056E-2</v>
      </c>
      <c r="Q11" s="1">
        <v>43186</v>
      </c>
      <c r="R11" s="2">
        <v>0.64516203703703701</v>
      </c>
      <c r="U11">
        <v>1844789.129771</v>
      </c>
      <c r="V11">
        <v>421.22857699999997</v>
      </c>
      <c r="X11" s="21"/>
      <c r="Y11" s="21"/>
      <c r="Z11" s="7"/>
      <c r="AA11" s="7"/>
      <c r="AB11" s="21"/>
    </row>
    <row r="12" spans="1:28" x14ac:dyDescent="0.3">
      <c r="A12" s="5">
        <v>7</v>
      </c>
      <c r="B12">
        <v>22</v>
      </c>
      <c r="C12">
        <v>7</v>
      </c>
      <c r="D12" t="s">
        <v>20</v>
      </c>
      <c r="E12" t="s">
        <v>33</v>
      </c>
      <c r="F12">
        <f>U12+0.02</f>
        <v>1844897.331548</v>
      </c>
      <c r="G12">
        <v>5596315.4114589998</v>
      </c>
      <c r="H12" s="21">
        <f t="shared" si="0"/>
        <v>399.06452000000002</v>
      </c>
      <c r="I12">
        <v>-0.69373200000000002</v>
      </c>
      <c r="J12">
        <v>3.0693060000000001</v>
      </c>
      <c r="K12">
        <v>416.72445699999997</v>
      </c>
      <c r="L12">
        <v>-39.747897999999999</v>
      </c>
      <c r="M12">
        <v>175.85830100000001</v>
      </c>
      <c r="N12">
        <v>416.72449999999998</v>
      </c>
      <c r="O12">
        <v>2.0285999999999998E-2</v>
      </c>
      <c r="P12">
        <v>2.8152E-2</v>
      </c>
      <c r="Q12" s="1">
        <v>43186</v>
      </c>
      <c r="R12" s="2">
        <v>0.63730324074074074</v>
      </c>
      <c r="U12">
        <v>1844897.311548</v>
      </c>
      <c r="V12">
        <v>398.91962000000001</v>
      </c>
      <c r="X12" s="21"/>
      <c r="Y12" s="21"/>
      <c r="Z12" s="7"/>
      <c r="AA12" s="7"/>
      <c r="AB12" s="21"/>
    </row>
    <row r="13" spans="1:28" x14ac:dyDescent="0.3">
      <c r="A13" s="5">
        <v>8</v>
      </c>
      <c r="B13" s="21"/>
      <c r="C13" s="21"/>
      <c r="D13" s="21"/>
      <c r="E13" s="21"/>
      <c r="F13" s="21"/>
      <c r="G13" s="21"/>
      <c r="H13" s="21"/>
      <c r="I13" s="21"/>
      <c r="J13" s="21"/>
      <c r="K13" s="21"/>
      <c r="L13" s="21"/>
      <c r="M13" s="21"/>
      <c r="N13" s="21"/>
      <c r="O13" s="21"/>
      <c r="P13" s="21"/>
      <c r="Q13" s="1"/>
      <c r="R13" s="2"/>
      <c r="S13" s="21"/>
      <c r="T13" s="21"/>
      <c r="U13" s="21"/>
      <c r="V13" s="21"/>
      <c r="X13" s="21"/>
      <c r="Y13" s="21"/>
      <c r="Z13" s="7"/>
      <c r="AA13" s="7"/>
      <c r="AB13" s="21"/>
    </row>
    <row r="14" spans="1:28" x14ac:dyDescent="0.3">
      <c r="A14" s="5">
        <v>9</v>
      </c>
      <c r="B14">
        <v>18</v>
      </c>
      <c r="C14">
        <v>9</v>
      </c>
      <c r="D14" t="s">
        <v>20</v>
      </c>
      <c r="E14" t="s">
        <v>33</v>
      </c>
      <c r="F14">
        <f t="shared" ref="F14:F20" si="1">U14+0.02</f>
        <v>1844488.3019980001</v>
      </c>
      <c r="G14">
        <v>5596189.7617180003</v>
      </c>
      <c r="H14" s="21">
        <f t="shared" si="0"/>
        <v>400.87438400000002</v>
      </c>
      <c r="I14">
        <v>-0.69375299999999995</v>
      </c>
      <c r="J14">
        <v>3.0692240000000002</v>
      </c>
      <c r="K14">
        <v>418.50266099999999</v>
      </c>
      <c r="L14">
        <v>-39.749146000000003</v>
      </c>
      <c r="M14">
        <v>175.853579</v>
      </c>
      <c r="N14">
        <v>418.50270399999999</v>
      </c>
      <c r="O14">
        <v>1.7968000000000001E-2</v>
      </c>
      <c r="P14">
        <v>2.5201999999999999E-2</v>
      </c>
      <c r="Q14" s="1">
        <v>43186</v>
      </c>
      <c r="R14" s="2">
        <v>0.61949074074074073</v>
      </c>
      <c r="U14">
        <v>1844488.2819980001</v>
      </c>
      <c r="V14">
        <v>400.72948400000001</v>
      </c>
      <c r="X14" s="21"/>
      <c r="Y14" s="21"/>
      <c r="Z14" s="7"/>
      <c r="AA14" s="7"/>
      <c r="AB14" s="21"/>
    </row>
    <row r="15" spans="1:28" x14ac:dyDescent="0.3">
      <c r="A15" s="5">
        <v>10</v>
      </c>
      <c r="B15">
        <v>19</v>
      </c>
      <c r="C15">
        <v>10</v>
      </c>
      <c r="D15" t="s">
        <v>20</v>
      </c>
      <c r="E15" t="s">
        <v>33</v>
      </c>
      <c r="F15">
        <f t="shared" si="1"/>
        <v>1844340.2583930001</v>
      </c>
      <c r="G15">
        <v>5596229.0307569997</v>
      </c>
      <c r="H15" s="21">
        <f t="shared" si="0"/>
        <v>405.86023599999999</v>
      </c>
      <c r="I15">
        <v>-0.69374800000000003</v>
      </c>
      <c r="J15">
        <v>3.069194</v>
      </c>
      <c r="K15">
        <v>423.48537499999998</v>
      </c>
      <c r="L15">
        <v>-39.748835</v>
      </c>
      <c r="M15">
        <v>175.85183900000001</v>
      </c>
      <c r="N15">
        <v>423.48541799999998</v>
      </c>
      <c r="O15">
        <v>1.7176E-2</v>
      </c>
      <c r="P15">
        <v>2.4521999999999999E-2</v>
      </c>
      <c r="Q15" s="1">
        <v>43186</v>
      </c>
      <c r="R15" s="2">
        <v>0.6234143518518519</v>
      </c>
      <c r="U15">
        <v>1844340.2383930001</v>
      </c>
      <c r="V15">
        <v>405.71533599999998</v>
      </c>
      <c r="X15" s="21"/>
      <c r="Y15" s="21"/>
      <c r="Z15" s="7"/>
      <c r="AA15" s="7"/>
      <c r="AB15" s="21"/>
    </row>
    <row r="16" spans="1:28" x14ac:dyDescent="0.3">
      <c r="A16" s="5">
        <v>11</v>
      </c>
      <c r="B16">
        <v>15</v>
      </c>
      <c r="C16">
        <v>11</v>
      </c>
      <c r="D16" t="s">
        <v>20</v>
      </c>
      <c r="E16" t="s">
        <v>33</v>
      </c>
      <c r="F16">
        <f t="shared" si="1"/>
        <v>1844394.98704</v>
      </c>
      <c r="G16">
        <v>5596016.954957</v>
      </c>
      <c r="H16" s="21">
        <f t="shared" si="0"/>
        <v>389.94157799999999</v>
      </c>
      <c r="I16">
        <v>-0.69378099999999998</v>
      </c>
      <c r="J16">
        <v>3.0692059999999999</v>
      </c>
      <c r="K16">
        <v>407.54893700000002</v>
      </c>
      <c r="L16">
        <v>-39.750728000000002</v>
      </c>
      <c r="M16">
        <v>175.85255599999999</v>
      </c>
      <c r="N16">
        <v>407.54897999999997</v>
      </c>
      <c r="O16">
        <v>4.0751000000000002E-2</v>
      </c>
      <c r="P16">
        <v>5.6152000000000001E-2</v>
      </c>
      <c r="Q16" s="1">
        <v>43186</v>
      </c>
      <c r="R16" s="2">
        <v>0.59520833333333334</v>
      </c>
      <c r="U16">
        <v>1844394.96704</v>
      </c>
      <c r="V16">
        <v>389.79667799999999</v>
      </c>
      <c r="X16" s="21"/>
      <c r="Y16" s="21"/>
      <c r="Z16" s="7"/>
      <c r="AA16" s="7"/>
      <c r="AB16" s="21"/>
    </row>
    <row r="17" spans="1:28" x14ac:dyDescent="0.3">
      <c r="A17" s="5">
        <v>12</v>
      </c>
      <c r="B17">
        <v>16</v>
      </c>
      <c r="C17">
        <v>12</v>
      </c>
      <c r="D17" t="s">
        <v>20</v>
      </c>
      <c r="E17" t="s">
        <v>33</v>
      </c>
      <c r="F17">
        <f t="shared" si="1"/>
        <v>1844569.7025369999</v>
      </c>
      <c r="G17">
        <v>5596017.3159969999</v>
      </c>
      <c r="H17" s="21">
        <f t="shared" si="0"/>
        <v>397.80096400000002</v>
      </c>
      <c r="I17">
        <v>-0.69377999999999995</v>
      </c>
      <c r="J17">
        <v>3.069242</v>
      </c>
      <c r="K17">
        <v>415.41657300000003</v>
      </c>
      <c r="L17">
        <v>-39.750673999999997</v>
      </c>
      <c r="M17">
        <v>175.854592</v>
      </c>
      <c r="N17">
        <v>415.41661599999998</v>
      </c>
      <c r="O17">
        <v>3.1902E-2</v>
      </c>
      <c r="P17">
        <v>4.0273000000000003E-2</v>
      </c>
      <c r="Q17" s="1">
        <v>43186</v>
      </c>
      <c r="R17" s="2">
        <v>0.60030092592592588</v>
      </c>
      <c r="U17">
        <v>1844569.6825369999</v>
      </c>
      <c r="V17">
        <v>397.65606400000001</v>
      </c>
      <c r="Z17" s="7"/>
      <c r="AA17" s="7"/>
      <c r="AB17" s="21"/>
    </row>
    <row r="18" spans="1:28" x14ac:dyDescent="0.3">
      <c r="A18" s="5">
        <v>13</v>
      </c>
      <c r="B18">
        <v>17</v>
      </c>
      <c r="C18">
        <v>13</v>
      </c>
      <c r="D18" t="s">
        <v>20</v>
      </c>
      <c r="E18" t="s">
        <v>33</v>
      </c>
      <c r="F18">
        <f t="shared" si="1"/>
        <v>1844675.942233</v>
      </c>
      <c r="G18">
        <v>5595952.7010009997</v>
      </c>
      <c r="H18" s="21">
        <f t="shared" si="0"/>
        <v>392.16441100000003</v>
      </c>
      <c r="I18">
        <v>-0.69379000000000002</v>
      </c>
      <c r="J18">
        <v>3.069264</v>
      </c>
      <c r="K18">
        <v>409.77904899999999</v>
      </c>
      <c r="L18">
        <v>-39.751224999999998</v>
      </c>
      <c r="M18">
        <v>175.85585499999999</v>
      </c>
      <c r="N18">
        <v>409.77909199999999</v>
      </c>
      <c r="O18">
        <v>1.9778E-2</v>
      </c>
      <c r="P18">
        <v>2.6962E-2</v>
      </c>
      <c r="Q18" s="1">
        <v>43186</v>
      </c>
      <c r="R18" s="2">
        <v>0.60834490740740743</v>
      </c>
      <c r="U18">
        <v>1844675.9222329999</v>
      </c>
      <c r="V18">
        <v>392.01951100000002</v>
      </c>
      <c r="Z18" s="7"/>
      <c r="AA18" s="7"/>
      <c r="AB18" s="21"/>
    </row>
    <row r="19" spans="1:28" x14ac:dyDescent="0.3">
      <c r="A19" s="5">
        <v>14</v>
      </c>
      <c r="B19">
        <v>14</v>
      </c>
      <c r="C19">
        <v>14</v>
      </c>
      <c r="D19" t="s">
        <v>20</v>
      </c>
      <c r="E19" t="s">
        <v>33</v>
      </c>
      <c r="F19">
        <f t="shared" si="1"/>
        <v>1844386.2664620001</v>
      </c>
      <c r="G19">
        <v>5595877.5721530002</v>
      </c>
      <c r="H19" s="21">
        <f t="shared" si="0"/>
        <v>381.96534200000002</v>
      </c>
      <c r="I19">
        <v>-0.69380299999999995</v>
      </c>
      <c r="J19">
        <v>3.0692050000000002</v>
      </c>
      <c r="K19">
        <v>399.55930899999998</v>
      </c>
      <c r="L19">
        <v>-39.751984</v>
      </c>
      <c r="M19">
        <v>175.85250600000001</v>
      </c>
      <c r="N19">
        <v>399.55935099999999</v>
      </c>
      <c r="O19">
        <v>1.5013E-2</v>
      </c>
      <c r="P19">
        <v>1.9665999999999999E-2</v>
      </c>
      <c r="Q19" s="1">
        <v>43186</v>
      </c>
      <c r="R19" s="2">
        <v>0.5896527777777778</v>
      </c>
      <c r="U19">
        <v>1844386.2464620001</v>
      </c>
      <c r="V19">
        <v>381.82044200000001</v>
      </c>
      <c r="Z19" s="7"/>
      <c r="AA19" s="7"/>
      <c r="AB19" s="21"/>
    </row>
    <row r="20" spans="1:28" x14ac:dyDescent="0.3">
      <c r="A20" s="5">
        <v>15</v>
      </c>
      <c r="B20">
        <v>27</v>
      </c>
      <c r="C20">
        <v>15</v>
      </c>
      <c r="D20" t="s">
        <v>20</v>
      </c>
      <c r="E20" t="s">
        <v>33</v>
      </c>
      <c r="F20">
        <f t="shared" si="1"/>
        <v>1844189.960832</v>
      </c>
      <c r="G20">
        <v>5596021.3280229997</v>
      </c>
      <c r="H20" s="21">
        <f t="shared" si="0"/>
        <v>395.93418800000001</v>
      </c>
      <c r="I20">
        <v>-0.69378099999999998</v>
      </c>
      <c r="J20">
        <v>3.0691639999999998</v>
      </c>
      <c r="K20">
        <v>413.532307</v>
      </c>
      <c r="L20">
        <v>-39.750746999999997</v>
      </c>
      <c r="M20">
        <v>175.85016400000001</v>
      </c>
      <c r="N20">
        <v>413.53235000000001</v>
      </c>
      <c r="O20">
        <v>1.6750000000000001E-2</v>
      </c>
      <c r="P20">
        <v>1.6590000000000001E-2</v>
      </c>
      <c r="Q20" s="1">
        <v>43186</v>
      </c>
      <c r="R20" s="2">
        <v>0.66340277777777779</v>
      </c>
      <c r="U20">
        <v>1844189.940832</v>
      </c>
      <c r="V20">
        <v>395.789288</v>
      </c>
      <c r="Z20" s="7"/>
      <c r="AA20" s="7"/>
      <c r="AB20" s="21"/>
    </row>
    <row r="21" spans="1:28" x14ac:dyDescent="0.3">
      <c r="A21" s="5">
        <v>16</v>
      </c>
      <c r="B21" s="21"/>
      <c r="C21" s="21"/>
      <c r="D21" s="21"/>
      <c r="E21" s="21"/>
      <c r="F21" s="21"/>
      <c r="G21" s="21"/>
      <c r="H21" s="21"/>
      <c r="I21" s="21"/>
      <c r="J21" s="21"/>
      <c r="K21" s="21"/>
      <c r="L21" s="21"/>
      <c r="M21" s="21"/>
      <c r="N21" s="21"/>
      <c r="O21" s="21"/>
      <c r="P21" s="21"/>
      <c r="Q21" s="1"/>
      <c r="R21" s="2"/>
      <c r="S21" s="21"/>
      <c r="T21" s="21"/>
      <c r="U21" s="21"/>
      <c r="V21" s="21"/>
      <c r="Z21" s="7"/>
      <c r="AA21" s="7"/>
      <c r="AB21" s="21"/>
    </row>
    <row r="22" spans="1:28" x14ac:dyDescent="0.3">
      <c r="A22" s="5">
        <v>17</v>
      </c>
      <c r="B22">
        <v>13</v>
      </c>
      <c r="C22">
        <v>17</v>
      </c>
      <c r="D22" t="s">
        <v>20</v>
      </c>
      <c r="E22" t="s">
        <v>33</v>
      </c>
      <c r="F22">
        <f t="shared" ref="F22:F32" si="2">U22+0.02</f>
        <v>1844523.0460079999</v>
      </c>
      <c r="G22">
        <v>5595816.1480019996</v>
      </c>
      <c r="H22" s="21">
        <f t="shared" si="0"/>
        <v>367.943378</v>
      </c>
      <c r="I22">
        <v>-0.69381199999999998</v>
      </c>
      <c r="J22">
        <v>3.0692330000000001</v>
      </c>
      <c r="K22">
        <v>385.53813700000001</v>
      </c>
      <c r="L22">
        <v>-39.752498000000003</v>
      </c>
      <c r="M22">
        <v>175.85412299999999</v>
      </c>
      <c r="N22">
        <v>385.53818000000001</v>
      </c>
      <c r="O22">
        <v>2.3484000000000001E-2</v>
      </c>
      <c r="P22">
        <v>3.1791E-2</v>
      </c>
      <c r="Q22" s="1">
        <v>43186</v>
      </c>
      <c r="R22" s="2">
        <v>0.58233796296296292</v>
      </c>
      <c r="U22">
        <v>1844523.0260079999</v>
      </c>
      <c r="V22">
        <v>367.79847799999999</v>
      </c>
      <c r="Z22" s="7"/>
      <c r="AA22" s="7"/>
      <c r="AB22" s="21"/>
    </row>
    <row r="23" spans="1:28" x14ac:dyDescent="0.3">
      <c r="A23" s="5">
        <v>18</v>
      </c>
      <c r="B23">
        <v>12</v>
      </c>
      <c r="C23">
        <v>18</v>
      </c>
      <c r="D23" t="s">
        <v>20</v>
      </c>
      <c r="E23" t="s">
        <v>33</v>
      </c>
      <c r="F23">
        <f t="shared" si="2"/>
        <v>1844707.7045750001</v>
      </c>
      <c r="G23">
        <v>5595725.6821790002</v>
      </c>
      <c r="H23" s="21">
        <f t="shared" si="0"/>
        <v>375.834701</v>
      </c>
      <c r="I23">
        <v>-0.69382500000000003</v>
      </c>
      <c r="J23">
        <v>3.0692719999999998</v>
      </c>
      <c r="K23">
        <v>393.42990700000001</v>
      </c>
      <c r="L23">
        <v>-39.753259</v>
      </c>
      <c r="M23">
        <v>175.85631000000001</v>
      </c>
      <c r="N23">
        <v>393.42995000000002</v>
      </c>
      <c r="O23">
        <v>2.7137999999999999E-2</v>
      </c>
      <c r="P23">
        <v>3.5839000000000003E-2</v>
      </c>
      <c r="Q23" s="1">
        <v>43186</v>
      </c>
      <c r="R23" s="2">
        <v>0.57687500000000003</v>
      </c>
      <c r="U23">
        <v>1844707.6845750001</v>
      </c>
      <c r="V23">
        <v>375.68980099999999</v>
      </c>
      <c r="Z23" s="7"/>
      <c r="AA23" s="7"/>
      <c r="AB23" s="21"/>
    </row>
    <row r="24" spans="1:28" x14ac:dyDescent="0.3">
      <c r="A24" s="5">
        <v>19</v>
      </c>
      <c r="B24">
        <v>11</v>
      </c>
      <c r="C24">
        <v>19</v>
      </c>
      <c r="D24" t="s">
        <v>20</v>
      </c>
      <c r="E24" t="s">
        <v>33</v>
      </c>
      <c r="F24">
        <f t="shared" si="2"/>
        <v>1844644.2037180001</v>
      </c>
      <c r="G24">
        <v>5595687.033667</v>
      </c>
      <c r="H24" s="21">
        <f t="shared" si="0"/>
        <v>358.79730499999999</v>
      </c>
      <c r="I24">
        <v>-0.693832</v>
      </c>
      <c r="J24">
        <v>3.0692590000000002</v>
      </c>
      <c r="K24">
        <v>376.38590399999998</v>
      </c>
      <c r="L24">
        <v>-39.753625</v>
      </c>
      <c r="M24">
        <v>175.85558399999999</v>
      </c>
      <c r="N24">
        <v>376.38594699999999</v>
      </c>
      <c r="O24">
        <v>3.1085000000000002E-2</v>
      </c>
      <c r="P24">
        <v>4.2615E-2</v>
      </c>
      <c r="Q24" s="1">
        <v>43186</v>
      </c>
      <c r="R24" s="2">
        <v>0.57409722222222226</v>
      </c>
      <c r="U24">
        <v>1844644.1837180001</v>
      </c>
      <c r="V24">
        <v>358.65240499999999</v>
      </c>
      <c r="Z24" s="7"/>
      <c r="AA24" s="7"/>
      <c r="AB24" s="21"/>
    </row>
    <row r="25" spans="1:28" x14ac:dyDescent="0.3">
      <c r="A25" s="5">
        <v>20</v>
      </c>
      <c r="B25">
        <v>9</v>
      </c>
      <c r="C25">
        <v>20</v>
      </c>
      <c r="D25" t="s">
        <v>20</v>
      </c>
      <c r="E25" t="s">
        <v>33</v>
      </c>
      <c r="F25">
        <f t="shared" si="2"/>
        <v>1844629.416829</v>
      </c>
      <c r="G25">
        <v>5595612.5639279997</v>
      </c>
      <c r="H25" s="21">
        <f t="shared" si="0"/>
        <v>333.04435100000001</v>
      </c>
      <c r="I25">
        <v>-0.69384299999999999</v>
      </c>
      <c r="J25">
        <v>3.0692560000000002</v>
      </c>
      <c r="K25">
        <v>350.625362</v>
      </c>
      <c r="L25">
        <v>-39.754299000000003</v>
      </c>
      <c r="M25">
        <v>175.85543899999999</v>
      </c>
      <c r="N25">
        <v>350.625405</v>
      </c>
      <c r="O25">
        <v>2.1902999999999999E-2</v>
      </c>
      <c r="P25">
        <v>2.8452999999999999E-2</v>
      </c>
      <c r="Q25" s="1">
        <v>43186</v>
      </c>
      <c r="R25" s="2">
        <v>0.54655092592592591</v>
      </c>
      <c r="U25">
        <v>1844629.396829</v>
      </c>
      <c r="V25">
        <v>332.899451</v>
      </c>
      <c r="Z25" s="7"/>
      <c r="AA25" s="7"/>
      <c r="AB25" s="21"/>
    </row>
    <row r="26" spans="1:28" x14ac:dyDescent="0.3">
      <c r="A26" s="5">
        <v>21</v>
      </c>
      <c r="B26">
        <v>3</v>
      </c>
      <c r="C26">
        <v>21</v>
      </c>
      <c r="D26" t="s">
        <v>20</v>
      </c>
      <c r="E26" t="s">
        <v>33</v>
      </c>
      <c r="F26">
        <f t="shared" si="2"/>
        <v>1844489.1184769999</v>
      </c>
      <c r="G26">
        <v>5595548.6061859997</v>
      </c>
      <c r="H26" s="21">
        <f t="shared" si="0"/>
        <v>310.28679099999999</v>
      </c>
      <c r="I26">
        <v>-0.69385399999999997</v>
      </c>
      <c r="J26">
        <v>3.0692279999999998</v>
      </c>
      <c r="K26">
        <v>327.85510799999997</v>
      </c>
      <c r="L26">
        <v>-39.754914999999997</v>
      </c>
      <c r="M26">
        <v>175.853827</v>
      </c>
      <c r="N26">
        <v>327.85515099999998</v>
      </c>
      <c r="O26">
        <v>1.9095000000000001E-2</v>
      </c>
      <c r="P26">
        <v>2.9610999999999998E-2</v>
      </c>
      <c r="Q26" s="1">
        <v>43186</v>
      </c>
      <c r="R26" s="2">
        <v>0.50031250000000005</v>
      </c>
      <c r="U26">
        <v>1844489.0984769999</v>
      </c>
      <c r="V26">
        <v>310.14189099999999</v>
      </c>
      <c r="Z26" s="7"/>
      <c r="AA26" s="7"/>
      <c r="AB26" s="21"/>
    </row>
    <row r="27" spans="1:28" x14ac:dyDescent="0.3">
      <c r="A27" s="5">
        <v>22</v>
      </c>
      <c r="B27">
        <v>2</v>
      </c>
      <c r="C27">
        <v>22</v>
      </c>
      <c r="D27" t="s">
        <v>20</v>
      </c>
      <c r="E27" t="s">
        <v>33</v>
      </c>
      <c r="F27">
        <f t="shared" si="2"/>
        <v>1844466.2812699999</v>
      </c>
      <c r="G27">
        <v>5595443.1821339997</v>
      </c>
      <c r="H27" s="21">
        <f t="shared" si="0"/>
        <v>301.06923899999998</v>
      </c>
      <c r="I27">
        <v>-0.69387100000000002</v>
      </c>
      <c r="J27">
        <v>3.0692240000000002</v>
      </c>
      <c r="K27">
        <v>318.626665</v>
      </c>
      <c r="L27">
        <v>-39.755870000000002</v>
      </c>
      <c r="M27">
        <v>175.8536</v>
      </c>
      <c r="N27">
        <v>318.62670800000001</v>
      </c>
      <c r="O27">
        <v>1.7226999999999999E-2</v>
      </c>
      <c r="P27">
        <v>2.3015000000000001E-2</v>
      </c>
      <c r="Q27" s="1">
        <v>43186</v>
      </c>
      <c r="R27" s="2">
        <v>0.49581018518518521</v>
      </c>
      <c r="U27">
        <v>1844466.2612699999</v>
      </c>
      <c r="V27">
        <v>300.92433899999997</v>
      </c>
      <c r="Z27" s="7"/>
      <c r="AA27" s="7"/>
      <c r="AB27" s="21"/>
    </row>
    <row r="28" spans="1:28" x14ac:dyDescent="0.3">
      <c r="A28" s="5">
        <v>23</v>
      </c>
      <c r="B28">
        <v>1</v>
      </c>
      <c r="C28">
        <v>23</v>
      </c>
      <c r="D28" t="s">
        <v>20</v>
      </c>
      <c r="E28" t="s">
        <v>33</v>
      </c>
      <c r="F28">
        <f t="shared" si="2"/>
        <v>1844378.802374</v>
      </c>
      <c r="G28">
        <v>5595386.2275719997</v>
      </c>
      <c r="H28" s="21">
        <f t="shared" si="0"/>
        <v>310.70472999999998</v>
      </c>
      <c r="I28">
        <v>-0.69388000000000005</v>
      </c>
      <c r="J28">
        <v>3.069207</v>
      </c>
      <c r="K28">
        <v>328.25259699999998</v>
      </c>
      <c r="L28">
        <v>-39.756408</v>
      </c>
      <c r="M28">
        <v>175.85260099999999</v>
      </c>
      <c r="N28">
        <v>328.25263999999999</v>
      </c>
      <c r="O28">
        <v>3.1008999999999998E-2</v>
      </c>
      <c r="P28">
        <v>3.9544000000000003E-2</v>
      </c>
      <c r="Q28" s="1">
        <v>43186</v>
      </c>
      <c r="R28" s="2">
        <v>0.48726851851851855</v>
      </c>
      <c r="U28">
        <v>1844378.7823739999</v>
      </c>
      <c r="V28">
        <v>310.55982999999998</v>
      </c>
      <c r="Z28" s="7"/>
      <c r="AA28" s="7"/>
      <c r="AB28" s="21"/>
    </row>
    <row r="29" spans="1:28" x14ac:dyDescent="0.3">
      <c r="A29" s="5">
        <v>24</v>
      </c>
      <c r="B29">
        <v>7</v>
      </c>
      <c r="C29" t="s">
        <v>34</v>
      </c>
      <c r="D29" t="s">
        <v>20</v>
      </c>
      <c r="E29" t="s">
        <v>33</v>
      </c>
      <c r="F29">
        <f t="shared" si="2"/>
        <v>1844364.6339789999</v>
      </c>
      <c r="G29">
        <v>5595614.1814200003</v>
      </c>
      <c r="H29" s="21">
        <f t="shared" si="0"/>
        <v>327.00278600000001</v>
      </c>
      <c r="I29">
        <v>-0.69384400000000002</v>
      </c>
      <c r="J29">
        <v>3.0692029999999999</v>
      </c>
      <c r="K29">
        <v>344.57118700000001</v>
      </c>
      <c r="L29">
        <v>-39.754361000000003</v>
      </c>
      <c r="M29">
        <v>175.852351</v>
      </c>
      <c r="N29">
        <v>344.57123000000001</v>
      </c>
      <c r="O29">
        <v>3.9793000000000002E-2</v>
      </c>
      <c r="P29">
        <v>4.5740999999999997E-2</v>
      </c>
      <c r="Q29" s="1">
        <v>43186</v>
      </c>
      <c r="R29" s="2">
        <v>0.5259490740740741</v>
      </c>
      <c r="U29">
        <v>1844364.6139789999</v>
      </c>
      <c r="V29">
        <v>326.85788600000001</v>
      </c>
      <c r="Z29" s="7"/>
      <c r="AA29" s="7"/>
      <c r="AB29" s="21"/>
    </row>
    <row r="30" spans="1:28" x14ac:dyDescent="0.3">
      <c r="A30" s="5">
        <v>25</v>
      </c>
      <c r="B30">
        <v>5</v>
      </c>
      <c r="C30">
        <v>25</v>
      </c>
      <c r="D30" t="s">
        <v>20</v>
      </c>
      <c r="E30" t="s">
        <v>33</v>
      </c>
      <c r="F30">
        <f t="shared" si="2"/>
        <v>1844344.054861</v>
      </c>
      <c r="G30">
        <v>5595524.1049920004</v>
      </c>
      <c r="H30" s="21">
        <f t="shared" si="0"/>
        <v>316.070381</v>
      </c>
      <c r="I30">
        <v>-0.693859</v>
      </c>
      <c r="J30">
        <v>3.0691989999999998</v>
      </c>
      <c r="K30">
        <v>333.62939599999999</v>
      </c>
      <c r="L30">
        <v>-39.755177000000003</v>
      </c>
      <c r="M30">
        <v>175.85214500000001</v>
      </c>
      <c r="N30">
        <v>333.62943899999999</v>
      </c>
      <c r="O30">
        <v>2.4553999999999999E-2</v>
      </c>
      <c r="P30">
        <v>3.4440999999999999E-2</v>
      </c>
      <c r="Q30" s="1">
        <v>43186</v>
      </c>
      <c r="R30" s="2">
        <v>0.51928240740740739</v>
      </c>
      <c r="U30">
        <v>1844344.034861</v>
      </c>
      <c r="V30">
        <v>315.92548099999999</v>
      </c>
      <c r="Z30" s="7"/>
      <c r="AA30" s="7"/>
      <c r="AB30" s="21"/>
    </row>
    <row r="31" spans="1:28" x14ac:dyDescent="0.3">
      <c r="A31" s="5">
        <v>26</v>
      </c>
      <c r="B31">
        <v>6</v>
      </c>
      <c r="C31">
        <v>26</v>
      </c>
      <c r="D31" t="s">
        <v>20</v>
      </c>
      <c r="E31" t="s">
        <v>33</v>
      </c>
      <c r="F31">
        <f t="shared" si="2"/>
        <v>1844303.1300550001</v>
      </c>
      <c r="G31">
        <v>5595520.1450549997</v>
      </c>
      <c r="H31" s="21">
        <f t="shared" si="0"/>
        <v>314.54863499999999</v>
      </c>
      <c r="I31">
        <v>-0.69386000000000003</v>
      </c>
      <c r="J31">
        <v>3.069191</v>
      </c>
      <c r="K31">
        <v>332.10529700000001</v>
      </c>
      <c r="L31">
        <v>-39.755225000000003</v>
      </c>
      <c r="M31">
        <v>175.85166899999999</v>
      </c>
      <c r="N31">
        <v>332.10534000000001</v>
      </c>
      <c r="O31">
        <v>2.3488999999999999E-2</v>
      </c>
      <c r="P31">
        <v>3.1149E-2</v>
      </c>
      <c r="Q31" s="1">
        <v>43186</v>
      </c>
      <c r="R31" s="2">
        <v>0.52236111111111116</v>
      </c>
      <c r="U31">
        <v>1844303.1100550001</v>
      </c>
      <c r="V31">
        <v>314.40373499999998</v>
      </c>
      <c r="Z31" s="7"/>
      <c r="AA31" s="7"/>
      <c r="AB31" s="21"/>
    </row>
    <row r="32" spans="1:28" x14ac:dyDescent="0.3">
      <c r="A32" s="5">
        <v>27</v>
      </c>
      <c r="B32">
        <v>28</v>
      </c>
      <c r="C32">
        <v>27</v>
      </c>
      <c r="D32" t="s">
        <v>20</v>
      </c>
      <c r="E32" t="s">
        <v>33</v>
      </c>
      <c r="F32">
        <f t="shared" si="2"/>
        <v>1844185.1223240001</v>
      </c>
      <c r="G32">
        <v>5595587.5669839997</v>
      </c>
      <c r="H32" s="21">
        <f t="shared" si="0"/>
        <v>355.910685</v>
      </c>
      <c r="I32">
        <v>-0.69384999999999997</v>
      </c>
      <c r="J32">
        <v>3.0691660000000001</v>
      </c>
      <c r="K32">
        <v>373.46793700000001</v>
      </c>
      <c r="L32">
        <v>-39.754652</v>
      </c>
      <c r="M32">
        <v>175.850268</v>
      </c>
      <c r="N32">
        <v>373.46798000000001</v>
      </c>
      <c r="O32">
        <v>1.6924999999999999E-2</v>
      </c>
      <c r="P32">
        <v>1.5311E-2</v>
      </c>
      <c r="Q32" s="1">
        <v>43186</v>
      </c>
      <c r="R32" s="2">
        <v>0.67228009259259258</v>
      </c>
      <c r="U32">
        <v>1844185.1023240001</v>
      </c>
      <c r="V32">
        <v>355.76578499999999</v>
      </c>
      <c r="Z32" s="7"/>
      <c r="AA32" s="7"/>
      <c r="AB32" s="21"/>
    </row>
    <row r="33" spans="1:28" x14ac:dyDescent="0.3">
      <c r="A33" s="5">
        <v>28</v>
      </c>
      <c r="B33" s="21"/>
      <c r="C33" s="21"/>
      <c r="D33" s="21"/>
      <c r="E33" s="21"/>
      <c r="F33" s="21"/>
      <c r="G33" s="21"/>
      <c r="H33" s="21"/>
      <c r="I33" s="21"/>
      <c r="J33" s="21"/>
      <c r="K33" s="21"/>
      <c r="L33" s="21"/>
      <c r="M33" s="21"/>
      <c r="N33" s="21"/>
      <c r="O33" s="21"/>
      <c r="P33" s="21"/>
      <c r="Q33" s="1"/>
      <c r="R33" s="2"/>
      <c r="S33" s="21"/>
      <c r="T33" s="21"/>
      <c r="U33" s="21"/>
      <c r="V33" s="21"/>
      <c r="Z33" s="7"/>
      <c r="AA33" s="7"/>
      <c r="AB33" s="21"/>
    </row>
    <row r="34" spans="1:28" x14ac:dyDescent="0.3">
      <c r="A34" s="5">
        <v>29</v>
      </c>
      <c r="B34">
        <v>8</v>
      </c>
      <c r="C34">
        <v>29</v>
      </c>
      <c r="D34" t="s">
        <v>20</v>
      </c>
      <c r="E34" t="s">
        <v>33</v>
      </c>
      <c r="F34">
        <f>U34+0.02</f>
        <v>1844374.2659519999</v>
      </c>
      <c r="G34">
        <v>5595695.66995</v>
      </c>
      <c r="H34" s="21">
        <f t="shared" si="0"/>
        <v>335.163566</v>
      </c>
      <c r="I34">
        <v>-0.693832</v>
      </c>
      <c r="J34">
        <v>3.069204</v>
      </c>
      <c r="K34">
        <v>352.74002000000002</v>
      </c>
      <c r="L34">
        <v>-39.753625</v>
      </c>
      <c r="M34">
        <v>175.85243299999999</v>
      </c>
      <c r="N34">
        <v>352.74006300000002</v>
      </c>
      <c r="O34">
        <v>2.9763999999999999E-2</v>
      </c>
      <c r="P34">
        <v>3.9052999999999997E-2</v>
      </c>
      <c r="Q34" s="1">
        <v>43186</v>
      </c>
      <c r="R34" s="2">
        <v>0.5392824074074074</v>
      </c>
      <c r="U34">
        <v>1844374.2459519999</v>
      </c>
      <c r="V34">
        <v>335.018666</v>
      </c>
      <c r="Z34" s="7"/>
      <c r="AA34" s="7"/>
      <c r="AB34" s="21"/>
    </row>
    <row r="35" spans="1:28" x14ac:dyDescent="0.3">
      <c r="A35" s="5" t="s">
        <v>26</v>
      </c>
      <c r="B35">
        <v>10</v>
      </c>
      <c r="C35" t="s">
        <v>26</v>
      </c>
      <c r="D35" t="s">
        <v>20</v>
      </c>
      <c r="E35" t="s">
        <v>26</v>
      </c>
      <c r="F35">
        <f>U35+0.02</f>
        <v>1844715.2428939999</v>
      </c>
      <c r="G35">
        <v>5595570.992695</v>
      </c>
      <c r="H35" s="21">
        <f t="shared" si="0"/>
        <v>340.41088000000002</v>
      </c>
      <c r="I35">
        <v>-0.69384999999999997</v>
      </c>
      <c r="J35">
        <v>3.0692740000000001</v>
      </c>
      <c r="K35">
        <v>357.99219399999998</v>
      </c>
      <c r="L35">
        <v>-39.754649000000001</v>
      </c>
      <c r="M35">
        <v>175.85645500000001</v>
      </c>
      <c r="N35">
        <v>357.99223599999999</v>
      </c>
      <c r="O35">
        <v>3.4152000000000002E-2</v>
      </c>
      <c r="P35">
        <v>5.7799999999999997E-2</v>
      </c>
      <c r="Q35" s="1">
        <v>43186</v>
      </c>
      <c r="R35" s="2">
        <v>0.55171296296296302</v>
      </c>
      <c r="U35">
        <v>1844715.2228939999</v>
      </c>
      <c r="V35">
        <v>340.26598000000001</v>
      </c>
      <c r="Z35" s="7"/>
      <c r="AA35" s="7"/>
      <c r="AB35" s="21"/>
    </row>
    <row r="36" spans="1:28" x14ac:dyDescent="0.3">
      <c r="A36" s="5"/>
    </row>
    <row r="39" spans="1:28" x14ac:dyDescent="0.3">
      <c r="F39" s="21"/>
      <c r="G39" s="21"/>
      <c r="H39" s="21"/>
    </row>
    <row r="40" spans="1:28" x14ac:dyDescent="0.3">
      <c r="G40" s="21"/>
      <c r="H40" s="21"/>
      <c r="O40">
        <f>MAX(O1:O36)</f>
        <v>4.0751000000000002E-2</v>
      </c>
      <c r="P40">
        <f>MAX(P1:P36)</f>
        <v>5.7799999999999997E-2</v>
      </c>
    </row>
    <row r="41" spans="1:28" x14ac:dyDescent="0.3">
      <c r="O41">
        <f>AVERAGE(O1:O36)</f>
        <v>2.3970499999999995E-2</v>
      </c>
      <c r="P41">
        <f>AVERAGE(P1:P36)</f>
        <v>3.1840571428571419E-2</v>
      </c>
    </row>
    <row r="42" spans="1:28" x14ac:dyDescent="0.3">
      <c r="O42">
        <f>_xlfn.STDEV.S(O1:O36)</f>
        <v>7.2334110466895675E-3</v>
      </c>
      <c r="P42">
        <f>_xlfn.STDEV.S(P1:P36)</f>
        <v>1.0697240206321743E-2</v>
      </c>
    </row>
  </sheetData>
  <sortState xmlns:xlrd2="http://schemas.microsoft.com/office/spreadsheetml/2017/richdata2" ref="B6:V37">
    <sortCondition ref="C6:C3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U78"/>
  <sheetViews>
    <sheetView topLeftCell="A10" workbookViewId="0">
      <selection activeCell="F40" sqref="F40:H40"/>
    </sheetView>
  </sheetViews>
  <sheetFormatPr defaultRowHeight="14.4" x14ac:dyDescent="0.3"/>
  <cols>
    <col min="3" max="3" width="11.6640625" customWidth="1"/>
    <col min="4" max="5" width="11.6640625" style="21" customWidth="1"/>
    <col min="6" max="6" width="10.44140625" customWidth="1"/>
    <col min="7" max="7" width="15" customWidth="1"/>
  </cols>
  <sheetData>
    <row r="2" spans="1:21" x14ac:dyDescent="0.3">
      <c r="A2" s="5" t="s">
        <v>535</v>
      </c>
      <c r="C2" t="s">
        <v>1</v>
      </c>
      <c r="F2" t="s">
        <v>5</v>
      </c>
      <c r="G2" t="s">
        <v>6</v>
      </c>
      <c r="H2" t="s">
        <v>7</v>
      </c>
      <c r="O2" t="s">
        <v>14</v>
      </c>
      <c r="P2" t="s">
        <v>15</v>
      </c>
      <c r="Q2" t="s">
        <v>16</v>
      </c>
      <c r="R2" t="s">
        <v>17</v>
      </c>
      <c r="U2" t="s">
        <v>390</v>
      </c>
    </row>
    <row r="3" spans="1:21" x14ac:dyDescent="0.3">
      <c r="A3" s="5" t="s">
        <v>18</v>
      </c>
      <c r="C3" t="s">
        <v>18</v>
      </c>
      <c r="F3">
        <v>1843366.02</v>
      </c>
      <c r="G3">
        <v>5597654.9900000002</v>
      </c>
      <c r="H3">
        <f>U3+0.0004</f>
        <v>378.29239999999999</v>
      </c>
      <c r="I3" s="21"/>
      <c r="J3" s="21"/>
      <c r="K3" s="21"/>
      <c r="O3">
        <v>1.5310000000000001E-2</v>
      </c>
      <c r="P3">
        <v>2.0948999999999999E-2</v>
      </c>
      <c r="Q3" s="1">
        <v>43019</v>
      </c>
      <c r="R3" s="2">
        <v>0.42709490740740735</v>
      </c>
      <c r="U3">
        <v>378.29199999999997</v>
      </c>
    </row>
    <row r="4" spans="1:21" x14ac:dyDescent="0.3">
      <c r="A4" s="5" t="s">
        <v>23</v>
      </c>
      <c r="B4" s="21"/>
      <c r="C4" s="21"/>
      <c r="F4" s="21"/>
      <c r="G4" s="21"/>
      <c r="H4" s="21"/>
      <c r="I4" s="21"/>
      <c r="J4" s="21"/>
      <c r="K4" s="21"/>
      <c r="L4" s="21"/>
      <c r="M4" s="21"/>
      <c r="N4" s="21"/>
      <c r="O4" s="21"/>
      <c r="P4" s="21"/>
      <c r="Q4" s="1"/>
      <c r="R4" s="2"/>
      <c r="S4" s="21"/>
      <c r="T4" s="21"/>
      <c r="U4" s="21"/>
    </row>
    <row r="5" spans="1:21" s="21" customFormat="1" x14ac:dyDescent="0.3">
      <c r="A5" s="5" t="s">
        <v>551</v>
      </c>
      <c r="Q5" s="1"/>
      <c r="R5" s="2"/>
    </row>
    <row r="6" spans="1:21" x14ac:dyDescent="0.3">
      <c r="A6" s="5">
        <v>1</v>
      </c>
      <c r="C6">
        <v>1</v>
      </c>
      <c r="F6">
        <v>1844611.294649</v>
      </c>
      <c r="G6">
        <v>5596719.6914259996</v>
      </c>
      <c r="H6">
        <f t="shared" ref="H6:H20" si="0">U6+0.0004</f>
        <v>438.95665600000001</v>
      </c>
      <c r="J6" s="21"/>
      <c r="K6" s="21"/>
      <c r="O6">
        <v>1.7402000000000001E-2</v>
      </c>
      <c r="P6">
        <v>2.2131999999999999E-2</v>
      </c>
      <c r="Q6" s="1">
        <v>43019</v>
      </c>
      <c r="R6" s="2">
        <v>0.42055555555555557</v>
      </c>
      <c r="U6">
        <v>438.956256</v>
      </c>
    </row>
    <row r="7" spans="1:21" x14ac:dyDescent="0.3">
      <c r="A7" s="5">
        <v>2</v>
      </c>
      <c r="C7">
        <v>2</v>
      </c>
      <c r="F7">
        <v>1844327.0887549999</v>
      </c>
      <c r="G7">
        <v>5596603.2207380002</v>
      </c>
      <c r="H7">
        <f t="shared" si="0"/>
        <v>430.44125200000002</v>
      </c>
      <c r="I7" s="21"/>
      <c r="J7" s="21"/>
      <c r="K7" s="21"/>
      <c r="O7">
        <v>1.4635E-2</v>
      </c>
      <c r="P7">
        <v>2.0570999999999999E-2</v>
      </c>
      <c r="Q7" s="1">
        <v>43019</v>
      </c>
      <c r="R7" s="2">
        <v>0.42787037037037035</v>
      </c>
      <c r="U7">
        <v>430.44085200000001</v>
      </c>
    </row>
    <row r="8" spans="1:21" x14ac:dyDescent="0.3">
      <c r="A8" s="5">
        <v>3</v>
      </c>
      <c r="C8">
        <v>3</v>
      </c>
      <c r="F8">
        <v>1844275.7630149999</v>
      </c>
      <c r="G8">
        <v>5596482.9051179998</v>
      </c>
      <c r="H8">
        <f t="shared" si="0"/>
        <v>434.67390499999999</v>
      </c>
      <c r="I8" s="21"/>
      <c r="J8" s="21"/>
      <c r="K8" s="21"/>
      <c r="O8">
        <v>1.4272999999999999E-2</v>
      </c>
      <c r="P8">
        <v>2.0160999999999998E-2</v>
      </c>
      <c r="Q8" s="1">
        <v>43019</v>
      </c>
      <c r="R8" s="2">
        <v>0.43687499999999996</v>
      </c>
      <c r="U8">
        <v>434.67350499999998</v>
      </c>
    </row>
    <row r="9" spans="1:21" x14ac:dyDescent="0.3">
      <c r="A9" s="5">
        <v>4</v>
      </c>
      <c r="C9">
        <v>4</v>
      </c>
      <c r="F9">
        <v>1844444.4002749999</v>
      </c>
      <c r="G9">
        <v>5596428.9409370003</v>
      </c>
      <c r="H9">
        <f t="shared" si="0"/>
        <v>421.893348</v>
      </c>
      <c r="I9" s="21"/>
      <c r="J9" s="21"/>
      <c r="K9" s="21"/>
      <c r="O9">
        <v>4.7322000000000003E-2</v>
      </c>
      <c r="P9">
        <v>6.8561999999999998E-2</v>
      </c>
      <c r="Q9" s="1">
        <v>43019</v>
      </c>
      <c r="R9" s="2">
        <v>0.44578703703703698</v>
      </c>
      <c r="U9">
        <v>421.89294799999999</v>
      </c>
    </row>
    <row r="10" spans="1:21" x14ac:dyDescent="0.3">
      <c r="A10" s="5">
        <v>5</v>
      </c>
      <c r="C10">
        <v>5</v>
      </c>
      <c r="F10">
        <v>1844577.6185979999</v>
      </c>
      <c r="G10">
        <v>5596364.5367099997</v>
      </c>
      <c r="H10">
        <f t="shared" si="0"/>
        <v>414.63833900000003</v>
      </c>
      <c r="I10" s="21"/>
      <c r="J10" s="21"/>
      <c r="K10" s="21"/>
      <c r="O10">
        <v>1.6854999999999998E-2</v>
      </c>
      <c r="P10">
        <v>2.4215E-2</v>
      </c>
      <c r="Q10" s="1">
        <v>43019</v>
      </c>
      <c r="R10" s="2">
        <v>0.44922453703703707</v>
      </c>
      <c r="U10">
        <v>414.63793900000002</v>
      </c>
    </row>
    <row r="11" spans="1:21" x14ac:dyDescent="0.3">
      <c r="A11" s="5">
        <v>6</v>
      </c>
      <c r="C11">
        <v>6</v>
      </c>
      <c r="F11">
        <v>1844789.1660130001</v>
      </c>
      <c r="G11">
        <v>5596419.9080159999</v>
      </c>
      <c r="H11">
        <f t="shared" si="0"/>
        <v>421.48516699999999</v>
      </c>
      <c r="I11" s="21"/>
      <c r="J11" s="21"/>
      <c r="K11" s="21"/>
      <c r="O11">
        <v>1.2711E-2</v>
      </c>
      <c r="P11">
        <v>2.2783999999999999E-2</v>
      </c>
      <c r="Q11" s="1">
        <v>43019</v>
      </c>
      <c r="R11" s="2">
        <v>0.45266203703703706</v>
      </c>
      <c r="U11">
        <v>421.48476699999998</v>
      </c>
    </row>
    <row r="12" spans="1:21" x14ac:dyDescent="0.3">
      <c r="A12" s="5">
        <v>7</v>
      </c>
      <c r="C12">
        <v>7</v>
      </c>
      <c r="F12">
        <v>1844897.3512500001</v>
      </c>
      <c r="G12">
        <v>5596315.4439850003</v>
      </c>
      <c r="H12">
        <f t="shared" si="0"/>
        <v>399.091768</v>
      </c>
      <c r="I12" s="21"/>
      <c r="J12" s="21"/>
      <c r="K12" s="21"/>
      <c r="O12">
        <v>1.8762000000000001E-2</v>
      </c>
      <c r="P12">
        <v>2.7654999999999999E-2</v>
      </c>
      <c r="Q12" s="1">
        <v>43019</v>
      </c>
      <c r="R12" s="2">
        <v>0.46995370370370365</v>
      </c>
      <c r="U12">
        <v>399.09136799999999</v>
      </c>
    </row>
    <row r="13" spans="1:21" x14ac:dyDescent="0.3">
      <c r="A13" s="5">
        <v>8</v>
      </c>
      <c r="C13">
        <v>8</v>
      </c>
      <c r="F13">
        <v>1844684.8533950001</v>
      </c>
      <c r="G13">
        <v>5596191.5718029998</v>
      </c>
      <c r="H13">
        <f t="shared" si="0"/>
        <v>402.94071200000002</v>
      </c>
      <c r="I13" s="21"/>
      <c r="J13" s="21"/>
      <c r="K13" s="21"/>
      <c r="O13">
        <v>2.3951E-2</v>
      </c>
      <c r="P13">
        <v>2.7774E-2</v>
      </c>
      <c r="Q13" s="1">
        <v>43019</v>
      </c>
      <c r="R13" s="2">
        <v>0.47569444444444442</v>
      </c>
      <c r="U13">
        <v>402.94031200000001</v>
      </c>
    </row>
    <row r="14" spans="1:21" x14ac:dyDescent="0.3">
      <c r="A14" s="5">
        <v>9</v>
      </c>
      <c r="C14" t="s">
        <v>46</v>
      </c>
      <c r="F14">
        <v>1844488.488049</v>
      </c>
      <c r="G14">
        <v>5596189.9654789995</v>
      </c>
      <c r="H14">
        <f t="shared" si="0"/>
        <v>401.00484</v>
      </c>
      <c r="I14" s="21"/>
      <c r="J14" s="21"/>
      <c r="K14" s="21"/>
      <c r="O14">
        <v>2.3282000000000001E-2</v>
      </c>
      <c r="P14">
        <v>3.3184999999999999E-2</v>
      </c>
      <c r="Q14" s="1">
        <v>43019</v>
      </c>
      <c r="R14" s="2">
        <v>0.54137731481481477</v>
      </c>
      <c r="U14">
        <v>401.00443999999999</v>
      </c>
    </row>
    <row r="15" spans="1:21" x14ac:dyDescent="0.3">
      <c r="A15" s="5">
        <v>10</v>
      </c>
      <c r="C15" t="s">
        <v>44</v>
      </c>
      <c r="F15">
        <v>1844340.2640529999</v>
      </c>
      <c r="G15">
        <v>5596229.1124830004</v>
      </c>
      <c r="H15">
        <f t="shared" si="0"/>
        <v>405.86471700000004</v>
      </c>
      <c r="I15" s="21"/>
      <c r="J15" s="21"/>
      <c r="K15" s="21"/>
      <c r="O15">
        <v>2.3365E-2</v>
      </c>
      <c r="P15">
        <v>3.5387000000000002E-2</v>
      </c>
      <c r="Q15" s="1">
        <v>43019</v>
      </c>
      <c r="R15" s="2">
        <v>0.54567129629629629</v>
      </c>
      <c r="U15">
        <v>405.86431700000003</v>
      </c>
    </row>
    <row r="16" spans="1:21" x14ac:dyDescent="0.3">
      <c r="A16" s="5">
        <v>11</v>
      </c>
      <c r="C16" t="s">
        <v>48</v>
      </c>
      <c r="F16">
        <v>1844394.9303369999</v>
      </c>
      <c r="G16">
        <v>5596017.467348</v>
      </c>
      <c r="H16">
        <f t="shared" si="0"/>
        <v>389.98803000000004</v>
      </c>
      <c r="I16" s="21"/>
      <c r="J16" s="21"/>
      <c r="K16" s="21"/>
      <c r="O16">
        <v>2.8014000000000001E-2</v>
      </c>
      <c r="P16">
        <v>3.4730999999999998E-2</v>
      </c>
      <c r="Q16" s="1">
        <v>43019</v>
      </c>
      <c r="R16" s="2">
        <v>0.53645833333333337</v>
      </c>
      <c r="U16">
        <v>389.98763000000002</v>
      </c>
    </row>
    <row r="17" spans="1:21" x14ac:dyDescent="0.3">
      <c r="A17" s="5">
        <v>12</v>
      </c>
      <c r="C17" t="s">
        <v>49</v>
      </c>
      <c r="F17">
        <v>1844569.7649920001</v>
      </c>
      <c r="G17">
        <v>5596017.6813949998</v>
      </c>
      <c r="H17">
        <f t="shared" si="0"/>
        <v>397.95995199999999</v>
      </c>
      <c r="I17" s="21"/>
      <c r="J17" s="21"/>
      <c r="K17" s="21"/>
      <c r="O17">
        <v>2.4409E-2</v>
      </c>
      <c r="P17">
        <v>3.1371000000000003E-2</v>
      </c>
      <c r="Q17" s="1">
        <v>43019</v>
      </c>
      <c r="R17" s="2">
        <v>0.53365740740740741</v>
      </c>
      <c r="U17">
        <v>397.95955199999997</v>
      </c>
    </row>
    <row r="18" spans="1:21" x14ac:dyDescent="0.3">
      <c r="A18" s="5">
        <v>13</v>
      </c>
      <c r="C18" t="s">
        <v>51</v>
      </c>
      <c r="F18">
        <v>1844676.006764</v>
      </c>
      <c r="G18">
        <v>5595952.9437499996</v>
      </c>
      <c r="H18">
        <f t="shared" si="0"/>
        <v>392.21338200000002</v>
      </c>
      <c r="I18" s="21"/>
      <c r="J18" s="21"/>
      <c r="K18" s="21"/>
      <c r="O18">
        <v>2.5833999999999999E-2</v>
      </c>
      <c r="P18">
        <v>3.2097000000000001E-2</v>
      </c>
      <c r="Q18" s="1">
        <v>43019</v>
      </c>
      <c r="R18" s="2">
        <v>0.53005787037037033</v>
      </c>
      <c r="U18">
        <v>392.21298200000001</v>
      </c>
    </row>
    <row r="19" spans="1:21" x14ac:dyDescent="0.3">
      <c r="A19" s="5">
        <v>14</v>
      </c>
      <c r="C19" t="s">
        <v>58</v>
      </c>
      <c r="F19">
        <v>1844385.940313</v>
      </c>
      <c r="G19">
        <v>5595878.7983330004</v>
      </c>
      <c r="H19">
        <f t="shared" si="0"/>
        <v>382.34035399999999</v>
      </c>
      <c r="I19" s="21"/>
      <c r="J19" s="21"/>
      <c r="K19" s="21"/>
      <c r="O19">
        <v>2.3629000000000001E-2</v>
      </c>
      <c r="P19">
        <v>2.5201999999999999E-2</v>
      </c>
      <c r="Q19" s="1">
        <v>43019</v>
      </c>
      <c r="R19" s="2">
        <v>0.51004629629629628</v>
      </c>
      <c r="U19">
        <v>382.33995399999998</v>
      </c>
    </row>
    <row r="20" spans="1:21" x14ac:dyDescent="0.3">
      <c r="A20" s="5">
        <v>15</v>
      </c>
      <c r="C20" t="s">
        <v>41</v>
      </c>
      <c r="F20">
        <v>1844189.9443330001</v>
      </c>
      <c r="G20">
        <v>5596021.390776</v>
      </c>
      <c r="H20">
        <f t="shared" si="0"/>
        <v>395.97865999999999</v>
      </c>
      <c r="I20" s="21"/>
      <c r="J20" s="21"/>
      <c r="K20" s="21"/>
      <c r="O20">
        <v>2.3741000000000002E-2</v>
      </c>
      <c r="P20">
        <v>4.1007000000000002E-2</v>
      </c>
      <c r="Q20" s="1">
        <v>43019</v>
      </c>
      <c r="R20" s="2">
        <v>0.55417824074074074</v>
      </c>
      <c r="U20">
        <v>395.97825999999998</v>
      </c>
    </row>
    <row r="21" spans="1:21" x14ac:dyDescent="0.3">
      <c r="A21" s="5">
        <v>16</v>
      </c>
      <c r="B21" s="21"/>
      <c r="C21" s="21"/>
      <c r="F21" s="21"/>
      <c r="G21" s="21"/>
      <c r="H21" s="21"/>
      <c r="I21" s="21"/>
      <c r="J21" s="21"/>
      <c r="K21" s="21"/>
      <c r="L21" s="21"/>
      <c r="M21" s="21"/>
      <c r="N21" s="21"/>
      <c r="O21" s="21"/>
      <c r="P21" s="21"/>
      <c r="Q21" s="1"/>
      <c r="R21" s="2"/>
      <c r="S21" s="21"/>
      <c r="T21" s="21"/>
      <c r="U21" s="21"/>
    </row>
    <row r="22" spans="1:21" x14ac:dyDescent="0.3">
      <c r="A22" s="5">
        <v>17</v>
      </c>
      <c r="C22" t="s">
        <v>56</v>
      </c>
      <c r="F22">
        <v>1844523.175642</v>
      </c>
      <c r="G22">
        <v>5595817.9948110003</v>
      </c>
      <c r="H22">
        <f>U22+0.0004</f>
        <v>368.20155500000004</v>
      </c>
      <c r="O22">
        <v>2.554E-2</v>
      </c>
      <c r="P22">
        <v>2.6943000000000002E-2</v>
      </c>
      <c r="Q22" s="1">
        <v>43019</v>
      </c>
      <c r="R22" s="2">
        <v>0.51545138888888886</v>
      </c>
      <c r="U22">
        <v>368.20115500000003</v>
      </c>
    </row>
    <row r="23" spans="1:21" x14ac:dyDescent="0.3">
      <c r="A23" s="5">
        <v>18</v>
      </c>
      <c r="C23" t="s">
        <v>53</v>
      </c>
      <c r="F23">
        <v>1844707.7777219999</v>
      </c>
      <c r="G23">
        <v>5595725.9172759997</v>
      </c>
      <c r="H23">
        <f>U23+0.0004</f>
        <v>375.90539699999999</v>
      </c>
      <c r="O23">
        <v>2.8833000000000001E-2</v>
      </c>
      <c r="P23">
        <v>3.2703000000000003E-2</v>
      </c>
      <c r="Q23" s="1">
        <v>43019</v>
      </c>
      <c r="R23" s="2">
        <v>0.52454861111111117</v>
      </c>
      <c r="U23">
        <v>375.90499699999998</v>
      </c>
    </row>
    <row r="24" spans="1:21" x14ac:dyDescent="0.3">
      <c r="A24" s="5">
        <v>19</v>
      </c>
      <c r="C24" t="s">
        <v>55</v>
      </c>
      <c r="F24">
        <v>1844644.628706</v>
      </c>
      <c r="G24">
        <v>5595687.5773200002</v>
      </c>
      <c r="H24">
        <f>U24+0.0004</f>
        <v>359.11455799999999</v>
      </c>
      <c r="O24">
        <v>3.0025E-2</v>
      </c>
      <c r="P24">
        <v>3.3023999999999998E-2</v>
      </c>
      <c r="Q24" s="1">
        <v>43019</v>
      </c>
      <c r="R24" s="2">
        <v>0.5199421296296296</v>
      </c>
      <c r="U24">
        <v>359.11415799999997</v>
      </c>
    </row>
    <row r="25" spans="1:21" x14ac:dyDescent="0.3">
      <c r="A25" s="5">
        <v>20</v>
      </c>
      <c r="B25" s="21"/>
      <c r="C25" s="21"/>
      <c r="F25" s="21"/>
      <c r="G25" s="21"/>
      <c r="H25" s="21"/>
      <c r="I25" s="21"/>
      <c r="J25" s="21"/>
      <c r="K25" s="21"/>
      <c r="L25" s="21"/>
      <c r="M25" s="21"/>
      <c r="N25" s="21"/>
      <c r="O25" s="21"/>
      <c r="P25" s="21"/>
      <c r="Q25" s="1"/>
      <c r="R25" s="2"/>
      <c r="S25" s="21"/>
      <c r="T25" s="21"/>
      <c r="U25" s="21"/>
    </row>
    <row r="26" spans="1:21" x14ac:dyDescent="0.3">
      <c r="A26" s="5">
        <v>21</v>
      </c>
      <c r="C26">
        <v>21</v>
      </c>
      <c r="F26">
        <v>1844487.7558319999</v>
      </c>
      <c r="G26">
        <v>5595551.3305120002</v>
      </c>
      <c r="H26">
        <f t="shared" ref="H26:H34" si="1">U26+0.0004</f>
        <v>310.509477</v>
      </c>
      <c r="O26">
        <v>2.869E-2</v>
      </c>
      <c r="P26">
        <v>4.6182000000000001E-2</v>
      </c>
      <c r="Q26" s="1">
        <v>43019</v>
      </c>
      <c r="R26" s="2">
        <v>0.46726851851851853</v>
      </c>
      <c r="U26">
        <v>310.50907699999999</v>
      </c>
    </row>
    <row r="27" spans="1:21" x14ac:dyDescent="0.3">
      <c r="A27" s="5">
        <v>22</v>
      </c>
      <c r="C27">
        <v>22</v>
      </c>
      <c r="F27">
        <v>1844457.1071019999</v>
      </c>
      <c r="G27">
        <v>5595448.078888</v>
      </c>
      <c r="H27">
        <f t="shared" si="1"/>
        <v>302.56167600000003</v>
      </c>
      <c r="O27">
        <v>2.0688000000000002E-2</v>
      </c>
      <c r="P27">
        <v>2.9496999999999999E-2</v>
      </c>
      <c r="Q27" s="1">
        <v>43019</v>
      </c>
      <c r="R27" s="2">
        <v>0.47527777777777774</v>
      </c>
      <c r="U27">
        <v>302.56127600000002</v>
      </c>
    </row>
    <row r="28" spans="1:21" x14ac:dyDescent="0.3">
      <c r="A28" s="5">
        <v>23</v>
      </c>
      <c r="C28" t="s">
        <v>39</v>
      </c>
      <c r="F28">
        <v>1844378.879313</v>
      </c>
      <c r="G28">
        <v>5595385.543695</v>
      </c>
      <c r="H28">
        <f t="shared" si="1"/>
        <v>309.62359300000003</v>
      </c>
      <c r="O28">
        <v>1.176E-2</v>
      </c>
      <c r="P28">
        <v>1.3153E-2</v>
      </c>
      <c r="Q28" s="1">
        <v>43020</v>
      </c>
      <c r="R28" s="2">
        <v>0.4909722222222222</v>
      </c>
      <c r="U28">
        <v>309.62319300000001</v>
      </c>
    </row>
    <row r="29" spans="1:21" x14ac:dyDescent="0.3">
      <c r="A29" s="5">
        <v>24</v>
      </c>
      <c r="C29">
        <v>24</v>
      </c>
      <c r="F29">
        <v>1844364.2499530001</v>
      </c>
      <c r="G29">
        <v>5595616.7226679996</v>
      </c>
      <c r="H29">
        <f t="shared" si="1"/>
        <v>326.97829100000001</v>
      </c>
      <c r="O29">
        <v>2.6446000000000001E-2</v>
      </c>
      <c r="P29">
        <v>5.0120999999999999E-2</v>
      </c>
      <c r="Q29" s="1">
        <v>43019</v>
      </c>
      <c r="R29" s="2">
        <v>0.46251157407407412</v>
      </c>
      <c r="U29">
        <v>326.977891</v>
      </c>
    </row>
    <row r="30" spans="1:21" x14ac:dyDescent="0.3">
      <c r="A30" s="5">
        <v>25</v>
      </c>
      <c r="C30">
        <v>25</v>
      </c>
      <c r="F30">
        <v>1844342.727891</v>
      </c>
      <c r="G30">
        <v>5595526.7816979997</v>
      </c>
      <c r="H30">
        <f t="shared" si="1"/>
        <v>316.30608899999999</v>
      </c>
      <c r="O30">
        <v>3.3531999999999999E-2</v>
      </c>
      <c r="P30">
        <v>4.9752999999999999E-2</v>
      </c>
      <c r="Q30" s="1">
        <v>43019</v>
      </c>
      <c r="R30" s="2">
        <v>0.43381944444444448</v>
      </c>
      <c r="U30">
        <v>316.30568899999997</v>
      </c>
    </row>
    <row r="31" spans="1:21" x14ac:dyDescent="0.3">
      <c r="A31" s="5">
        <v>26</v>
      </c>
      <c r="C31">
        <v>26</v>
      </c>
      <c r="F31">
        <v>1844303.142067</v>
      </c>
      <c r="G31">
        <v>5595520.1602020003</v>
      </c>
      <c r="H31">
        <f t="shared" si="1"/>
        <v>314.53129100000001</v>
      </c>
      <c r="O31">
        <v>3.0834E-2</v>
      </c>
      <c r="P31">
        <v>4.5560999999999997E-2</v>
      </c>
      <c r="Q31" s="1">
        <v>43019</v>
      </c>
      <c r="R31" s="2">
        <v>0.43534722222222227</v>
      </c>
      <c r="U31">
        <v>314.530891</v>
      </c>
    </row>
    <row r="32" spans="1:21" x14ac:dyDescent="0.3">
      <c r="A32" s="5">
        <v>27</v>
      </c>
      <c r="C32">
        <v>27</v>
      </c>
      <c r="F32">
        <v>1844185.1498809999</v>
      </c>
      <c r="G32">
        <v>5595587.5540460004</v>
      </c>
      <c r="H32">
        <f t="shared" si="1"/>
        <v>355.94076699999999</v>
      </c>
      <c r="O32">
        <v>1.9748000000000002E-2</v>
      </c>
      <c r="P32">
        <v>2.9697000000000001E-2</v>
      </c>
      <c r="Q32" s="1">
        <v>43019</v>
      </c>
      <c r="R32" s="2">
        <v>0.44195601851851851</v>
      </c>
      <c r="U32">
        <v>355.94036699999998</v>
      </c>
    </row>
    <row r="33" spans="1:21" x14ac:dyDescent="0.3">
      <c r="A33" s="5">
        <v>28</v>
      </c>
      <c r="C33">
        <v>28</v>
      </c>
      <c r="F33">
        <v>1844265.9264169999</v>
      </c>
      <c r="G33">
        <v>5595681.9653540002</v>
      </c>
      <c r="H33">
        <f t="shared" si="1"/>
        <v>334.66570899999999</v>
      </c>
      <c r="O33">
        <v>2.9690999999999999E-2</v>
      </c>
      <c r="P33">
        <v>5.2484999999999997E-2</v>
      </c>
      <c r="Q33" s="1">
        <v>43019</v>
      </c>
      <c r="R33" s="2">
        <v>0.44754629629629633</v>
      </c>
      <c r="U33">
        <v>334.66530899999998</v>
      </c>
    </row>
    <row r="34" spans="1:21" x14ac:dyDescent="0.3">
      <c r="A34" s="5">
        <v>29</v>
      </c>
      <c r="C34">
        <v>29</v>
      </c>
      <c r="F34">
        <v>1844374.3368240001</v>
      </c>
      <c r="G34">
        <v>5595697.9492809996</v>
      </c>
      <c r="H34">
        <f t="shared" si="1"/>
        <v>335.24785300000002</v>
      </c>
      <c r="O34">
        <v>2.1018999999999999E-2</v>
      </c>
      <c r="P34">
        <v>4.0967999999999997E-2</v>
      </c>
      <c r="Q34" s="1">
        <v>43019</v>
      </c>
      <c r="R34" s="2">
        <v>0.45311342592592596</v>
      </c>
      <c r="U34">
        <v>335.24745300000001</v>
      </c>
    </row>
    <row r="35" spans="1:21" x14ac:dyDescent="0.3">
      <c r="A35" s="5" t="s">
        <v>26</v>
      </c>
    </row>
    <row r="36" spans="1:21" x14ac:dyDescent="0.3">
      <c r="A36" s="21"/>
      <c r="C36" t="s">
        <v>40</v>
      </c>
      <c r="F36">
        <v>1844372.6883469999</v>
      </c>
      <c r="G36">
        <v>5595404.4180530002</v>
      </c>
      <c r="H36">
        <f>U36+0.0004</f>
        <v>310.80683900000002</v>
      </c>
      <c r="O36">
        <v>1.9838000000000001E-2</v>
      </c>
      <c r="P36">
        <v>2.085E-2</v>
      </c>
      <c r="Q36" s="1">
        <v>43020</v>
      </c>
      <c r="R36" s="2">
        <v>0.50957175925925924</v>
      </c>
      <c r="U36">
        <v>310.80643900000001</v>
      </c>
    </row>
    <row r="37" spans="1:21" s="21" customFormat="1" x14ac:dyDescent="0.3">
      <c r="B37"/>
      <c r="C37">
        <v>23</v>
      </c>
      <c r="F37">
        <v>1844378.813019</v>
      </c>
      <c r="G37">
        <v>5595386.1839720001</v>
      </c>
      <c r="H37">
        <f>U37+0.0004</f>
        <v>310.75782800000002</v>
      </c>
      <c r="I37"/>
      <c r="J37"/>
      <c r="K37"/>
      <c r="L37"/>
      <c r="M37"/>
      <c r="N37"/>
      <c r="O37">
        <v>1.5310000000000001E-2</v>
      </c>
      <c r="P37">
        <v>2.0948999999999999E-2</v>
      </c>
      <c r="Q37" s="1">
        <v>43019</v>
      </c>
      <c r="R37" s="2">
        <v>0.42709490740740735</v>
      </c>
      <c r="S37"/>
      <c r="T37"/>
      <c r="U37">
        <v>310.757428</v>
      </c>
    </row>
    <row r="38" spans="1:21" s="21" customFormat="1" x14ac:dyDescent="0.3">
      <c r="Q38" s="1"/>
      <c r="R38" s="2"/>
    </row>
    <row r="39" spans="1:21" s="21" customFormat="1" x14ac:dyDescent="0.3">
      <c r="Q39" s="1"/>
      <c r="R39" s="2"/>
    </row>
    <row r="40" spans="1:21" s="21" customFormat="1" x14ac:dyDescent="0.3">
      <c r="O40">
        <f>MAX(O3:O37)</f>
        <v>4.7322000000000003E-2</v>
      </c>
      <c r="P40" s="21">
        <f>MAX(P3:P37)</f>
        <v>6.8561999999999998E-2</v>
      </c>
      <c r="Q40" s="1"/>
      <c r="R40" s="2"/>
    </row>
    <row r="41" spans="1:21" s="21" customFormat="1" x14ac:dyDescent="0.3">
      <c r="O41">
        <f>AVERAGE(O3:O37)</f>
        <v>2.318163333333334E-2</v>
      </c>
      <c r="P41" s="21">
        <f>AVERAGE(P3:P37)</f>
        <v>3.2655633333333337E-2</v>
      </c>
      <c r="Q41" s="1"/>
      <c r="R41" s="2"/>
    </row>
    <row r="42" spans="1:21" s="21" customFormat="1" x14ac:dyDescent="0.3">
      <c r="O42">
        <f>_xlfn.STDEV.S(O3:O37)</f>
        <v>7.4102442161967791E-3</v>
      </c>
      <c r="P42" s="21">
        <f>_xlfn.STDEV.S(P3:P37)</f>
        <v>1.2195955413460899E-2</v>
      </c>
      <c r="Q42" s="1"/>
      <c r="R42" s="2"/>
    </row>
    <row r="43" spans="1:21" s="21" customFormat="1" x14ac:dyDescent="0.3">
      <c r="Q43" s="1"/>
      <c r="R43" s="2"/>
    </row>
    <row r="44" spans="1:21" s="21" customFormat="1" x14ac:dyDescent="0.3">
      <c r="A44" s="21" t="s">
        <v>528</v>
      </c>
      <c r="Q44" s="1"/>
      <c r="R44" s="2"/>
    </row>
    <row r="45" spans="1:21" x14ac:dyDescent="0.3">
      <c r="A45" s="21"/>
      <c r="C45" t="s">
        <v>36</v>
      </c>
      <c r="F45">
        <v>1844470.6897539999</v>
      </c>
      <c r="G45">
        <v>5595428.0734230001</v>
      </c>
      <c r="H45">
        <f t="shared" ref="H45:H75" si="2">U45+0.0004</f>
        <v>298.29458</v>
      </c>
      <c r="O45">
        <v>1.9838000000000001E-2</v>
      </c>
      <c r="P45">
        <v>2.085E-2</v>
      </c>
      <c r="Q45" s="1">
        <v>43020</v>
      </c>
      <c r="R45" s="2">
        <v>0.50957175925925924</v>
      </c>
      <c r="U45">
        <v>298.29417999999998</v>
      </c>
    </row>
    <row r="46" spans="1:21" x14ac:dyDescent="0.3">
      <c r="C46" t="s">
        <v>38</v>
      </c>
      <c r="F46">
        <v>1844525.849902</v>
      </c>
      <c r="G46">
        <v>5595531.8295440003</v>
      </c>
      <c r="H46">
        <f t="shared" si="2"/>
        <v>300.93299200000001</v>
      </c>
      <c r="O46">
        <v>2.3059E-2</v>
      </c>
      <c r="P46">
        <v>2.3536000000000001E-2</v>
      </c>
      <c r="Q46" s="1">
        <v>43020</v>
      </c>
      <c r="R46" s="2">
        <v>0.49979166666666663</v>
      </c>
      <c r="U46">
        <v>300.932592</v>
      </c>
    </row>
    <row r="47" spans="1:21" x14ac:dyDescent="0.3">
      <c r="C47" t="s">
        <v>42</v>
      </c>
      <c r="F47">
        <v>1844271.42747</v>
      </c>
      <c r="G47">
        <v>5596252.1862080004</v>
      </c>
      <c r="H47">
        <f t="shared" si="2"/>
        <v>412.36870500000003</v>
      </c>
      <c r="O47">
        <v>2.2969E-2</v>
      </c>
      <c r="P47">
        <v>3.7511999999999997E-2</v>
      </c>
      <c r="Q47" s="1">
        <v>43019</v>
      </c>
      <c r="R47" s="2">
        <v>0.55121527777777779</v>
      </c>
      <c r="U47">
        <v>412.36830500000002</v>
      </c>
    </row>
    <row r="48" spans="1:21" x14ac:dyDescent="0.3">
      <c r="C48" t="s">
        <v>43</v>
      </c>
      <c r="F48">
        <v>1844341.1726259999</v>
      </c>
      <c r="G48">
        <v>5596231.5563589996</v>
      </c>
      <c r="H48">
        <f t="shared" si="2"/>
        <v>405.95296999999999</v>
      </c>
      <c r="O48">
        <v>2.2768E-2</v>
      </c>
      <c r="P48">
        <v>3.5712000000000001E-2</v>
      </c>
      <c r="Q48" s="1">
        <v>43019</v>
      </c>
      <c r="R48" s="2">
        <v>0.54706018518518518</v>
      </c>
      <c r="U48">
        <v>405.95256999999998</v>
      </c>
    </row>
    <row r="49" spans="3:21" x14ac:dyDescent="0.3">
      <c r="C49" t="s">
        <v>45</v>
      </c>
      <c r="F49">
        <v>1844478.279075</v>
      </c>
      <c r="G49">
        <v>5596225.7135460004</v>
      </c>
      <c r="H49">
        <f t="shared" si="2"/>
        <v>402.585059</v>
      </c>
      <c r="O49">
        <v>2.2797000000000001E-2</v>
      </c>
      <c r="P49">
        <v>3.2100999999999998E-2</v>
      </c>
      <c r="Q49" s="1">
        <v>43019</v>
      </c>
      <c r="R49" s="2">
        <v>0.54270833333333335</v>
      </c>
      <c r="U49">
        <v>402.58465899999999</v>
      </c>
    </row>
    <row r="50" spans="3:21" x14ac:dyDescent="0.3">
      <c r="C50" t="s">
        <v>47</v>
      </c>
      <c r="F50">
        <v>1844476.7779850001</v>
      </c>
      <c r="G50">
        <v>5596153.8400809998</v>
      </c>
      <c r="H50">
        <f t="shared" si="2"/>
        <v>401.90797100000003</v>
      </c>
      <c r="O50">
        <v>2.3789000000000001E-2</v>
      </c>
      <c r="P50">
        <v>3.3103E-2</v>
      </c>
      <c r="Q50" s="1">
        <v>43019</v>
      </c>
      <c r="R50" s="2">
        <v>0.54016203703703702</v>
      </c>
      <c r="U50">
        <v>401.90757100000002</v>
      </c>
    </row>
    <row r="51" spans="3:21" x14ac:dyDescent="0.3">
      <c r="C51" t="s">
        <v>50</v>
      </c>
      <c r="F51">
        <v>1844659.0811069999</v>
      </c>
      <c r="G51">
        <v>5596004.8616810003</v>
      </c>
      <c r="H51">
        <f t="shared" si="2"/>
        <v>394.01486900000003</v>
      </c>
      <c r="O51">
        <v>2.4976999999999999E-2</v>
      </c>
      <c r="P51">
        <v>3.1628999999999997E-2</v>
      </c>
      <c r="Q51" s="1">
        <v>43019</v>
      </c>
      <c r="R51" s="2">
        <v>0.53173611111111108</v>
      </c>
      <c r="U51">
        <v>394.01446900000002</v>
      </c>
    </row>
    <row r="52" spans="3:21" x14ac:dyDescent="0.3">
      <c r="C52" t="s">
        <v>52</v>
      </c>
      <c r="F52">
        <v>1844721.5792390001</v>
      </c>
      <c r="G52">
        <v>5595837.4872570001</v>
      </c>
      <c r="H52">
        <f t="shared" si="2"/>
        <v>379.151814</v>
      </c>
      <c r="O52">
        <v>2.7484000000000001E-2</v>
      </c>
      <c r="P52">
        <v>3.2483999999999999E-2</v>
      </c>
      <c r="Q52" s="1">
        <v>43019</v>
      </c>
      <c r="R52" s="2">
        <v>0.52692129629629625</v>
      </c>
      <c r="U52">
        <v>379.15141399999999</v>
      </c>
    </row>
    <row r="53" spans="3:21" x14ac:dyDescent="0.3">
      <c r="C53" t="s">
        <v>54</v>
      </c>
      <c r="F53">
        <v>1844673.4926469999</v>
      </c>
      <c r="G53">
        <v>5595690.3076139996</v>
      </c>
      <c r="H53">
        <f t="shared" si="2"/>
        <v>368.33686499999999</v>
      </c>
      <c r="O53">
        <v>3.1269999999999999E-2</v>
      </c>
      <c r="P53">
        <v>3.4615E-2</v>
      </c>
      <c r="Q53" s="1">
        <v>43019</v>
      </c>
      <c r="R53" s="2">
        <v>0.52221064814814822</v>
      </c>
      <c r="U53">
        <v>368.33646499999998</v>
      </c>
    </row>
    <row r="54" spans="3:21" x14ac:dyDescent="0.3">
      <c r="C54" t="s">
        <v>57</v>
      </c>
      <c r="F54">
        <v>1844466.1093619999</v>
      </c>
      <c r="G54">
        <v>5595934.2506640004</v>
      </c>
      <c r="H54">
        <f t="shared" si="2"/>
        <v>376.97938900000003</v>
      </c>
      <c r="O54">
        <v>2.3549E-2</v>
      </c>
      <c r="P54">
        <v>2.5094000000000002E-2</v>
      </c>
      <c r="Q54" s="1">
        <v>43019</v>
      </c>
      <c r="R54" s="2">
        <v>0.51256944444444441</v>
      </c>
      <c r="U54">
        <v>376.97898900000001</v>
      </c>
    </row>
    <row r="55" spans="3:21" x14ac:dyDescent="0.3">
      <c r="C55" t="s">
        <v>59</v>
      </c>
      <c r="F55">
        <v>1844336.169278</v>
      </c>
      <c r="G55">
        <v>5595886.3861140003</v>
      </c>
      <c r="H55">
        <f t="shared" si="2"/>
        <v>381.669444</v>
      </c>
      <c r="O55">
        <v>2.5477E-2</v>
      </c>
      <c r="P55">
        <v>2.6908000000000001E-2</v>
      </c>
      <c r="Q55" s="1">
        <v>43019</v>
      </c>
      <c r="R55" s="2">
        <v>0.50685185185185189</v>
      </c>
      <c r="U55">
        <v>381.66904399999999</v>
      </c>
    </row>
    <row r="56" spans="3:21" x14ac:dyDescent="0.3">
      <c r="C56" t="s">
        <v>60</v>
      </c>
      <c r="F56">
        <v>1844181.2120099999</v>
      </c>
      <c r="G56">
        <v>5595915.1616639998</v>
      </c>
      <c r="H56">
        <f t="shared" si="2"/>
        <v>387.34148800000003</v>
      </c>
      <c r="O56">
        <v>2.1248E-2</v>
      </c>
      <c r="P56">
        <v>2.2471000000000001E-2</v>
      </c>
      <c r="Q56" s="1">
        <v>43019</v>
      </c>
      <c r="R56" s="2">
        <v>0.50094907407407407</v>
      </c>
      <c r="U56">
        <v>387.34108800000001</v>
      </c>
    </row>
    <row r="57" spans="3:21" x14ac:dyDescent="0.3">
      <c r="C57" t="s">
        <v>61</v>
      </c>
      <c r="F57">
        <v>1844191.0577469999</v>
      </c>
      <c r="G57">
        <v>5596019.7443650002</v>
      </c>
      <c r="H57">
        <f t="shared" si="2"/>
        <v>395.77002099999999</v>
      </c>
      <c r="O57">
        <v>1.1487000000000001E-2</v>
      </c>
      <c r="P57">
        <v>1.2145E-2</v>
      </c>
      <c r="Q57" s="1">
        <v>43019</v>
      </c>
      <c r="R57" s="2">
        <v>0.49806712962962968</v>
      </c>
      <c r="U57">
        <v>395.76962099999997</v>
      </c>
    </row>
    <row r="58" spans="3:21" x14ac:dyDescent="0.3">
      <c r="C58" t="s">
        <v>62</v>
      </c>
      <c r="F58">
        <v>1844470.3701190001</v>
      </c>
      <c r="G58">
        <v>5595428.8627580004</v>
      </c>
      <c r="H58">
        <f t="shared" si="2"/>
        <v>299.46591699999999</v>
      </c>
      <c r="O58">
        <v>2.0108999999999998E-2</v>
      </c>
      <c r="P58">
        <v>2.7632E-2</v>
      </c>
      <c r="Q58" s="1">
        <v>43019</v>
      </c>
      <c r="R58" s="2">
        <v>0.47736111111111112</v>
      </c>
      <c r="U58">
        <v>299.46551699999998</v>
      </c>
    </row>
    <row r="59" spans="3:21" x14ac:dyDescent="0.3">
      <c r="C59" t="s">
        <v>63</v>
      </c>
      <c r="F59">
        <v>1844525.6577600001</v>
      </c>
      <c r="G59">
        <v>5595532.7646420002</v>
      </c>
      <c r="H59">
        <f t="shared" si="2"/>
        <v>302.16762199999999</v>
      </c>
      <c r="O59">
        <v>2.0733000000000001E-2</v>
      </c>
      <c r="P59">
        <v>3.1433999999999997E-2</v>
      </c>
      <c r="Q59" s="1">
        <v>43019</v>
      </c>
      <c r="R59" s="2">
        <v>0.47283564814814816</v>
      </c>
      <c r="U59">
        <v>302.16722199999998</v>
      </c>
    </row>
    <row r="60" spans="3:21" x14ac:dyDescent="0.3">
      <c r="C60" t="s">
        <v>64</v>
      </c>
      <c r="F60">
        <v>1844425.332745</v>
      </c>
      <c r="G60">
        <v>5595584.7974960003</v>
      </c>
      <c r="H60">
        <f t="shared" si="2"/>
        <v>319.44486699999999</v>
      </c>
      <c r="O60">
        <v>3.0851E-2</v>
      </c>
      <c r="P60">
        <v>5.4528E-2</v>
      </c>
      <c r="Q60" s="1">
        <v>43019</v>
      </c>
      <c r="R60" s="2">
        <v>0.46534722222222219</v>
      </c>
      <c r="U60">
        <v>319.44446699999997</v>
      </c>
    </row>
    <row r="61" spans="3:21" x14ac:dyDescent="0.3">
      <c r="C61" t="s">
        <v>65</v>
      </c>
      <c r="F61">
        <v>1844415.6957320001</v>
      </c>
      <c r="G61">
        <v>5595705.9908800004</v>
      </c>
      <c r="H61">
        <f t="shared" si="2"/>
        <v>336.89932099999999</v>
      </c>
      <c r="O61">
        <v>2.1617000000000001E-2</v>
      </c>
      <c r="P61">
        <v>5.2514999999999999E-2</v>
      </c>
      <c r="Q61" s="1">
        <v>43019</v>
      </c>
      <c r="R61" s="2">
        <v>0.45670138888888889</v>
      </c>
      <c r="U61">
        <v>336.89892099999997</v>
      </c>
    </row>
    <row r="62" spans="3:21" x14ac:dyDescent="0.3">
      <c r="C62" t="s">
        <v>66</v>
      </c>
      <c r="F62">
        <v>1844279.6042780001</v>
      </c>
      <c r="G62">
        <v>5595681.9514680002</v>
      </c>
      <c r="H62">
        <f t="shared" si="2"/>
        <v>333.30607600000002</v>
      </c>
      <c r="O62">
        <v>2.7324999999999999E-2</v>
      </c>
      <c r="P62">
        <v>4.8342999999999997E-2</v>
      </c>
      <c r="Q62" s="1">
        <v>43019</v>
      </c>
      <c r="R62" s="2">
        <v>0.45037037037037037</v>
      </c>
      <c r="U62">
        <v>333.30567600000001</v>
      </c>
    </row>
    <row r="63" spans="3:21" x14ac:dyDescent="0.3">
      <c r="C63" t="s">
        <v>67</v>
      </c>
      <c r="F63">
        <v>1844189.2671749999</v>
      </c>
      <c r="G63">
        <v>5595595.2338840002</v>
      </c>
      <c r="H63">
        <f t="shared" si="2"/>
        <v>356.258554</v>
      </c>
      <c r="O63">
        <v>1.8454999999999999E-2</v>
      </c>
      <c r="P63">
        <v>3.0293E-2</v>
      </c>
      <c r="Q63" s="1">
        <v>43019</v>
      </c>
      <c r="R63" s="2">
        <v>0.44381944444444449</v>
      </c>
      <c r="U63">
        <v>356.25815399999999</v>
      </c>
    </row>
    <row r="64" spans="3:21" x14ac:dyDescent="0.3">
      <c r="C64" t="s">
        <v>68</v>
      </c>
      <c r="F64">
        <v>1844294.4564410001</v>
      </c>
      <c r="G64">
        <v>5595507.6456289999</v>
      </c>
      <c r="H64">
        <f t="shared" si="2"/>
        <v>316.72753399999999</v>
      </c>
      <c r="O64">
        <v>2.0590000000000001E-2</v>
      </c>
      <c r="P64">
        <v>3.3347000000000002E-2</v>
      </c>
      <c r="Q64" s="1">
        <v>43019</v>
      </c>
      <c r="R64" s="2">
        <v>0.43731481481481477</v>
      </c>
      <c r="U64">
        <v>316.72713399999998</v>
      </c>
    </row>
    <row r="65" spans="3:21" x14ac:dyDescent="0.3">
      <c r="C65" t="s">
        <v>69</v>
      </c>
      <c r="F65">
        <v>1844376.99862</v>
      </c>
      <c r="G65">
        <v>5595386.1722240001</v>
      </c>
      <c r="H65">
        <f t="shared" si="2"/>
        <v>310.65772500000003</v>
      </c>
      <c r="O65">
        <v>1.4922E-2</v>
      </c>
      <c r="P65">
        <v>2.0711E-2</v>
      </c>
      <c r="Q65" s="1">
        <v>43019</v>
      </c>
      <c r="R65" s="2">
        <v>0.43003472222222222</v>
      </c>
      <c r="U65">
        <v>310.65732500000001</v>
      </c>
    </row>
    <row r="66" spans="3:21" x14ac:dyDescent="0.3">
      <c r="C66" t="s">
        <v>70</v>
      </c>
      <c r="F66">
        <v>1844720.653718</v>
      </c>
      <c r="G66">
        <v>5596248.9725289997</v>
      </c>
      <c r="H66">
        <f t="shared" si="2"/>
        <v>405.02434500000004</v>
      </c>
      <c r="O66">
        <v>2.3501999999999999E-2</v>
      </c>
      <c r="P66">
        <v>2.6686999999999999E-2</v>
      </c>
      <c r="Q66" s="1">
        <v>43019</v>
      </c>
      <c r="R66" s="2">
        <v>0.47454861111111107</v>
      </c>
      <c r="U66">
        <v>405.02394500000003</v>
      </c>
    </row>
    <row r="67" spans="3:21" x14ac:dyDescent="0.3">
      <c r="C67" t="s">
        <v>71</v>
      </c>
      <c r="F67">
        <v>1844699.7957830001</v>
      </c>
      <c r="G67">
        <v>5596422.7631040001</v>
      </c>
      <c r="H67">
        <f t="shared" si="2"/>
        <v>411.02118300000001</v>
      </c>
      <c r="O67">
        <v>1.0135999999999999E-2</v>
      </c>
      <c r="P67">
        <v>1.8454999999999999E-2</v>
      </c>
      <c r="Q67" s="1">
        <v>43019</v>
      </c>
      <c r="R67" s="2">
        <v>0.45123842592592589</v>
      </c>
      <c r="U67">
        <v>411.02078299999999</v>
      </c>
    </row>
    <row r="68" spans="3:21" x14ac:dyDescent="0.3">
      <c r="C68" t="s">
        <v>72</v>
      </c>
      <c r="F68">
        <v>1844541.778161</v>
      </c>
      <c r="G68">
        <v>5596426.9206210002</v>
      </c>
      <c r="H68">
        <f t="shared" si="2"/>
        <v>413.07011900000003</v>
      </c>
      <c r="O68">
        <v>1.7627E-2</v>
      </c>
      <c r="P68">
        <v>2.3577000000000001E-2</v>
      </c>
      <c r="Q68" s="1">
        <v>43019</v>
      </c>
      <c r="R68" s="2">
        <v>0.44804398148148145</v>
      </c>
      <c r="U68">
        <v>413.06971900000002</v>
      </c>
    </row>
    <row r="69" spans="3:21" x14ac:dyDescent="0.3">
      <c r="C69" t="s">
        <v>73</v>
      </c>
      <c r="F69">
        <v>1844362.8471280001</v>
      </c>
      <c r="G69">
        <v>5596344.7735179998</v>
      </c>
      <c r="H69">
        <f t="shared" si="2"/>
        <v>412.58961800000003</v>
      </c>
      <c r="O69">
        <v>2.5281999999999999E-2</v>
      </c>
      <c r="P69">
        <v>3.4789E-2</v>
      </c>
      <c r="Q69" s="1">
        <v>43019</v>
      </c>
      <c r="R69" s="2">
        <v>0.44371527777777775</v>
      </c>
      <c r="U69">
        <v>412.58921800000002</v>
      </c>
    </row>
    <row r="70" spans="3:21" x14ac:dyDescent="0.3">
      <c r="C70" t="s">
        <v>74</v>
      </c>
      <c r="F70">
        <v>1844251.018279</v>
      </c>
      <c r="G70">
        <v>5596410.1148969997</v>
      </c>
      <c r="H70">
        <f t="shared" si="2"/>
        <v>431.26407800000004</v>
      </c>
      <c r="O70">
        <v>1.3769E-2</v>
      </c>
      <c r="P70">
        <v>1.9486E-2</v>
      </c>
      <c r="Q70" s="1">
        <v>43019</v>
      </c>
      <c r="R70" s="2">
        <v>0.43567129629629631</v>
      </c>
      <c r="U70">
        <v>431.26367800000003</v>
      </c>
    </row>
    <row r="71" spans="3:21" x14ac:dyDescent="0.3">
      <c r="C71" t="s">
        <v>75</v>
      </c>
      <c r="F71">
        <v>1844363.937071</v>
      </c>
      <c r="G71">
        <v>5596500.5783369998</v>
      </c>
      <c r="H71">
        <f t="shared" si="2"/>
        <v>423.65863999999999</v>
      </c>
      <c r="O71">
        <v>1.7485000000000001E-2</v>
      </c>
      <c r="P71">
        <v>2.4344000000000001E-2</v>
      </c>
      <c r="Q71" s="1">
        <v>43019</v>
      </c>
      <c r="R71" s="2">
        <v>0.42517361111111113</v>
      </c>
      <c r="U71">
        <v>423.65823999999998</v>
      </c>
    </row>
    <row r="72" spans="3:21" x14ac:dyDescent="0.3">
      <c r="C72" t="s">
        <v>76</v>
      </c>
      <c r="F72">
        <v>1844374.756756</v>
      </c>
      <c r="G72">
        <v>5596671.4865469998</v>
      </c>
      <c r="H72">
        <f t="shared" si="2"/>
        <v>432.20546999999999</v>
      </c>
      <c r="O72">
        <v>2.8733000000000002E-2</v>
      </c>
      <c r="P72">
        <v>3.5984000000000002E-2</v>
      </c>
      <c r="Q72" s="1">
        <v>43019</v>
      </c>
      <c r="R72" s="2">
        <v>0.41824074074074075</v>
      </c>
      <c r="U72">
        <v>432.20506999999998</v>
      </c>
    </row>
    <row r="73" spans="3:21" x14ac:dyDescent="0.3">
      <c r="C73" t="s">
        <v>77</v>
      </c>
      <c r="F73">
        <v>1844733.2436939999</v>
      </c>
      <c r="G73">
        <v>5596643.2813330004</v>
      </c>
      <c r="H73">
        <f t="shared" si="2"/>
        <v>436.83000500000003</v>
      </c>
      <c r="O73">
        <v>1.5591000000000001E-2</v>
      </c>
      <c r="P73">
        <v>1.9845000000000002E-2</v>
      </c>
      <c r="Q73" s="1">
        <v>43019</v>
      </c>
      <c r="R73" s="2">
        <v>0.41395833333333337</v>
      </c>
      <c r="U73">
        <v>436.82960500000002</v>
      </c>
    </row>
    <row r="74" spans="3:21" x14ac:dyDescent="0.3">
      <c r="C74" t="s">
        <v>78</v>
      </c>
      <c r="F74">
        <v>1844647.6198849999</v>
      </c>
      <c r="G74">
        <v>5596719.8206190001</v>
      </c>
      <c r="H74">
        <f t="shared" si="2"/>
        <v>439.10419100000001</v>
      </c>
      <c r="O74">
        <v>1.9068000000000002E-2</v>
      </c>
      <c r="P74">
        <v>2.4084999999999999E-2</v>
      </c>
      <c r="Q74" s="1">
        <v>43019</v>
      </c>
      <c r="R74" s="2">
        <v>0.41190972222222227</v>
      </c>
      <c r="U74">
        <v>439.103791</v>
      </c>
    </row>
    <row r="75" spans="3:21" x14ac:dyDescent="0.3">
      <c r="C75" t="s">
        <v>79</v>
      </c>
      <c r="F75">
        <v>1844432.3059789999</v>
      </c>
      <c r="G75">
        <v>5596765.5491420003</v>
      </c>
      <c r="H75">
        <f t="shared" si="2"/>
        <v>435.28062700000004</v>
      </c>
      <c r="O75">
        <v>2.2064E-2</v>
      </c>
      <c r="P75">
        <v>2.5443E-2</v>
      </c>
      <c r="Q75" s="1">
        <v>43019</v>
      </c>
      <c r="R75" s="2">
        <v>0.40873842592592591</v>
      </c>
      <c r="U75">
        <v>435.28022700000002</v>
      </c>
    </row>
    <row r="78" spans="3:21" x14ac:dyDescent="0.3">
      <c r="H78" s="20"/>
    </row>
  </sheetData>
  <sortState xmlns:xlrd2="http://schemas.microsoft.com/office/spreadsheetml/2017/richdata2" ref="B3:U74">
    <sortCondition ref="B3:B7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2:V42"/>
  <sheetViews>
    <sheetView workbookViewId="0">
      <selection activeCell="S40" sqref="S40"/>
    </sheetView>
  </sheetViews>
  <sheetFormatPr defaultRowHeight="14.4" x14ac:dyDescent="0.3"/>
  <cols>
    <col min="6" max="6" width="10.6640625" customWidth="1"/>
    <col min="7" max="7" width="10.5546875" customWidth="1"/>
    <col min="8" max="8" width="10.109375" customWidth="1"/>
    <col min="17" max="17" width="11.33203125" customWidth="1"/>
  </cols>
  <sheetData>
    <row r="2" spans="1:18"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row>
    <row r="3" spans="1:18" x14ac:dyDescent="0.3">
      <c r="A3" s="5" t="s">
        <v>18</v>
      </c>
      <c r="B3">
        <v>0</v>
      </c>
      <c r="C3" t="s">
        <v>18</v>
      </c>
      <c r="D3" t="s">
        <v>20</v>
      </c>
      <c r="E3" t="s">
        <v>21</v>
      </c>
      <c r="F3">
        <v>1843366.02</v>
      </c>
      <c r="G3">
        <v>5597654.9900000002</v>
      </c>
      <c r="H3">
        <v>378.29239999999999</v>
      </c>
      <c r="I3">
        <v>-0.69352899999999995</v>
      </c>
      <c r="J3">
        <v>3.0689860000000002</v>
      </c>
      <c r="K3">
        <v>396.17795699999999</v>
      </c>
      <c r="L3">
        <v>-39.736280999999998</v>
      </c>
      <c r="M3">
        <v>175.83995400000001</v>
      </c>
      <c r="N3">
        <v>396.178</v>
      </c>
      <c r="O3">
        <v>1.6761000000000002E-2</v>
      </c>
      <c r="P3">
        <v>1.7489999999999999E-2</v>
      </c>
      <c r="Q3" s="1">
        <v>42915</v>
      </c>
      <c r="R3" s="2">
        <v>0.41994212962962968</v>
      </c>
    </row>
    <row r="4" spans="1:18" x14ac:dyDescent="0.3">
      <c r="A4" s="5" t="s">
        <v>23</v>
      </c>
    </row>
    <row r="5" spans="1:18" s="21" customFormat="1" x14ac:dyDescent="0.3">
      <c r="A5" s="5" t="s">
        <v>551</v>
      </c>
    </row>
    <row r="6" spans="1:18" x14ac:dyDescent="0.3">
      <c r="A6" s="5">
        <v>1</v>
      </c>
      <c r="B6">
        <v>30</v>
      </c>
      <c r="C6">
        <v>1</v>
      </c>
      <c r="D6" t="s">
        <v>20</v>
      </c>
      <c r="E6" t="s">
        <v>33</v>
      </c>
      <c r="F6">
        <v>1844611.305807</v>
      </c>
      <c r="G6">
        <v>5596719.7224519998</v>
      </c>
      <c r="H6">
        <v>439.021253</v>
      </c>
      <c r="I6">
        <v>-0.69367000000000001</v>
      </c>
      <c r="J6">
        <v>3.0692460000000001</v>
      </c>
      <c r="K6">
        <v>456.85220600000002</v>
      </c>
      <c r="L6">
        <v>-39.744340999999999</v>
      </c>
      <c r="M6">
        <v>175.854816</v>
      </c>
      <c r="N6">
        <v>456.85224899999997</v>
      </c>
      <c r="O6">
        <v>2.4049999999999998E-2</v>
      </c>
      <c r="P6">
        <v>2.6061000000000001E-2</v>
      </c>
      <c r="Q6" s="1">
        <v>42915</v>
      </c>
      <c r="R6" s="2">
        <v>0.42841435185185189</v>
      </c>
    </row>
    <row r="7" spans="1:18" x14ac:dyDescent="0.3">
      <c r="A7" s="5">
        <v>2</v>
      </c>
      <c r="B7">
        <v>29</v>
      </c>
      <c r="C7">
        <v>2</v>
      </c>
      <c r="D7" t="s">
        <v>20</v>
      </c>
      <c r="E7" t="s">
        <v>33</v>
      </c>
      <c r="F7">
        <v>1844327.105854</v>
      </c>
      <c r="G7">
        <v>5596603.2550579999</v>
      </c>
      <c r="H7">
        <v>430.48702100000003</v>
      </c>
      <c r="I7">
        <v>-0.693689</v>
      </c>
      <c r="J7">
        <v>3.069188</v>
      </c>
      <c r="K7">
        <v>448.29298599999998</v>
      </c>
      <c r="L7">
        <v>-39.745471000000002</v>
      </c>
      <c r="M7">
        <v>175.85154700000001</v>
      </c>
      <c r="N7">
        <v>448.29302899999999</v>
      </c>
      <c r="O7">
        <v>4.3944999999999998E-2</v>
      </c>
      <c r="P7">
        <v>4.7698999999999998E-2</v>
      </c>
      <c r="Q7" s="1">
        <v>42915</v>
      </c>
      <c r="R7" s="2">
        <v>0.43212962962962959</v>
      </c>
    </row>
    <row r="8" spans="1:18" x14ac:dyDescent="0.3">
      <c r="A8" s="5">
        <v>3</v>
      </c>
      <c r="B8">
        <v>31</v>
      </c>
      <c r="C8">
        <v>3</v>
      </c>
      <c r="D8" t="s">
        <v>20</v>
      </c>
      <c r="E8" t="s">
        <v>33</v>
      </c>
      <c r="F8">
        <v>1844275.775465</v>
      </c>
      <c r="G8">
        <v>5596482.9589449996</v>
      </c>
      <c r="H8">
        <v>434.74251700000002</v>
      </c>
      <c r="I8">
        <v>-0.69370799999999999</v>
      </c>
      <c r="J8">
        <v>3.0691790000000001</v>
      </c>
      <c r="K8">
        <v>452.53429599999998</v>
      </c>
      <c r="L8">
        <v>-39.746568000000003</v>
      </c>
      <c r="M8">
        <v>175.85099299999999</v>
      </c>
      <c r="N8">
        <v>452.53433799999999</v>
      </c>
      <c r="O8">
        <v>1.8098E-2</v>
      </c>
      <c r="P8">
        <v>1.8648000000000001E-2</v>
      </c>
      <c r="Q8" s="1">
        <v>42915</v>
      </c>
      <c r="R8" s="2">
        <v>0.4220949074074074</v>
      </c>
    </row>
    <row r="9" spans="1:18" x14ac:dyDescent="0.3">
      <c r="A9" s="5">
        <v>4</v>
      </c>
      <c r="B9">
        <v>28</v>
      </c>
      <c r="C9">
        <v>4</v>
      </c>
      <c r="D9" t="s">
        <v>20</v>
      </c>
      <c r="E9" t="s">
        <v>33</v>
      </c>
      <c r="F9">
        <v>1844444.401942</v>
      </c>
      <c r="G9">
        <v>5596429.0283049997</v>
      </c>
      <c r="H9">
        <v>421.935925</v>
      </c>
      <c r="I9">
        <v>-0.693716</v>
      </c>
      <c r="J9">
        <v>3.069213</v>
      </c>
      <c r="K9">
        <v>439.73044499999997</v>
      </c>
      <c r="L9">
        <v>-39.747005000000001</v>
      </c>
      <c r="M9">
        <v>175.852979</v>
      </c>
      <c r="N9">
        <v>439.73048799999998</v>
      </c>
      <c r="O9">
        <v>2.1106E-2</v>
      </c>
      <c r="P9">
        <v>2.5035999999999999E-2</v>
      </c>
      <c r="Q9" s="1">
        <v>42915</v>
      </c>
      <c r="R9" s="2">
        <v>0.44006944444444446</v>
      </c>
    </row>
    <row r="10" spans="1:18" x14ac:dyDescent="0.3">
      <c r="A10" s="5">
        <v>5</v>
      </c>
      <c r="B10">
        <v>27</v>
      </c>
      <c r="C10">
        <v>5</v>
      </c>
      <c r="D10" t="s">
        <v>20</v>
      </c>
      <c r="E10" t="s">
        <v>33</v>
      </c>
      <c r="F10">
        <v>1844577.6274359999</v>
      </c>
      <c r="G10">
        <v>5596364.6241899999</v>
      </c>
      <c r="H10">
        <v>414.69430799999998</v>
      </c>
      <c r="I10">
        <v>-0.69372599999999995</v>
      </c>
      <c r="J10">
        <v>3.0692409999999999</v>
      </c>
      <c r="K10">
        <v>432.48883899999998</v>
      </c>
      <c r="L10">
        <v>-39.747546</v>
      </c>
      <c r="M10">
        <v>175.854556</v>
      </c>
      <c r="N10">
        <v>432.48888199999999</v>
      </c>
      <c r="O10">
        <v>2.6638999999999999E-2</v>
      </c>
      <c r="P10">
        <v>3.2377999999999997E-2</v>
      </c>
      <c r="Q10" s="1">
        <v>42915</v>
      </c>
      <c r="R10" s="2">
        <v>0.44194444444444447</v>
      </c>
    </row>
    <row r="11" spans="1:18" x14ac:dyDescent="0.3">
      <c r="A11" s="5">
        <v>6</v>
      </c>
      <c r="B11">
        <v>26</v>
      </c>
      <c r="C11">
        <v>6</v>
      </c>
      <c r="D11" t="s">
        <v>20</v>
      </c>
      <c r="E11" t="s">
        <v>33</v>
      </c>
      <c r="F11">
        <v>1844789.187559</v>
      </c>
      <c r="G11">
        <v>5596419.9587139999</v>
      </c>
      <c r="H11">
        <v>421.45979499999999</v>
      </c>
      <c r="I11">
        <v>-0.693716</v>
      </c>
      <c r="J11">
        <v>3.0692840000000001</v>
      </c>
      <c r="K11">
        <v>439.26979699999998</v>
      </c>
      <c r="L11">
        <v>-39.746988000000002</v>
      </c>
      <c r="M11">
        <v>175.85700199999999</v>
      </c>
      <c r="N11">
        <v>439.26983999999999</v>
      </c>
      <c r="O11">
        <v>3.5106999999999999E-2</v>
      </c>
      <c r="P11">
        <v>4.3319999999999997E-2</v>
      </c>
      <c r="Q11" s="1">
        <v>42915</v>
      </c>
      <c r="R11" s="2">
        <v>0.44435185185185189</v>
      </c>
    </row>
    <row r="12" spans="1:18" x14ac:dyDescent="0.3">
      <c r="A12" s="5">
        <v>7</v>
      </c>
      <c r="B12">
        <v>25</v>
      </c>
      <c r="C12">
        <v>7</v>
      </c>
      <c r="D12" t="s">
        <v>20</v>
      </c>
      <c r="E12" t="s">
        <v>33</v>
      </c>
      <c r="F12">
        <v>1844897.351181</v>
      </c>
      <c r="G12">
        <v>5596315.4784270003</v>
      </c>
      <c r="H12">
        <v>399.13826</v>
      </c>
      <c r="I12">
        <v>-0.69373200000000002</v>
      </c>
      <c r="J12">
        <v>3.0693060000000001</v>
      </c>
      <c r="K12">
        <v>416.943105</v>
      </c>
      <c r="L12">
        <v>-39.747897000000002</v>
      </c>
      <c r="M12">
        <v>175.85830100000001</v>
      </c>
      <c r="N12">
        <v>416.94314800000001</v>
      </c>
      <c r="O12">
        <v>2.5731E-2</v>
      </c>
      <c r="P12">
        <v>3.1572000000000003E-2</v>
      </c>
      <c r="Q12" s="1">
        <v>42915</v>
      </c>
      <c r="R12" s="2">
        <v>0.44796296296296295</v>
      </c>
    </row>
    <row r="13" spans="1:18" x14ac:dyDescent="0.3">
      <c r="A13" s="5">
        <v>8</v>
      </c>
      <c r="B13">
        <v>24</v>
      </c>
      <c r="C13">
        <v>8</v>
      </c>
      <c r="D13" t="s">
        <v>20</v>
      </c>
      <c r="E13" t="s">
        <v>33</v>
      </c>
      <c r="F13">
        <v>1844684.8673930001</v>
      </c>
      <c r="G13">
        <v>5596191.6851859996</v>
      </c>
      <c r="H13">
        <v>403.01876499999997</v>
      </c>
      <c r="I13">
        <v>-0.69375200000000004</v>
      </c>
      <c r="J13">
        <v>3.069264</v>
      </c>
      <c r="K13">
        <v>420.80139400000002</v>
      </c>
      <c r="L13">
        <v>-39.749071999999998</v>
      </c>
      <c r="M13">
        <v>175.85587000000001</v>
      </c>
      <c r="N13">
        <v>420.80143700000002</v>
      </c>
      <c r="O13">
        <v>2.5339E-2</v>
      </c>
      <c r="P13">
        <v>3.4407E-2</v>
      </c>
      <c r="Q13" s="1">
        <v>42915</v>
      </c>
      <c r="R13" s="2">
        <v>0.4525925925925926</v>
      </c>
    </row>
    <row r="14" spans="1:18" x14ac:dyDescent="0.3">
      <c r="A14" s="5">
        <v>9</v>
      </c>
      <c r="B14">
        <v>23</v>
      </c>
      <c r="C14">
        <v>9</v>
      </c>
      <c r="D14" t="s">
        <v>20</v>
      </c>
      <c r="E14" t="s">
        <v>33</v>
      </c>
      <c r="F14">
        <v>1844488.4974839999</v>
      </c>
      <c r="G14">
        <v>5596190.1509229997</v>
      </c>
      <c r="H14">
        <v>401.09909199999998</v>
      </c>
      <c r="I14">
        <v>-0.69375299999999995</v>
      </c>
      <c r="J14">
        <v>3.0692240000000002</v>
      </c>
      <c r="K14">
        <v>418.87231700000001</v>
      </c>
      <c r="L14">
        <v>-39.749141999999999</v>
      </c>
      <c r="M14">
        <v>175.85358199999999</v>
      </c>
      <c r="N14">
        <v>418.87236000000001</v>
      </c>
      <c r="O14">
        <v>2.6084E-2</v>
      </c>
      <c r="P14">
        <v>3.5855999999999999E-2</v>
      </c>
      <c r="Q14" s="1">
        <v>42915</v>
      </c>
      <c r="R14" s="2">
        <v>0.45475694444444442</v>
      </c>
    </row>
    <row r="15" spans="1:18" x14ac:dyDescent="0.3">
      <c r="A15" s="5">
        <v>10</v>
      </c>
      <c r="B15">
        <v>22</v>
      </c>
      <c r="C15">
        <v>10</v>
      </c>
      <c r="D15" t="s">
        <v>20</v>
      </c>
      <c r="E15" t="s">
        <v>33</v>
      </c>
      <c r="F15">
        <v>1844340.2663519999</v>
      </c>
      <c r="G15">
        <v>5596229.1569429999</v>
      </c>
      <c r="H15">
        <v>405.92341299999998</v>
      </c>
      <c r="I15">
        <v>-0.69374800000000003</v>
      </c>
      <c r="J15">
        <v>3.069194</v>
      </c>
      <c r="K15">
        <v>423.693466</v>
      </c>
      <c r="L15">
        <v>-39.748834000000002</v>
      </c>
      <c r="M15">
        <v>175.85183900000001</v>
      </c>
      <c r="N15">
        <v>423.69350800000001</v>
      </c>
      <c r="O15">
        <v>3.4109E-2</v>
      </c>
      <c r="P15">
        <v>4.5200999999999998E-2</v>
      </c>
      <c r="Q15" s="1">
        <v>42915</v>
      </c>
      <c r="R15" s="2">
        <v>0.45679398148148148</v>
      </c>
    </row>
    <row r="16" spans="1:18" x14ac:dyDescent="0.3">
      <c r="A16" s="5">
        <v>11</v>
      </c>
      <c r="B16">
        <v>20</v>
      </c>
      <c r="C16">
        <v>11</v>
      </c>
      <c r="D16" t="s">
        <v>20</v>
      </c>
      <c r="E16" t="s">
        <v>33</v>
      </c>
      <c r="F16">
        <v>1844394.842007</v>
      </c>
      <c r="G16">
        <v>5596017.963982</v>
      </c>
      <c r="H16">
        <v>390.16377699999998</v>
      </c>
      <c r="I16">
        <v>-0.69378099999999998</v>
      </c>
      <c r="J16">
        <v>3.0692059999999999</v>
      </c>
      <c r="K16">
        <v>407.91612400000002</v>
      </c>
      <c r="L16">
        <v>-39.750717999999999</v>
      </c>
      <c r="M16">
        <v>175.852554</v>
      </c>
      <c r="N16">
        <v>407.91616699999997</v>
      </c>
      <c r="O16">
        <v>3.0737E-2</v>
      </c>
      <c r="P16">
        <v>3.7331000000000003E-2</v>
      </c>
      <c r="Q16" s="1">
        <v>42915</v>
      </c>
      <c r="R16" s="2">
        <v>0.47116898148148145</v>
      </c>
    </row>
    <row r="17" spans="1:18" x14ac:dyDescent="0.3">
      <c r="A17" s="5">
        <v>12</v>
      </c>
      <c r="B17">
        <v>19</v>
      </c>
      <c r="C17">
        <v>12</v>
      </c>
      <c r="D17" t="s">
        <v>20</v>
      </c>
      <c r="E17" t="s">
        <v>33</v>
      </c>
      <c r="F17">
        <v>1844569.8312570001</v>
      </c>
      <c r="G17">
        <v>5596018.0355719998</v>
      </c>
      <c r="H17">
        <v>398.17580700000002</v>
      </c>
      <c r="I17">
        <v>-0.69377999999999995</v>
      </c>
      <c r="J17">
        <v>3.069242</v>
      </c>
      <c r="K17">
        <v>415.93639000000002</v>
      </c>
      <c r="L17">
        <v>-39.750667999999997</v>
      </c>
      <c r="M17">
        <v>175.85459399999999</v>
      </c>
      <c r="N17">
        <v>415.93643300000002</v>
      </c>
      <c r="O17">
        <v>4.2273999999999999E-2</v>
      </c>
      <c r="P17">
        <v>5.6510999999999999E-2</v>
      </c>
      <c r="Q17" s="1">
        <v>42915</v>
      </c>
      <c r="R17" s="2">
        <v>0.47423611111111108</v>
      </c>
    </row>
    <row r="18" spans="1:18" x14ac:dyDescent="0.3">
      <c r="A18" s="5">
        <v>13</v>
      </c>
      <c r="B18">
        <v>18</v>
      </c>
      <c r="C18">
        <v>13</v>
      </c>
      <c r="D18" t="s">
        <v>20</v>
      </c>
      <c r="E18" t="s">
        <v>33</v>
      </c>
      <c r="F18">
        <v>1844676.032837</v>
      </c>
      <c r="G18">
        <v>5595953.1640929999</v>
      </c>
      <c r="H18">
        <v>392.28956199999999</v>
      </c>
      <c r="I18">
        <v>-0.69379000000000002</v>
      </c>
      <c r="J18">
        <v>3.069264</v>
      </c>
      <c r="K18">
        <v>410.049148</v>
      </c>
      <c r="L18">
        <v>-39.751221000000001</v>
      </c>
      <c r="M18">
        <v>175.85585599999999</v>
      </c>
      <c r="N18">
        <v>410.04919100000001</v>
      </c>
      <c r="O18">
        <v>2.6048000000000002E-2</v>
      </c>
      <c r="P18">
        <v>3.5001999999999998E-2</v>
      </c>
      <c r="Q18" s="1">
        <v>42915</v>
      </c>
      <c r="R18" s="2">
        <v>0.47971064814814812</v>
      </c>
    </row>
    <row r="19" spans="1:18" x14ac:dyDescent="0.3">
      <c r="A19" s="5">
        <v>14</v>
      </c>
      <c r="B19">
        <v>12</v>
      </c>
      <c r="C19">
        <v>14</v>
      </c>
      <c r="D19" t="s">
        <v>20</v>
      </c>
      <c r="E19" t="s">
        <v>33</v>
      </c>
      <c r="F19">
        <v>1844385.6499030001</v>
      </c>
      <c r="G19">
        <v>5595880.0496920003</v>
      </c>
      <c r="H19">
        <v>382.92093699999998</v>
      </c>
      <c r="I19">
        <v>-0.69380299999999995</v>
      </c>
      <c r="J19">
        <v>3.0692050000000002</v>
      </c>
      <c r="K19">
        <v>400.66000600000001</v>
      </c>
      <c r="L19">
        <v>-39.751961999999999</v>
      </c>
      <c r="M19">
        <v>175.852498</v>
      </c>
      <c r="N19">
        <v>400.66004900000001</v>
      </c>
      <c r="O19">
        <v>2.4045E-2</v>
      </c>
      <c r="P19">
        <v>3.1262999999999999E-2</v>
      </c>
      <c r="Q19" s="1">
        <v>42915</v>
      </c>
      <c r="R19" s="2">
        <v>0.53260416666666666</v>
      </c>
    </row>
    <row r="20" spans="1:18" x14ac:dyDescent="0.3">
      <c r="A20" s="5">
        <v>15</v>
      </c>
      <c r="B20">
        <v>21</v>
      </c>
      <c r="C20">
        <v>15</v>
      </c>
      <c r="D20" t="s">
        <v>20</v>
      </c>
      <c r="E20" t="s">
        <v>33</v>
      </c>
      <c r="F20">
        <v>1844189.9219780001</v>
      </c>
      <c r="G20">
        <v>5596021.502758</v>
      </c>
      <c r="H20">
        <v>396.03348499999998</v>
      </c>
      <c r="I20">
        <v>-0.69378099999999998</v>
      </c>
      <c r="J20">
        <v>3.0691639999999998</v>
      </c>
      <c r="K20">
        <v>413.77652</v>
      </c>
      <c r="L20">
        <v>-39.750745000000002</v>
      </c>
      <c r="M20">
        <v>175.85016300000001</v>
      </c>
      <c r="N20">
        <v>413.77656300000001</v>
      </c>
      <c r="O20">
        <v>2.1212999999999999E-2</v>
      </c>
      <c r="P20">
        <v>2.7082999999999999E-2</v>
      </c>
      <c r="Q20" s="1">
        <v>42915</v>
      </c>
      <c r="R20" s="2">
        <v>0.46523148148148147</v>
      </c>
    </row>
    <row r="21" spans="1:18" x14ac:dyDescent="0.3">
      <c r="A21" s="5">
        <v>16</v>
      </c>
      <c r="B21" s="21"/>
      <c r="C21" s="21"/>
      <c r="D21" s="21"/>
      <c r="E21" s="21"/>
      <c r="F21" s="21"/>
      <c r="G21" s="21"/>
      <c r="H21" s="21"/>
      <c r="I21" s="21"/>
      <c r="J21" s="21"/>
      <c r="K21" s="21"/>
      <c r="L21" s="21"/>
      <c r="M21" s="21"/>
      <c r="N21" s="21"/>
      <c r="O21" s="21"/>
      <c r="P21" s="21"/>
      <c r="Q21" s="1"/>
      <c r="R21" s="2"/>
    </row>
    <row r="22" spans="1:18" x14ac:dyDescent="0.3">
      <c r="A22" s="5">
        <v>17</v>
      </c>
      <c r="B22">
        <v>13</v>
      </c>
      <c r="C22">
        <v>17</v>
      </c>
      <c r="D22" t="s">
        <v>20</v>
      </c>
      <c r="E22" t="s">
        <v>33</v>
      </c>
      <c r="F22">
        <v>1844523.252509</v>
      </c>
      <c r="G22">
        <v>5595819.7512879996</v>
      </c>
      <c r="H22">
        <v>368.54856599999999</v>
      </c>
      <c r="I22">
        <v>-0.69381099999999996</v>
      </c>
      <c r="J22">
        <v>3.0692330000000001</v>
      </c>
      <c r="K22">
        <v>386.28856999999999</v>
      </c>
      <c r="L22">
        <v>-39.752465000000001</v>
      </c>
      <c r="M22">
        <v>175.85412400000001</v>
      </c>
      <c r="N22">
        <v>386.288612</v>
      </c>
      <c r="O22">
        <v>3.3723999999999997E-2</v>
      </c>
      <c r="P22">
        <v>4.5100000000000001E-2</v>
      </c>
      <c r="Q22" s="1">
        <v>42915</v>
      </c>
      <c r="R22" s="2">
        <v>0.5154050925925926</v>
      </c>
    </row>
    <row r="23" spans="1:18" x14ac:dyDescent="0.3">
      <c r="A23" s="5">
        <v>18</v>
      </c>
      <c r="B23">
        <v>17</v>
      </c>
      <c r="C23">
        <v>18</v>
      </c>
      <c r="D23" t="s">
        <v>20</v>
      </c>
      <c r="E23" t="s">
        <v>33</v>
      </c>
      <c r="F23">
        <v>1844707.844576</v>
      </c>
      <c r="G23">
        <v>5595726.0888099996</v>
      </c>
      <c r="H23">
        <v>376.02136400000001</v>
      </c>
      <c r="I23">
        <v>-0.69382500000000003</v>
      </c>
      <c r="J23">
        <v>3.0692719999999998</v>
      </c>
      <c r="K23">
        <v>393.76151599999997</v>
      </c>
      <c r="L23">
        <v>-39.753255000000003</v>
      </c>
      <c r="M23">
        <v>175.85631100000001</v>
      </c>
      <c r="N23">
        <v>393.76155799999998</v>
      </c>
      <c r="O23">
        <v>3.9981999999999997E-2</v>
      </c>
      <c r="P23">
        <v>5.4101000000000003E-2</v>
      </c>
      <c r="Q23" s="1">
        <v>42915</v>
      </c>
      <c r="R23" s="2">
        <v>0.48493055555555559</v>
      </c>
    </row>
    <row r="24" spans="1:18" x14ac:dyDescent="0.3">
      <c r="A24" s="5">
        <v>19</v>
      </c>
      <c r="B24">
        <v>16</v>
      </c>
      <c r="C24">
        <v>19</v>
      </c>
      <c r="D24" t="s">
        <v>20</v>
      </c>
      <c r="E24" t="s">
        <v>33</v>
      </c>
      <c r="F24">
        <v>1844645.048919</v>
      </c>
      <c r="G24">
        <v>5595688.1156749995</v>
      </c>
      <c r="H24">
        <v>359.532196</v>
      </c>
      <c r="I24">
        <v>-0.69383099999999998</v>
      </c>
      <c r="J24">
        <v>3.0692590000000002</v>
      </c>
      <c r="K24">
        <v>377.26583699999998</v>
      </c>
      <c r="L24">
        <v>-39.753615000000003</v>
      </c>
      <c r="M24">
        <v>175.855593</v>
      </c>
      <c r="N24">
        <v>377.26587899999998</v>
      </c>
      <c r="O24">
        <v>3.8127000000000001E-2</v>
      </c>
      <c r="P24">
        <v>5.1216999999999999E-2</v>
      </c>
      <c r="Q24" s="1">
        <v>42915</v>
      </c>
      <c r="R24" s="2">
        <v>0.48856481481481479</v>
      </c>
    </row>
    <row r="25" spans="1:18" x14ac:dyDescent="0.3">
      <c r="A25" s="5">
        <v>20</v>
      </c>
      <c r="B25">
        <v>14</v>
      </c>
      <c r="C25">
        <v>20</v>
      </c>
      <c r="D25" t="s">
        <v>20</v>
      </c>
      <c r="E25" t="s">
        <v>33</v>
      </c>
      <c r="F25">
        <v>1844629.354935</v>
      </c>
      <c r="G25">
        <v>5595614.8131410005</v>
      </c>
      <c r="H25">
        <v>333.58196400000003</v>
      </c>
      <c r="I25">
        <v>-0.69384299999999999</v>
      </c>
      <c r="J25">
        <v>3.0692560000000002</v>
      </c>
      <c r="K25">
        <v>351.30808000000002</v>
      </c>
      <c r="L25">
        <v>-39.754278999999997</v>
      </c>
      <c r="M25">
        <v>175.85543799999999</v>
      </c>
      <c r="N25">
        <v>351.30812300000002</v>
      </c>
      <c r="O25">
        <v>4.2287999999999999E-2</v>
      </c>
      <c r="P25">
        <v>6.0614000000000001E-2</v>
      </c>
      <c r="Q25" s="1">
        <v>42915</v>
      </c>
      <c r="R25" s="2">
        <v>0.50947916666666659</v>
      </c>
    </row>
    <row r="26" spans="1:18" x14ac:dyDescent="0.3">
      <c r="A26" s="5">
        <v>21</v>
      </c>
      <c r="B26">
        <v>9</v>
      </c>
      <c r="C26">
        <v>21</v>
      </c>
      <c r="D26" t="s">
        <v>20</v>
      </c>
      <c r="E26" t="s">
        <v>33</v>
      </c>
      <c r="F26">
        <v>1844485.6493859999</v>
      </c>
      <c r="G26">
        <v>5595555.6060720002</v>
      </c>
      <c r="H26">
        <v>311.37959499999999</v>
      </c>
      <c r="I26">
        <v>-0.69385300000000005</v>
      </c>
      <c r="J26">
        <v>3.0692279999999998</v>
      </c>
      <c r="K26">
        <v>329.09329400000001</v>
      </c>
      <c r="L26">
        <v>-39.754852999999997</v>
      </c>
      <c r="M26">
        <v>175.85378399999999</v>
      </c>
      <c r="N26">
        <v>329.09333700000002</v>
      </c>
      <c r="O26">
        <v>2.2588E-2</v>
      </c>
      <c r="P26">
        <v>2.8903999999999999E-2</v>
      </c>
      <c r="Q26" s="1">
        <v>42915</v>
      </c>
      <c r="R26" s="2">
        <v>0.55553240740740739</v>
      </c>
    </row>
    <row r="27" spans="1:18" x14ac:dyDescent="0.3">
      <c r="A27" s="5">
        <v>22</v>
      </c>
      <c r="B27">
        <v>10</v>
      </c>
      <c r="C27">
        <v>22</v>
      </c>
      <c r="D27" t="s">
        <v>20</v>
      </c>
      <c r="E27" t="s">
        <v>33</v>
      </c>
      <c r="F27">
        <v>1844448.518163</v>
      </c>
      <c r="G27">
        <v>5595452.8738000002</v>
      </c>
      <c r="H27">
        <v>303.42288400000001</v>
      </c>
      <c r="I27">
        <v>-0.69386899999999996</v>
      </c>
      <c r="J27">
        <v>3.0692210000000002</v>
      </c>
      <c r="K27">
        <v>321.125247</v>
      </c>
      <c r="L27">
        <v>-39.755788000000003</v>
      </c>
      <c r="M27">
        <v>175.85338899999999</v>
      </c>
      <c r="N27">
        <v>321.12528900000001</v>
      </c>
      <c r="O27">
        <v>2.0382000000000001E-2</v>
      </c>
      <c r="P27">
        <v>2.546E-2</v>
      </c>
      <c r="Q27" s="1">
        <v>42915</v>
      </c>
      <c r="R27" s="2">
        <v>0.55287037037037035</v>
      </c>
    </row>
    <row r="28" spans="1:18" x14ac:dyDescent="0.3">
      <c r="A28" s="5">
        <v>23</v>
      </c>
      <c r="B28">
        <v>11</v>
      </c>
      <c r="C28">
        <v>23</v>
      </c>
      <c r="D28" t="s">
        <v>20</v>
      </c>
      <c r="E28" t="s">
        <v>33</v>
      </c>
      <c r="F28">
        <v>1844378.7898329999</v>
      </c>
      <c r="G28">
        <v>5595386.1871920004</v>
      </c>
      <c r="H28">
        <v>310.800725</v>
      </c>
      <c r="I28">
        <v>-0.69388000000000005</v>
      </c>
      <c r="J28">
        <v>3.069207</v>
      </c>
      <c r="K28">
        <v>328.49348800000001</v>
      </c>
      <c r="L28">
        <v>-39.756408</v>
      </c>
      <c r="M28">
        <v>175.85260099999999</v>
      </c>
      <c r="N28">
        <v>328.49353100000002</v>
      </c>
      <c r="O28">
        <v>2.8001000000000002E-2</v>
      </c>
      <c r="P28">
        <v>3.3065999999999998E-2</v>
      </c>
      <c r="Q28" s="1">
        <v>42915</v>
      </c>
      <c r="R28" s="2">
        <v>0.54912037037037031</v>
      </c>
    </row>
    <row r="29" spans="1:18" x14ac:dyDescent="0.3">
      <c r="A29" s="5">
        <v>24</v>
      </c>
      <c r="B29">
        <v>8</v>
      </c>
      <c r="C29">
        <v>24</v>
      </c>
      <c r="D29" t="s">
        <v>20</v>
      </c>
      <c r="E29" t="s">
        <v>33</v>
      </c>
      <c r="F29">
        <v>1844363.7970100001</v>
      </c>
      <c r="G29">
        <v>5595619.3842359995</v>
      </c>
      <c r="H29">
        <v>327.05747600000001</v>
      </c>
      <c r="I29">
        <v>-0.69384400000000002</v>
      </c>
      <c r="J29">
        <v>3.0692020000000002</v>
      </c>
      <c r="K29">
        <v>344.77122200000002</v>
      </c>
      <c r="L29">
        <v>-39.754314000000001</v>
      </c>
      <c r="M29">
        <v>175.85234</v>
      </c>
      <c r="N29">
        <v>344.77126500000003</v>
      </c>
      <c r="O29">
        <v>3.4484000000000001E-2</v>
      </c>
      <c r="P29">
        <v>4.2299000000000003E-2</v>
      </c>
      <c r="Q29" s="1">
        <v>42915</v>
      </c>
      <c r="R29" s="2">
        <v>0.56012731481481481</v>
      </c>
    </row>
    <row r="30" spans="1:18" x14ac:dyDescent="0.3">
      <c r="A30" s="5">
        <v>25</v>
      </c>
      <c r="B30">
        <v>3</v>
      </c>
      <c r="C30">
        <v>25</v>
      </c>
      <c r="D30" t="s">
        <v>20</v>
      </c>
      <c r="E30" t="s">
        <v>33</v>
      </c>
      <c r="F30">
        <v>1844341.3620140001</v>
      </c>
      <c r="G30">
        <v>5595529.6846169997</v>
      </c>
      <c r="H30">
        <v>316.58227900000003</v>
      </c>
      <c r="I30">
        <v>-0.69385799999999997</v>
      </c>
      <c r="J30">
        <v>3.0691980000000001</v>
      </c>
      <c r="K30">
        <v>334.286585</v>
      </c>
      <c r="L30">
        <v>-39.755127999999999</v>
      </c>
      <c r="M30">
        <v>175.85211200000001</v>
      </c>
      <c r="N30">
        <v>334.28662700000001</v>
      </c>
      <c r="O30">
        <v>4.1546E-2</v>
      </c>
      <c r="P30">
        <v>5.0243999999999997E-2</v>
      </c>
      <c r="Q30" s="1">
        <v>42915</v>
      </c>
      <c r="R30" s="2">
        <v>0.59564814814814815</v>
      </c>
    </row>
    <row r="31" spans="1:18" x14ac:dyDescent="0.3">
      <c r="A31" s="5">
        <v>26</v>
      </c>
      <c r="B31">
        <v>4</v>
      </c>
      <c r="C31">
        <v>26</v>
      </c>
      <c r="D31" t="s">
        <v>20</v>
      </c>
      <c r="E31" t="s">
        <v>33</v>
      </c>
      <c r="F31">
        <v>1844302.9112249999</v>
      </c>
      <c r="G31">
        <v>5595520.1589989997</v>
      </c>
      <c r="H31">
        <v>315.53779300000002</v>
      </c>
      <c r="I31">
        <v>-0.69386000000000003</v>
      </c>
      <c r="J31">
        <v>3.069191</v>
      </c>
      <c r="K31">
        <v>333.23934600000001</v>
      </c>
      <c r="L31">
        <v>-39.755225000000003</v>
      </c>
      <c r="M31">
        <v>175.85166699999999</v>
      </c>
      <c r="N31">
        <v>333.23938900000002</v>
      </c>
      <c r="Q31" s="21" t="s">
        <v>19</v>
      </c>
      <c r="R31" s="21" t="s">
        <v>19</v>
      </c>
    </row>
    <row r="32" spans="1:18" x14ac:dyDescent="0.3">
      <c r="A32" s="5">
        <v>27</v>
      </c>
      <c r="B32">
        <v>5</v>
      </c>
      <c r="C32">
        <v>27</v>
      </c>
      <c r="D32" t="s">
        <v>20</v>
      </c>
      <c r="E32" t="s">
        <v>33</v>
      </c>
      <c r="F32">
        <v>1844185.1372690001</v>
      </c>
      <c r="G32">
        <v>5595587.5618110001</v>
      </c>
      <c r="H32">
        <v>355.96629000000001</v>
      </c>
      <c r="I32">
        <v>-0.69384999999999997</v>
      </c>
      <c r="J32">
        <v>3.0691660000000001</v>
      </c>
      <c r="K32">
        <v>373.66844400000002</v>
      </c>
      <c r="L32">
        <v>-39.754652</v>
      </c>
      <c r="M32">
        <v>175.850269</v>
      </c>
      <c r="N32">
        <v>373.66848700000003</v>
      </c>
      <c r="O32">
        <v>2.2433999999999999E-2</v>
      </c>
      <c r="P32">
        <v>2.6596999999999999E-2</v>
      </c>
      <c r="Q32" s="1">
        <v>42915</v>
      </c>
      <c r="R32" s="2">
        <v>0.58657407407407403</v>
      </c>
    </row>
    <row r="33" spans="1:22" x14ac:dyDescent="0.3">
      <c r="A33" s="5">
        <v>28</v>
      </c>
      <c r="B33">
        <v>7</v>
      </c>
      <c r="C33">
        <v>28</v>
      </c>
      <c r="D33" t="s">
        <v>20</v>
      </c>
      <c r="E33" t="s">
        <v>33</v>
      </c>
      <c r="F33">
        <v>1844265.5111370001</v>
      </c>
      <c r="G33">
        <v>5595682.3816579999</v>
      </c>
      <c r="H33">
        <v>334.77638000000002</v>
      </c>
      <c r="I33">
        <v>-0.69383399999999995</v>
      </c>
      <c r="J33">
        <v>3.0691820000000001</v>
      </c>
      <c r="K33">
        <v>352.49127499999997</v>
      </c>
      <c r="L33">
        <v>-39.753774999999997</v>
      </c>
      <c r="M33">
        <v>175.85117099999999</v>
      </c>
      <c r="N33">
        <v>352.49131799999998</v>
      </c>
      <c r="O33">
        <v>3.6421000000000002E-2</v>
      </c>
      <c r="P33">
        <v>5.6158E-2</v>
      </c>
      <c r="Q33" s="1">
        <v>42915</v>
      </c>
      <c r="R33" s="2">
        <v>0.56895833333333334</v>
      </c>
    </row>
    <row r="34" spans="1:22" x14ac:dyDescent="0.3">
      <c r="A34" s="24">
        <v>29</v>
      </c>
      <c r="B34" s="12">
        <v>6</v>
      </c>
      <c r="C34" s="12">
        <v>29</v>
      </c>
      <c r="D34" s="12" t="s">
        <v>20</v>
      </c>
      <c r="E34" s="12" t="s">
        <v>33</v>
      </c>
      <c r="F34" s="12">
        <v>1844374.033052</v>
      </c>
      <c r="G34" s="12">
        <v>5595700.7660039999</v>
      </c>
      <c r="H34" s="12">
        <v>337.75629700000002</v>
      </c>
      <c r="I34" s="12">
        <v>-0.69383099999999998</v>
      </c>
      <c r="J34" s="12">
        <v>3.069204</v>
      </c>
      <c r="K34" s="12">
        <v>355.478116</v>
      </c>
      <c r="L34" s="12">
        <v>-39.753579000000002</v>
      </c>
      <c r="M34" s="12">
        <v>175.852429</v>
      </c>
      <c r="N34" s="12">
        <v>355.47815800000001</v>
      </c>
      <c r="O34" s="12"/>
      <c r="P34" s="12"/>
      <c r="Q34" s="12" t="s">
        <v>19</v>
      </c>
      <c r="R34" s="12" t="s">
        <v>19</v>
      </c>
      <c r="S34" t="s">
        <v>537</v>
      </c>
      <c r="U34" s="21"/>
      <c r="V34" s="21"/>
    </row>
    <row r="35" spans="1:22" x14ac:dyDescent="0.3">
      <c r="A35" s="5" t="s">
        <v>26</v>
      </c>
    </row>
    <row r="36" spans="1:22" x14ac:dyDescent="0.3">
      <c r="B36">
        <v>15</v>
      </c>
      <c r="C36" t="s">
        <v>26</v>
      </c>
      <c r="D36" t="s">
        <v>20</v>
      </c>
      <c r="E36" t="s">
        <v>33</v>
      </c>
      <c r="F36">
        <v>1844715.244041</v>
      </c>
      <c r="G36">
        <v>5595571.093328</v>
      </c>
      <c r="H36">
        <v>340.39374900000001</v>
      </c>
      <c r="I36">
        <v>-0.69384900000000005</v>
      </c>
      <c r="J36">
        <v>3.0692740000000001</v>
      </c>
      <c r="K36">
        <v>358.11997400000001</v>
      </c>
      <c r="L36">
        <v>-39.754648000000003</v>
      </c>
      <c r="M36">
        <v>175.85645500000001</v>
      </c>
      <c r="N36">
        <v>358.12001600000002</v>
      </c>
      <c r="O36">
        <v>3.2968999999999998E-2</v>
      </c>
      <c r="P36">
        <v>4.2589000000000002E-2</v>
      </c>
      <c r="Q36" s="1">
        <v>42915</v>
      </c>
      <c r="R36" s="2">
        <v>0.4931828703703704</v>
      </c>
    </row>
    <row r="37" spans="1:22" x14ac:dyDescent="0.3">
      <c r="A37" s="21"/>
      <c r="B37">
        <v>2</v>
      </c>
      <c r="C37" t="s">
        <v>81</v>
      </c>
      <c r="D37" t="s">
        <v>20</v>
      </c>
      <c r="E37" t="s">
        <v>33</v>
      </c>
      <c r="F37">
        <v>1844378.793049</v>
      </c>
      <c r="G37">
        <v>5595386.183309</v>
      </c>
      <c r="H37">
        <v>310.80989299999999</v>
      </c>
      <c r="I37">
        <v>-0.69388000000000005</v>
      </c>
      <c r="J37">
        <v>3.069207</v>
      </c>
      <c r="K37">
        <v>328.502656</v>
      </c>
      <c r="L37">
        <v>-39.756408</v>
      </c>
      <c r="M37">
        <v>175.85260099999999</v>
      </c>
      <c r="N37">
        <v>328.50269900000001</v>
      </c>
      <c r="O37">
        <v>3.3030999999999998E-2</v>
      </c>
      <c r="P37">
        <v>3.9308999999999997E-2</v>
      </c>
      <c r="Q37" s="1">
        <v>42915</v>
      </c>
      <c r="R37" s="2">
        <v>0.60053240740740743</v>
      </c>
    </row>
    <row r="38" spans="1:22" x14ac:dyDescent="0.3">
      <c r="A38" s="21"/>
      <c r="B38">
        <v>1</v>
      </c>
      <c r="C38" t="s">
        <v>80</v>
      </c>
      <c r="D38" t="s">
        <v>20</v>
      </c>
      <c r="E38" t="s">
        <v>33</v>
      </c>
      <c r="F38">
        <v>1844327.1141979999</v>
      </c>
      <c r="G38">
        <v>5596603.2466679998</v>
      </c>
      <c r="H38">
        <v>430.47897599999999</v>
      </c>
      <c r="I38">
        <v>-0.693689</v>
      </c>
      <c r="J38">
        <v>3.069188</v>
      </c>
      <c r="K38">
        <v>448.28494000000001</v>
      </c>
      <c r="L38">
        <v>-39.745471000000002</v>
      </c>
      <c r="M38">
        <v>175.85154700000001</v>
      </c>
      <c r="N38">
        <v>448.28498300000001</v>
      </c>
      <c r="O38">
        <v>2.9333000000000001E-2</v>
      </c>
      <c r="P38">
        <v>3.3249000000000001E-2</v>
      </c>
      <c r="Q38" s="1">
        <v>42915</v>
      </c>
      <c r="R38" s="2">
        <v>0.62434027777777779</v>
      </c>
    </row>
    <row r="39" spans="1:22" s="21" customFormat="1" x14ac:dyDescent="0.3">
      <c r="B39">
        <v>32</v>
      </c>
      <c r="C39" t="s">
        <v>23</v>
      </c>
      <c r="D39" t="s">
        <v>20</v>
      </c>
      <c r="E39" t="s">
        <v>23</v>
      </c>
      <c r="F39">
        <v>1844251.6385619999</v>
      </c>
      <c r="G39">
        <v>5596413.7160400003</v>
      </c>
      <c r="H39">
        <v>431.58415500000001</v>
      </c>
      <c r="I39">
        <v>-0.69371899999999997</v>
      </c>
      <c r="J39">
        <v>3.0691739999999998</v>
      </c>
      <c r="K39">
        <v>449.36803300000003</v>
      </c>
      <c r="L39">
        <v>-39.747197999999997</v>
      </c>
      <c r="M39">
        <v>175.85073700000001</v>
      </c>
      <c r="N39">
        <v>449.36807599999997</v>
      </c>
      <c r="O39">
        <v>1.6761000000000002E-2</v>
      </c>
      <c r="P39">
        <v>1.7489999999999999E-2</v>
      </c>
      <c r="Q39" s="1">
        <v>42915</v>
      </c>
      <c r="R39" s="2">
        <v>0.41994212962962968</v>
      </c>
      <c r="S39" s="21" t="s">
        <v>577</v>
      </c>
    </row>
    <row r="40" spans="1:22" x14ac:dyDescent="0.3">
      <c r="O40">
        <f>MAX(O3:O39)</f>
        <v>4.3944999999999998E-2</v>
      </c>
      <c r="P40" s="21">
        <f>MAX(P3:P39)</f>
        <v>6.0614000000000001E-2</v>
      </c>
    </row>
    <row r="41" spans="1:22" x14ac:dyDescent="0.3">
      <c r="D41" t="s">
        <v>472</v>
      </c>
      <c r="E41">
        <v>23</v>
      </c>
      <c r="F41">
        <f>F37-F28</f>
        <v>3.2160000409930944E-3</v>
      </c>
      <c r="G41" s="21">
        <f t="shared" ref="G41:H41" si="0">G37-G28</f>
        <v>-3.8830004632472992E-3</v>
      </c>
      <c r="H41" s="21">
        <f t="shared" si="0"/>
        <v>9.1679999999882966E-3</v>
      </c>
      <c r="O41">
        <f>AVERAGE(O3:O39)</f>
        <v>2.9463129032258072E-2</v>
      </c>
      <c r="P41" s="21">
        <f>AVERAGE(P3:P39)</f>
        <v>3.7137258064516135E-2</v>
      </c>
    </row>
    <row r="42" spans="1:22" x14ac:dyDescent="0.3">
      <c r="E42">
        <v>2</v>
      </c>
      <c r="F42">
        <f>F38-F7</f>
        <v>8.3439999725669622E-3</v>
      </c>
      <c r="G42" s="21">
        <f t="shared" ref="G42:H42" si="1">G38-G7</f>
        <v>-8.3900000900030136E-3</v>
      </c>
      <c r="H42" s="21">
        <f t="shared" si="1"/>
        <v>-8.0450000000382715E-3</v>
      </c>
      <c r="O42">
        <f>_xlfn.STDEV.S(O3:O39)</f>
        <v>8.0282696713631068E-3</v>
      </c>
      <c r="P42" s="21">
        <f>_xlfn.STDEV.S(P3:P39)</f>
        <v>1.1857798921575456E-2</v>
      </c>
    </row>
  </sheetData>
  <sortState xmlns:xlrd2="http://schemas.microsoft.com/office/spreadsheetml/2017/richdata2" ref="B6:R35">
    <sortCondition ref="C6:C3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2:V83"/>
  <sheetViews>
    <sheetView workbookViewId="0">
      <selection activeCell="B5" sqref="B5:R5"/>
    </sheetView>
  </sheetViews>
  <sheetFormatPr defaultRowHeight="14.4" x14ac:dyDescent="0.3"/>
  <cols>
    <col min="6" max="6" width="10.5546875" customWidth="1"/>
  </cols>
  <sheetData>
    <row r="2" spans="1:21"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row>
    <row r="3" spans="1:21" x14ac:dyDescent="0.3">
      <c r="A3" s="5" t="s">
        <v>18</v>
      </c>
      <c r="B3">
        <v>0</v>
      </c>
      <c r="C3" t="s">
        <v>18</v>
      </c>
      <c r="D3" t="s">
        <v>20</v>
      </c>
      <c r="E3" t="s">
        <v>21</v>
      </c>
      <c r="F3">
        <v>1843366.02</v>
      </c>
      <c r="G3">
        <v>5597654.9900000002</v>
      </c>
      <c r="H3">
        <v>378.29239999999999</v>
      </c>
      <c r="I3">
        <v>-0.69352899999999995</v>
      </c>
      <c r="J3">
        <v>3.0689860000000002</v>
      </c>
      <c r="K3">
        <v>396.183199</v>
      </c>
      <c r="L3">
        <v>-39.736280999999998</v>
      </c>
      <c r="M3">
        <v>175.83995400000001</v>
      </c>
      <c r="N3">
        <v>396.18325800000002</v>
      </c>
      <c r="O3">
        <v>2.5613E-2</v>
      </c>
      <c r="P3">
        <v>3.9800000000000002E-2</v>
      </c>
      <c r="Q3" s="1">
        <v>42814</v>
      </c>
      <c r="R3" s="2">
        <v>0.60775462962962956</v>
      </c>
    </row>
    <row r="4" spans="1:21" x14ac:dyDescent="0.3">
      <c r="A4" s="5" t="s">
        <v>23</v>
      </c>
      <c r="S4" s="21"/>
      <c r="T4" s="21"/>
      <c r="U4" s="21"/>
    </row>
    <row r="5" spans="1:21" s="21" customFormat="1" x14ac:dyDescent="0.3">
      <c r="A5" s="5" t="s">
        <v>551</v>
      </c>
      <c r="B5">
        <v>26</v>
      </c>
      <c r="C5" t="s">
        <v>529</v>
      </c>
      <c r="D5" t="s">
        <v>20</v>
      </c>
      <c r="E5" t="s">
        <v>33</v>
      </c>
      <c r="F5">
        <v>1844289.3111719999</v>
      </c>
      <c r="G5">
        <v>5596663.8387529999</v>
      </c>
      <c r="H5">
        <v>432.65434800000003</v>
      </c>
      <c r="I5">
        <v>-0.69367999999999996</v>
      </c>
      <c r="J5">
        <v>3.0691799999999998</v>
      </c>
      <c r="K5">
        <v>450.48039499999999</v>
      </c>
      <c r="L5">
        <v>-39.744937</v>
      </c>
      <c r="M5">
        <v>175.85108399999999</v>
      </c>
      <c r="N5">
        <v>450.48045500000001</v>
      </c>
      <c r="O5">
        <v>1.107E-2</v>
      </c>
      <c r="P5">
        <v>1.6143999999999999E-2</v>
      </c>
      <c r="Q5" s="1">
        <v>42814</v>
      </c>
      <c r="R5" s="2">
        <v>0.5149421296296296</v>
      </c>
    </row>
    <row r="6" spans="1:21" x14ac:dyDescent="0.3">
      <c r="A6" s="5">
        <v>1</v>
      </c>
      <c r="B6">
        <v>13</v>
      </c>
      <c r="C6">
        <v>1</v>
      </c>
      <c r="D6" t="s">
        <v>20</v>
      </c>
      <c r="E6" t="s">
        <v>33</v>
      </c>
      <c r="F6">
        <v>1844611.3216289999</v>
      </c>
      <c r="G6">
        <v>5596719.7337739998</v>
      </c>
      <c r="H6">
        <v>438.97686099999999</v>
      </c>
      <c r="I6">
        <v>-0.69367000000000001</v>
      </c>
      <c r="J6">
        <v>3.0692460000000001</v>
      </c>
      <c r="K6">
        <v>456.82271900000001</v>
      </c>
      <c r="L6">
        <v>-39.744340999999999</v>
      </c>
      <c r="M6">
        <v>175.854817</v>
      </c>
      <c r="N6">
        <v>456.82277900000003</v>
      </c>
      <c r="O6">
        <v>2.3175999999999999E-2</v>
      </c>
      <c r="P6">
        <v>2.5281000000000001E-2</v>
      </c>
      <c r="Q6" s="1">
        <v>42814</v>
      </c>
      <c r="R6" s="2">
        <v>0.53016203703703701</v>
      </c>
      <c r="U6" s="21"/>
    </row>
    <row r="7" spans="1:21" x14ac:dyDescent="0.3">
      <c r="A7" s="5">
        <v>2</v>
      </c>
      <c r="B7">
        <v>14</v>
      </c>
      <c r="C7">
        <v>2</v>
      </c>
      <c r="D7" t="s">
        <v>20</v>
      </c>
      <c r="E7" t="s">
        <v>33</v>
      </c>
      <c r="F7">
        <v>1844327.1392049999</v>
      </c>
      <c r="G7">
        <v>5596603.2853030004</v>
      </c>
      <c r="H7">
        <v>430.44573800000001</v>
      </c>
      <c r="I7">
        <v>-0.693689</v>
      </c>
      <c r="J7">
        <v>3.069188</v>
      </c>
      <c r="K7">
        <v>448.26750900000002</v>
      </c>
      <c r="L7">
        <v>-39.745471000000002</v>
      </c>
      <c r="M7">
        <v>175.85154700000001</v>
      </c>
      <c r="N7">
        <v>448.26756899999998</v>
      </c>
      <c r="O7">
        <v>3.2607999999999998E-2</v>
      </c>
      <c r="P7">
        <v>3.7196E-2</v>
      </c>
      <c r="Q7" s="1">
        <v>42814</v>
      </c>
      <c r="R7" s="2">
        <v>0.53528935185185189</v>
      </c>
      <c r="U7" s="21"/>
    </row>
    <row r="8" spans="1:21" x14ac:dyDescent="0.3">
      <c r="A8" s="5">
        <v>3</v>
      </c>
      <c r="B8">
        <v>15</v>
      </c>
      <c r="C8">
        <v>3</v>
      </c>
      <c r="D8" t="s">
        <v>20</v>
      </c>
      <c r="E8" t="s">
        <v>33</v>
      </c>
      <c r="F8">
        <v>1844275.8084249999</v>
      </c>
      <c r="G8">
        <v>5596482.9568630001</v>
      </c>
      <c r="H8">
        <v>434.66010499999999</v>
      </c>
      <c r="I8">
        <v>-0.69370799999999999</v>
      </c>
      <c r="J8">
        <v>3.0691790000000001</v>
      </c>
      <c r="K8">
        <v>452.467738</v>
      </c>
      <c r="L8">
        <v>-39.746568000000003</v>
      </c>
      <c r="M8">
        <v>175.85099299999999</v>
      </c>
      <c r="N8">
        <v>452.46779800000002</v>
      </c>
      <c r="O8">
        <v>2.1076999999999999E-2</v>
      </c>
      <c r="P8">
        <v>2.4916000000000001E-2</v>
      </c>
      <c r="Q8" s="1">
        <v>42814</v>
      </c>
      <c r="R8" s="2">
        <v>0.54010416666666672</v>
      </c>
      <c r="U8" s="21"/>
    </row>
    <row r="9" spans="1:21" x14ac:dyDescent="0.3">
      <c r="A9" s="5">
        <v>4</v>
      </c>
      <c r="B9">
        <v>16</v>
      </c>
      <c r="C9">
        <v>4</v>
      </c>
      <c r="D9" t="s">
        <v>20</v>
      </c>
      <c r="E9" t="s">
        <v>33</v>
      </c>
      <c r="F9">
        <v>1844444.4491930001</v>
      </c>
      <c r="G9">
        <v>5596429.0467769997</v>
      </c>
      <c r="H9">
        <v>421.88012199999997</v>
      </c>
      <c r="I9">
        <v>-0.693716</v>
      </c>
      <c r="J9">
        <v>3.069213</v>
      </c>
      <c r="K9">
        <v>439.68999700000001</v>
      </c>
      <c r="L9">
        <v>-39.747005000000001</v>
      </c>
      <c r="M9">
        <v>175.852979</v>
      </c>
      <c r="N9">
        <v>439.69005600000003</v>
      </c>
      <c r="O9">
        <v>1.5266999999999999E-2</v>
      </c>
      <c r="P9">
        <v>1.8957999999999999E-2</v>
      </c>
      <c r="Q9" s="1">
        <v>42814</v>
      </c>
      <c r="R9" s="2">
        <v>0.54437499999999994</v>
      </c>
      <c r="U9" s="21"/>
    </row>
    <row r="10" spans="1:21" x14ac:dyDescent="0.3">
      <c r="A10" s="5">
        <v>5</v>
      </c>
      <c r="B10">
        <v>17</v>
      </c>
      <c r="C10">
        <v>5</v>
      </c>
      <c r="D10" t="s">
        <v>20</v>
      </c>
      <c r="E10" t="s">
        <v>33</v>
      </c>
      <c r="F10">
        <v>1844577.6760450001</v>
      </c>
      <c r="G10">
        <v>5596364.6759930002</v>
      </c>
      <c r="H10">
        <v>414.65527900000001</v>
      </c>
      <c r="I10">
        <v>-0.69372599999999995</v>
      </c>
      <c r="J10">
        <v>3.0692409999999999</v>
      </c>
      <c r="K10">
        <v>432.46480200000002</v>
      </c>
      <c r="L10">
        <v>-39.747546</v>
      </c>
      <c r="M10">
        <v>175.854556</v>
      </c>
      <c r="N10">
        <v>432.46486099999998</v>
      </c>
      <c r="O10">
        <v>2.1472000000000002E-2</v>
      </c>
      <c r="P10">
        <v>2.6355E-2</v>
      </c>
      <c r="Q10" s="1">
        <v>42814</v>
      </c>
      <c r="R10" s="2">
        <v>0.54629629629629628</v>
      </c>
      <c r="U10" s="21"/>
    </row>
    <row r="11" spans="1:21" x14ac:dyDescent="0.3">
      <c r="A11" s="5">
        <v>6</v>
      </c>
      <c r="B11">
        <v>18</v>
      </c>
      <c r="C11">
        <v>6</v>
      </c>
      <c r="D11" t="s">
        <v>20</v>
      </c>
      <c r="E11" t="s">
        <v>33</v>
      </c>
      <c r="F11">
        <v>1844789.217645</v>
      </c>
      <c r="G11">
        <v>5596420.0054500001</v>
      </c>
      <c r="H11">
        <v>421.42395800000003</v>
      </c>
      <c r="I11">
        <v>-0.693716</v>
      </c>
      <c r="J11">
        <v>3.0692840000000001</v>
      </c>
      <c r="K11">
        <v>439.248378</v>
      </c>
      <c r="L11">
        <v>-39.746986999999997</v>
      </c>
      <c r="M11">
        <v>175.85700199999999</v>
      </c>
      <c r="N11">
        <v>439.24843700000002</v>
      </c>
      <c r="O11">
        <v>1.7666000000000001E-2</v>
      </c>
      <c r="P11">
        <v>2.7806000000000001E-2</v>
      </c>
      <c r="Q11" s="1">
        <v>42814</v>
      </c>
      <c r="R11" s="2">
        <v>0.55383101851851857</v>
      </c>
      <c r="U11" s="21"/>
    </row>
    <row r="12" spans="1:21" x14ac:dyDescent="0.3">
      <c r="A12" s="5">
        <v>7</v>
      </c>
      <c r="B12">
        <v>19</v>
      </c>
      <c r="C12">
        <v>7</v>
      </c>
      <c r="D12" t="s">
        <v>20</v>
      </c>
      <c r="E12" t="s">
        <v>33</v>
      </c>
      <c r="F12">
        <v>1844897.3810729999</v>
      </c>
      <c r="G12">
        <v>5596315.4978120001</v>
      </c>
      <c r="H12">
        <v>399.07832100000002</v>
      </c>
      <c r="I12">
        <v>-0.69373200000000002</v>
      </c>
      <c r="J12">
        <v>3.0693060000000001</v>
      </c>
      <c r="K12">
        <v>416.89736499999998</v>
      </c>
      <c r="L12">
        <v>-39.747897000000002</v>
      </c>
      <c r="M12">
        <v>175.85830200000001</v>
      </c>
      <c r="N12">
        <v>416.897425</v>
      </c>
      <c r="O12">
        <v>2.1949E-2</v>
      </c>
      <c r="P12">
        <v>3.4209000000000003E-2</v>
      </c>
      <c r="Q12" s="1">
        <v>42814</v>
      </c>
      <c r="R12" s="2">
        <v>0.56611111111111112</v>
      </c>
      <c r="U12" s="21"/>
    </row>
    <row r="13" spans="1:21" x14ac:dyDescent="0.3">
      <c r="A13" s="5">
        <v>8</v>
      </c>
      <c r="B13">
        <v>10</v>
      </c>
      <c r="C13">
        <v>8</v>
      </c>
      <c r="D13" t="s">
        <v>20</v>
      </c>
      <c r="E13" t="s">
        <v>33</v>
      </c>
      <c r="F13">
        <v>1844684.8855059999</v>
      </c>
      <c r="G13">
        <v>5596191.7553740004</v>
      </c>
      <c r="H13">
        <v>402.95716599999997</v>
      </c>
      <c r="I13">
        <v>-0.69375200000000004</v>
      </c>
      <c r="J13">
        <v>3.069264</v>
      </c>
      <c r="K13">
        <v>420.75454999999999</v>
      </c>
      <c r="L13">
        <v>-39.749071000000001</v>
      </c>
      <c r="M13">
        <v>175.85587100000001</v>
      </c>
      <c r="N13">
        <v>420.75460900000002</v>
      </c>
      <c r="O13">
        <v>2.2107999999999999E-2</v>
      </c>
      <c r="P13">
        <v>2.9822000000000001E-2</v>
      </c>
      <c r="Q13" s="1">
        <v>42814</v>
      </c>
      <c r="R13" s="2">
        <v>0.67427083333333337</v>
      </c>
      <c r="U13" s="21"/>
    </row>
    <row r="14" spans="1:21" x14ac:dyDescent="0.3">
      <c r="A14" s="5">
        <v>9</v>
      </c>
      <c r="B14">
        <v>9</v>
      </c>
      <c r="C14">
        <v>9</v>
      </c>
      <c r="D14" t="s">
        <v>20</v>
      </c>
      <c r="E14" t="s">
        <v>33</v>
      </c>
      <c r="F14">
        <v>1844488.537301</v>
      </c>
      <c r="G14">
        <v>5596190.2451240001</v>
      </c>
      <c r="H14">
        <v>401.05680899999999</v>
      </c>
      <c r="I14">
        <v>-0.69375299999999995</v>
      </c>
      <c r="J14">
        <v>3.0692240000000002</v>
      </c>
      <c r="K14">
        <v>418.84520300000003</v>
      </c>
      <c r="L14">
        <v>-39.749141000000002</v>
      </c>
      <c r="M14">
        <v>175.85358199999999</v>
      </c>
      <c r="N14">
        <v>418.84526299999999</v>
      </c>
      <c r="O14">
        <v>2.2297999999999998E-2</v>
      </c>
      <c r="P14">
        <v>2.9637E-2</v>
      </c>
      <c r="Q14" s="1">
        <v>42814</v>
      </c>
      <c r="R14" s="2">
        <v>0.67151620370370368</v>
      </c>
      <c r="U14" s="21"/>
    </row>
    <row r="15" spans="1:21" x14ac:dyDescent="0.3">
      <c r="A15" s="5">
        <v>10</v>
      </c>
      <c r="B15">
        <v>11</v>
      </c>
      <c r="C15">
        <v>10</v>
      </c>
      <c r="D15" t="s">
        <v>20</v>
      </c>
      <c r="E15" t="s">
        <v>33</v>
      </c>
      <c r="F15">
        <v>1844340.282478</v>
      </c>
      <c r="G15">
        <v>5596229.1894570002</v>
      </c>
      <c r="H15">
        <v>405.87143400000002</v>
      </c>
      <c r="I15">
        <v>-0.69374800000000003</v>
      </c>
      <c r="J15">
        <v>3.069194</v>
      </c>
      <c r="K15">
        <v>423.65698200000003</v>
      </c>
      <c r="L15">
        <v>-39.748832999999998</v>
      </c>
      <c r="M15">
        <v>175.85183900000001</v>
      </c>
      <c r="N15">
        <v>423.65704199999999</v>
      </c>
      <c r="O15">
        <v>2.0382999999999998E-2</v>
      </c>
      <c r="P15">
        <v>2.8792999999999999E-2</v>
      </c>
      <c r="Q15" s="1">
        <v>42814</v>
      </c>
      <c r="R15" s="2">
        <v>0.67893518518518514</v>
      </c>
      <c r="U15" s="21"/>
    </row>
    <row r="16" spans="1:21" x14ac:dyDescent="0.3">
      <c r="A16" s="5">
        <v>11</v>
      </c>
      <c r="B16">
        <v>8</v>
      </c>
      <c r="C16">
        <v>11</v>
      </c>
      <c r="D16" t="s">
        <v>20</v>
      </c>
      <c r="E16" t="s">
        <v>33</v>
      </c>
      <c r="F16">
        <v>1844394.797055</v>
      </c>
      <c r="G16">
        <v>5596018.2428970002</v>
      </c>
      <c r="H16">
        <v>390.15849500000002</v>
      </c>
      <c r="I16">
        <v>-0.69378099999999998</v>
      </c>
      <c r="J16">
        <v>3.0692059999999999</v>
      </c>
      <c r="K16">
        <v>407.92603700000001</v>
      </c>
      <c r="L16">
        <v>-39.750715999999997</v>
      </c>
      <c r="M16">
        <v>175.852553</v>
      </c>
      <c r="N16">
        <v>407.92609599999997</v>
      </c>
      <c r="O16">
        <v>3.2842000000000003E-2</v>
      </c>
      <c r="P16">
        <v>3.5964999999999997E-2</v>
      </c>
      <c r="Q16" s="1">
        <v>42814</v>
      </c>
      <c r="R16" s="2">
        <v>0.66636574074074073</v>
      </c>
      <c r="U16" s="21"/>
    </row>
    <row r="17" spans="1:21" x14ac:dyDescent="0.3">
      <c r="A17" s="5">
        <v>12</v>
      </c>
      <c r="B17">
        <v>21</v>
      </c>
      <c r="C17">
        <v>12</v>
      </c>
      <c r="D17" t="s">
        <v>20</v>
      </c>
      <c r="E17" t="s">
        <v>33</v>
      </c>
      <c r="F17">
        <v>1844569.862158</v>
      </c>
      <c r="G17">
        <v>5596018.2921740003</v>
      </c>
      <c r="H17">
        <v>398.21385800000002</v>
      </c>
      <c r="I17">
        <v>-0.69377999999999995</v>
      </c>
      <c r="J17">
        <v>3.069242</v>
      </c>
      <c r="K17">
        <v>415.98931800000003</v>
      </c>
      <c r="L17">
        <v>-39.750664999999998</v>
      </c>
      <c r="M17">
        <v>175.85459399999999</v>
      </c>
      <c r="N17">
        <v>415.98937699999999</v>
      </c>
      <c r="O17">
        <v>2.5613E-2</v>
      </c>
      <c r="P17">
        <v>3.9800000000000002E-2</v>
      </c>
      <c r="Q17" s="1">
        <v>42814</v>
      </c>
      <c r="R17" s="2">
        <v>0.60775462962962956</v>
      </c>
      <c r="U17" s="21"/>
    </row>
    <row r="18" spans="1:21" x14ac:dyDescent="0.3">
      <c r="A18" s="5">
        <v>13</v>
      </c>
      <c r="B18">
        <v>22</v>
      </c>
      <c r="C18">
        <v>13</v>
      </c>
      <c r="D18" t="s">
        <v>20</v>
      </c>
      <c r="E18" t="s">
        <v>33</v>
      </c>
      <c r="F18">
        <v>1844676.0501399999</v>
      </c>
      <c r="G18">
        <v>5595953.3083790001</v>
      </c>
      <c r="H18">
        <v>392.236672</v>
      </c>
      <c r="I18">
        <v>-0.69379000000000002</v>
      </c>
      <c r="J18">
        <v>3.069264</v>
      </c>
      <c r="K18">
        <v>410.01080999999999</v>
      </c>
      <c r="L18">
        <v>-39.751220000000004</v>
      </c>
      <c r="M18">
        <v>175.85585599999999</v>
      </c>
      <c r="N18">
        <v>410.01087000000001</v>
      </c>
      <c r="O18">
        <v>2.7174E-2</v>
      </c>
      <c r="P18">
        <v>4.2040000000000001E-2</v>
      </c>
      <c r="Q18" s="1">
        <v>42814</v>
      </c>
      <c r="R18" s="2">
        <v>0.60945601851851849</v>
      </c>
      <c r="U18" s="21"/>
    </row>
    <row r="19" spans="1:21" x14ac:dyDescent="0.3">
      <c r="A19" s="5">
        <v>14</v>
      </c>
      <c r="B19">
        <v>4</v>
      </c>
      <c r="C19">
        <v>14</v>
      </c>
      <c r="D19" t="s">
        <v>20</v>
      </c>
      <c r="E19" t="s">
        <v>33</v>
      </c>
      <c r="F19">
        <v>1844385.4765369999</v>
      </c>
      <c r="G19">
        <v>5595880.8196630003</v>
      </c>
      <c r="H19">
        <v>383.05090300000001</v>
      </c>
      <c r="I19">
        <v>-0.69380299999999995</v>
      </c>
      <c r="J19">
        <v>3.0692050000000002</v>
      </c>
      <c r="K19">
        <v>400.80499300000002</v>
      </c>
      <c r="L19">
        <v>-39.751955000000002</v>
      </c>
      <c r="M19">
        <v>175.852495</v>
      </c>
      <c r="N19">
        <v>400.80505199999999</v>
      </c>
      <c r="O19">
        <v>2.2266999999999999E-2</v>
      </c>
      <c r="P19">
        <v>3.1531999999999998E-2</v>
      </c>
      <c r="Q19" s="1">
        <v>42814</v>
      </c>
      <c r="R19" s="2">
        <v>0.62379629629629629</v>
      </c>
      <c r="U19" s="21"/>
    </row>
    <row r="20" spans="1:21" x14ac:dyDescent="0.3">
      <c r="A20" s="5">
        <v>15</v>
      </c>
      <c r="B20">
        <v>20</v>
      </c>
      <c r="C20">
        <v>15</v>
      </c>
      <c r="D20" t="s">
        <v>20</v>
      </c>
      <c r="E20" t="s">
        <v>33</v>
      </c>
      <c r="F20">
        <v>1844189.931753</v>
      </c>
      <c r="G20">
        <v>5596021.5372390002</v>
      </c>
      <c r="H20">
        <v>395.962379</v>
      </c>
      <c r="I20">
        <v>-0.69378099999999998</v>
      </c>
      <c r="J20">
        <v>3.0691639999999998</v>
      </c>
      <c r="K20">
        <v>413.72096900000003</v>
      </c>
      <c r="L20">
        <v>-39.750745000000002</v>
      </c>
      <c r="M20">
        <v>175.85016300000001</v>
      </c>
      <c r="N20">
        <v>413.72102799999999</v>
      </c>
      <c r="O20">
        <v>2.3387999999999999E-2</v>
      </c>
      <c r="P20">
        <v>2.9825999999999998E-2</v>
      </c>
      <c r="Q20" s="1">
        <v>42814</v>
      </c>
      <c r="R20" s="2">
        <v>0.57974537037037044</v>
      </c>
      <c r="U20" s="21"/>
    </row>
    <row r="21" spans="1:21" x14ac:dyDescent="0.3">
      <c r="A21" s="5">
        <v>16</v>
      </c>
      <c r="B21" s="21"/>
      <c r="C21" s="21"/>
      <c r="D21" s="21"/>
      <c r="E21" s="21"/>
      <c r="F21" s="21"/>
      <c r="G21" s="21"/>
      <c r="H21" s="21"/>
      <c r="I21" s="21"/>
      <c r="J21" s="21"/>
      <c r="K21" s="21"/>
      <c r="L21" s="21"/>
      <c r="M21" s="21"/>
      <c r="N21" s="21"/>
      <c r="O21" s="21"/>
      <c r="P21" s="21"/>
      <c r="Q21" s="1"/>
      <c r="R21" s="2"/>
      <c r="S21" s="21"/>
      <c r="U21" s="21"/>
    </row>
    <row r="22" spans="1:21" x14ac:dyDescent="0.3">
      <c r="A22" s="5">
        <v>17</v>
      </c>
      <c r="B22">
        <v>24</v>
      </c>
      <c r="C22">
        <v>17</v>
      </c>
      <c r="D22" t="s">
        <v>20</v>
      </c>
      <c r="E22" t="s">
        <v>33</v>
      </c>
      <c r="F22">
        <v>1844523.297542</v>
      </c>
      <c r="G22">
        <v>5595820.9569659997</v>
      </c>
      <c r="H22">
        <v>368.66439600000001</v>
      </c>
      <c r="I22">
        <v>-0.69381099999999996</v>
      </c>
      <c r="J22">
        <v>3.0692330000000001</v>
      </c>
      <c r="K22">
        <v>386.41910200000001</v>
      </c>
      <c r="L22">
        <v>-39.752454999999998</v>
      </c>
      <c r="M22">
        <v>175.85412500000001</v>
      </c>
      <c r="N22">
        <v>386.41916199999997</v>
      </c>
      <c r="O22">
        <v>3.4747E-2</v>
      </c>
      <c r="P22">
        <v>5.4240999999999998E-2</v>
      </c>
      <c r="Q22" s="1">
        <v>42814</v>
      </c>
      <c r="R22" s="2">
        <v>0.62472222222222229</v>
      </c>
      <c r="U22" s="21"/>
    </row>
    <row r="23" spans="1:21" x14ac:dyDescent="0.3">
      <c r="A23" s="5">
        <v>18</v>
      </c>
      <c r="B23">
        <v>23</v>
      </c>
      <c r="C23">
        <v>18</v>
      </c>
      <c r="D23" t="s">
        <v>20</v>
      </c>
      <c r="E23" t="s">
        <v>33</v>
      </c>
      <c r="F23">
        <v>1844707.8820400001</v>
      </c>
      <c r="G23">
        <v>5595726.2264670003</v>
      </c>
      <c r="H23">
        <v>375.97666800000002</v>
      </c>
      <c r="I23">
        <v>-0.69382500000000003</v>
      </c>
      <c r="J23">
        <v>3.0692719999999998</v>
      </c>
      <c r="K23">
        <v>393.730886</v>
      </c>
      <c r="L23">
        <v>-39.753253999999998</v>
      </c>
      <c r="M23">
        <v>175.856312</v>
      </c>
      <c r="N23">
        <v>393.73094600000002</v>
      </c>
      <c r="O23">
        <v>2.5751E-2</v>
      </c>
      <c r="P23">
        <v>3.9545999999999998E-2</v>
      </c>
      <c r="Q23" s="1">
        <v>42814</v>
      </c>
      <c r="R23" s="2">
        <v>0.6132291666666666</v>
      </c>
      <c r="U23" s="21"/>
    </row>
    <row r="24" spans="1:21" x14ac:dyDescent="0.3">
      <c r="A24" s="5">
        <v>19</v>
      </c>
      <c r="B24">
        <v>5</v>
      </c>
      <c r="C24">
        <v>19</v>
      </c>
      <c r="D24" t="s">
        <v>20</v>
      </c>
      <c r="E24" t="s">
        <v>33</v>
      </c>
      <c r="F24">
        <v>1844645.3717990001</v>
      </c>
      <c r="G24">
        <v>5595688.4065119997</v>
      </c>
      <c r="H24">
        <v>359.67004100000003</v>
      </c>
      <c r="I24">
        <v>-0.69383099999999998</v>
      </c>
      <c r="J24">
        <v>3.0692590000000002</v>
      </c>
      <c r="K24">
        <v>377.41783099999998</v>
      </c>
      <c r="L24">
        <v>-39.753611999999997</v>
      </c>
      <c r="M24">
        <v>175.85559699999999</v>
      </c>
      <c r="N24">
        <v>377.41789</v>
      </c>
      <c r="O24">
        <v>2.8237999999999999E-2</v>
      </c>
      <c r="P24">
        <v>3.5186000000000002E-2</v>
      </c>
      <c r="Q24" s="1">
        <v>42814</v>
      </c>
      <c r="R24" s="2">
        <v>0.63092592592592589</v>
      </c>
      <c r="U24" s="21"/>
    </row>
    <row r="25" spans="1:21" x14ac:dyDescent="0.3">
      <c r="A25" s="5">
        <v>20</v>
      </c>
      <c r="B25">
        <v>6</v>
      </c>
      <c r="C25">
        <v>20</v>
      </c>
      <c r="D25" t="s">
        <v>20</v>
      </c>
      <c r="E25" t="s">
        <v>33</v>
      </c>
      <c r="F25">
        <v>1844629.303971</v>
      </c>
      <c r="G25">
        <v>5595615.6207640003</v>
      </c>
      <c r="H25">
        <v>333.878649</v>
      </c>
      <c r="I25">
        <v>-0.69384299999999999</v>
      </c>
      <c r="J25">
        <v>3.0692560000000002</v>
      </c>
      <c r="K25">
        <v>351.61884300000003</v>
      </c>
      <c r="L25">
        <v>-39.754272</v>
      </c>
      <c r="M25">
        <v>175.85543699999999</v>
      </c>
      <c r="N25">
        <v>351.61890299999999</v>
      </c>
      <c r="O25">
        <v>3.8124999999999999E-2</v>
      </c>
      <c r="P25">
        <v>4.8388E-2</v>
      </c>
      <c r="Q25" s="1">
        <v>42814</v>
      </c>
      <c r="R25" s="2">
        <v>0.63432870370370364</v>
      </c>
      <c r="U25" s="21"/>
    </row>
    <row r="26" spans="1:21" x14ac:dyDescent="0.3">
      <c r="A26" s="5">
        <v>21</v>
      </c>
      <c r="B26">
        <v>28</v>
      </c>
      <c r="C26">
        <v>21</v>
      </c>
      <c r="D26" t="s">
        <v>20</v>
      </c>
      <c r="E26" t="s">
        <v>33</v>
      </c>
      <c r="F26">
        <v>1844484.380591</v>
      </c>
      <c r="G26">
        <v>5595558.4870379996</v>
      </c>
      <c r="H26">
        <v>311.850908</v>
      </c>
      <c r="I26">
        <v>-0.69385300000000005</v>
      </c>
      <c r="J26">
        <v>3.0692270000000001</v>
      </c>
      <c r="K26">
        <v>329.57901900000002</v>
      </c>
      <c r="L26">
        <v>-39.754828000000003</v>
      </c>
      <c r="M26">
        <v>175.853768</v>
      </c>
      <c r="N26">
        <v>329.57907799999998</v>
      </c>
      <c r="O26">
        <v>4.4443000000000003E-2</v>
      </c>
      <c r="P26">
        <v>6.7028000000000004E-2</v>
      </c>
      <c r="Q26" s="1">
        <v>42814</v>
      </c>
      <c r="R26" s="2">
        <v>0.59209490740740744</v>
      </c>
      <c r="U26" s="21"/>
    </row>
    <row r="27" spans="1:21" x14ac:dyDescent="0.3">
      <c r="A27" s="5">
        <v>22</v>
      </c>
      <c r="B27">
        <v>29</v>
      </c>
      <c r="C27">
        <v>22</v>
      </c>
      <c r="D27" t="s">
        <v>20</v>
      </c>
      <c r="E27" t="s">
        <v>33</v>
      </c>
      <c r="F27">
        <v>1844442.8319969999</v>
      </c>
      <c r="G27">
        <v>5595456.1405410003</v>
      </c>
      <c r="H27">
        <v>304.22236700000002</v>
      </c>
      <c r="I27">
        <v>-0.69386899999999996</v>
      </c>
      <c r="J27">
        <v>3.0692189999999999</v>
      </c>
      <c r="K27">
        <v>321.93887100000001</v>
      </c>
      <c r="L27">
        <v>-39.755761</v>
      </c>
      <c r="M27">
        <v>175.85332199999999</v>
      </c>
      <c r="N27">
        <v>321.93893000000003</v>
      </c>
      <c r="O27">
        <v>2.9333999999999999E-2</v>
      </c>
      <c r="P27">
        <v>3.9918000000000002E-2</v>
      </c>
      <c r="Q27" s="1">
        <v>42814</v>
      </c>
      <c r="R27" s="2">
        <v>0.60016203703703697</v>
      </c>
      <c r="U27" s="21"/>
    </row>
    <row r="28" spans="1:21" x14ac:dyDescent="0.3">
      <c r="A28" s="5">
        <v>23</v>
      </c>
      <c r="B28">
        <v>30</v>
      </c>
      <c r="C28">
        <v>23</v>
      </c>
      <c r="D28" t="s">
        <v>20</v>
      </c>
      <c r="E28" t="s">
        <v>33</v>
      </c>
      <c r="F28">
        <v>1844378.80055</v>
      </c>
      <c r="G28">
        <v>5595386.1824770002</v>
      </c>
      <c r="H28">
        <v>310.76100700000001</v>
      </c>
      <c r="I28">
        <v>-0.69388000000000005</v>
      </c>
      <c r="J28">
        <v>3.069207</v>
      </c>
      <c r="K28">
        <v>328.46790499999997</v>
      </c>
      <c r="L28">
        <v>-39.756408</v>
      </c>
      <c r="M28">
        <v>175.85260099999999</v>
      </c>
      <c r="N28">
        <v>328.46796499999999</v>
      </c>
      <c r="O28">
        <v>2.0375999999999998E-2</v>
      </c>
      <c r="P28">
        <v>2.8183E-2</v>
      </c>
      <c r="Q28" s="1">
        <v>42814</v>
      </c>
      <c r="R28" s="2">
        <v>0.60618055555555561</v>
      </c>
      <c r="U28" s="21"/>
    </row>
    <row r="29" spans="1:21" x14ac:dyDescent="0.3">
      <c r="A29" s="5">
        <v>24</v>
      </c>
      <c r="B29" s="12">
        <v>31</v>
      </c>
      <c r="C29" s="12">
        <v>24</v>
      </c>
      <c r="D29" s="12" t="s">
        <v>20</v>
      </c>
      <c r="E29" s="12" t="s">
        <v>33</v>
      </c>
      <c r="F29" s="12">
        <v>1844363.5625390001</v>
      </c>
      <c r="G29" s="12">
        <v>5595621.2878390001</v>
      </c>
      <c r="H29" s="12">
        <v>327.02119299999998</v>
      </c>
      <c r="I29" s="12">
        <v>-0.69384299999999999</v>
      </c>
      <c r="J29" s="12">
        <v>3.0692020000000002</v>
      </c>
      <c r="K29" s="12">
        <v>344.74966999999998</v>
      </c>
      <c r="L29" s="12">
        <v>-39.754297000000001</v>
      </c>
      <c r="M29" s="12">
        <v>175.85233600000001</v>
      </c>
      <c r="N29" s="12">
        <v>344.749729</v>
      </c>
      <c r="O29" s="12">
        <v>0.74617900000000004</v>
      </c>
      <c r="P29" s="12">
        <v>0.83036200000000004</v>
      </c>
      <c r="Q29" s="13">
        <v>42814</v>
      </c>
      <c r="R29" s="14">
        <v>0.58613425925925922</v>
      </c>
      <c r="S29" t="s">
        <v>463</v>
      </c>
      <c r="U29" s="21"/>
    </row>
    <row r="30" spans="1:21" x14ac:dyDescent="0.3">
      <c r="A30" s="5">
        <v>25</v>
      </c>
      <c r="B30">
        <v>2</v>
      </c>
      <c r="C30">
        <v>25</v>
      </c>
      <c r="D30" t="s">
        <v>20</v>
      </c>
      <c r="E30" t="s">
        <v>33</v>
      </c>
      <c r="F30">
        <v>1844340.4792269999</v>
      </c>
      <c r="G30">
        <v>5595531.7433449998</v>
      </c>
      <c r="H30">
        <v>316.68357700000001</v>
      </c>
      <c r="I30">
        <v>-0.69385799999999997</v>
      </c>
      <c r="J30">
        <v>3.0691980000000001</v>
      </c>
      <c r="K30">
        <v>334.40249499999999</v>
      </c>
      <c r="L30">
        <v>-39.755110000000002</v>
      </c>
      <c r="M30">
        <v>175.852101</v>
      </c>
      <c r="N30">
        <v>334.40255400000001</v>
      </c>
      <c r="O30">
        <v>3.0387999999999998E-2</v>
      </c>
      <c r="P30">
        <v>4.5849000000000001E-2</v>
      </c>
      <c r="Q30" s="1">
        <v>42814</v>
      </c>
      <c r="R30" s="2">
        <v>0.57998842592592592</v>
      </c>
      <c r="U30" s="21"/>
    </row>
    <row r="31" spans="1:21" x14ac:dyDescent="0.3">
      <c r="A31" s="5">
        <v>26</v>
      </c>
      <c r="B31">
        <v>32</v>
      </c>
      <c r="C31">
        <v>26</v>
      </c>
      <c r="D31" t="s">
        <v>20</v>
      </c>
      <c r="E31" t="s">
        <v>33</v>
      </c>
      <c r="F31">
        <v>1844303.1539</v>
      </c>
      <c r="G31">
        <v>5595520.1938089998</v>
      </c>
      <c r="H31">
        <v>314.53310900000002</v>
      </c>
      <c r="I31">
        <v>-0.69386000000000003</v>
      </c>
      <c r="J31">
        <v>3.069191</v>
      </c>
      <c r="K31">
        <v>332.24920100000003</v>
      </c>
      <c r="L31">
        <v>-39.755223999999998</v>
      </c>
      <c r="M31">
        <v>175.85167000000001</v>
      </c>
      <c r="N31">
        <v>332.24925999999999</v>
      </c>
      <c r="O31">
        <v>1.3491E-2</v>
      </c>
      <c r="P31">
        <v>2.5832999999999998E-2</v>
      </c>
      <c r="Q31" s="1">
        <v>42814</v>
      </c>
      <c r="R31" s="2">
        <v>0.57373842592592594</v>
      </c>
      <c r="U31" s="21"/>
    </row>
    <row r="32" spans="1:21" x14ac:dyDescent="0.3">
      <c r="A32" s="5">
        <v>27</v>
      </c>
      <c r="B32">
        <v>1</v>
      </c>
      <c r="C32">
        <v>27</v>
      </c>
      <c r="D32" t="s">
        <v>20</v>
      </c>
      <c r="E32" t="s">
        <v>33</v>
      </c>
      <c r="F32">
        <v>1844185.1462079999</v>
      </c>
      <c r="G32">
        <v>5595587.5915249996</v>
      </c>
      <c r="H32">
        <v>355.92391900000001</v>
      </c>
      <c r="I32">
        <v>-0.69384999999999997</v>
      </c>
      <c r="J32">
        <v>3.0691660000000001</v>
      </c>
      <c r="K32">
        <v>373.64095700000001</v>
      </c>
      <c r="L32">
        <v>-39.754652</v>
      </c>
      <c r="M32">
        <v>175.850269</v>
      </c>
      <c r="N32">
        <v>373.64101599999998</v>
      </c>
      <c r="O32">
        <v>1.9174E-2</v>
      </c>
      <c r="P32">
        <v>2.6227E-2</v>
      </c>
      <c r="Q32" s="1">
        <v>42814</v>
      </c>
      <c r="R32" s="2">
        <v>0.56640046296296298</v>
      </c>
      <c r="U32" s="21"/>
    </row>
    <row r="33" spans="1:22" x14ac:dyDescent="0.3">
      <c r="A33" s="5">
        <v>28</v>
      </c>
      <c r="B33" s="12">
        <v>33</v>
      </c>
      <c r="C33" s="12">
        <v>28</v>
      </c>
      <c r="D33" s="12" t="s">
        <v>20</v>
      </c>
      <c r="E33" s="12" t="s">
        <v>33</v>
      </c>
      <c r="F33" s="12">
        <v>1844265.364457</v>
      </c>
      <c r="G33" s="12">
        <v>5595682.551124</v>
      </c>
      <c r="H33" s="12">
        <v>334.818577</v>
      </c>
      <c r="I33" s="12">
        <v>-0.69383399999999995</v>
      </c>
      <c r="J33" s="12">
        <v>3.0691820000000001</v>
      </c>
      <c r="K33" s="12">
        <v>352.54834699999998</v>
      </c>
      <c r="L33" s="12">
        <v>-39.753774</v>
      </c>
      <c r="M33" s="12">
        <v>175.851169</v>
      </c>
      <c r="N33" s="12">
        <v>352.548407</v>
      </c>
      <c r="O33" s="12">
        <v>0.104924</v>
      </c>
      <c r="P33" s="12">
        <v>0.19812099999999999</v>
      </c>
      <c r="Q33" s="13">
        <v>42814</v>
      </c>
      <c r="R33" s="14">
        <v>0.56060185185185185</v>
      </c>
      <c r="S33" s="21" t="s">
        <v>463</v>
      </c>
      <c r="U33" s="21"/>
    </row>
    <row r="34" spans="1:22" x14ac:dyDescent="0.3">
      <c r="A34" s="5">
        <v>29</v>
      </c>
      <c r="B34">
        <v>3</v>
      </c>
      <c r="C34">
        <v>29</v>
      </c>
      <c r="D34" t="s">
        <v>20</v>
      </c>
      <c r="E34" t="s">
        <v>33</v>
      </c>
      <c r="F34">
        <v>1844374.474221</v>
      </c>
      <c r="G34">
        <v>5595701.9568739999</v>
      </c>
      <c r="H34">
        <v>335.48767600000002</v>
      </c>
      <c r="I34">
        <v>-0.69383099999999998</v>
      </c>
      <c r="J34">
        <v>3.069204</v>
      </c>
      <c r="K34">
        <v>353.22430400000002</v>
      </c>
      <c r="L34">
        <v>-39.753568000000001</v>
      </c>
      <c r="M34">
        <v>175.85243399999999</v>
      </c>
      <c r="N34">
        <v>353.22436299999998</v>
      </c>
      <c r="O34">
        <v>1.9195E-2</v>
      </c>
      <c r="P34">
        <v>3.3952999999999997E-2</v>
      </c>
      <c r="Q34" s="1">
        <v>42814</v>
      </c>
      <c r="R34" s="2">
        <v>0.5507291666666666</v>
      </c>
      <c r="U34" s="21"/>
    </row>
    <row r="35" spans="1:22" x14ac:dyDescent="0.3">
      <c r="A35" s="5" t="s">
        <v>26</v>
      </c>
      <c r="B35" s="21">
        <v>7</v>
      </c>
      <c r="C35" s="21" t="s">
        <v>26</v>
      </c>
      <c r="D35" s="21" t="s">
        <v>20</v>
      </c>
      <c r="E35" s="21" t="s">
        <v>33</v>
      </c>
      <c r="F35" s="21">
        <v>1844715.232542</v>
      </c>
      <c r="G35" s="21">
        <v>5595571.1177890003</v>
      </c>
      <c r="H35" s="21">
        <v>340.357056</v>
      </c>
      <c r="I35" s="21">
        <v>-0.69384900000000005</v>
      </c>
      <c r="J35" s="21">
        <v>3.0692740000000001</v>
      </c>
      <c r="K35" s="21">
        <v>358.09702600000003</v>
      </c>
      <c r="L35" s="21">
        <v>-39.754648000000003</v>
      </c>
      <c r="M35" s="21">
        <v>175.85645500000001</v>
      </c>
      <c r="N35" s="21">
        <v>358.09708499999999</v>
      </c>
      <c r="O35" s="21">
        <v>1.9524E-2</v>
      </c>
      <c r="P35" s="21">
        <v>2.5721999999999998E-2</v>
      </c>
      <c r="Q35" s="1">
        <v>42814</v>
      </c>
      <c r="R35" s="2">
        <v>0.65326388888888887</v>
      </c>
      <c r="U35" s="21"/>
    </row>
    <row r="36" spans="1:22" x14ac:dyDescent="0.3">
      <c r="B36" s="21" t="s">
        <v>530</v>
      </c>
      <c r="C36" t="s">
        <v>82</v>
      </c>
      <c r="D36" t="s">
        <v>20</v>
      </c>
      <c r="E36" t="s">
        <v>33</v>
      </c>
      <c r="F36">
        <v>1844289.3167739999</v>
      </c>
      <c r="G36">
        <v>5596663.822067</v>
      </c>
      <c r="H36">
        <v>432.66183999999998</v>
      </c>
      <c r="I36">
        <v>-0.69367999999999996</v>
      </c>
      <c r="J36">
        <v>3.0691799999999998</v>
      </c>
      <c r="K36">
        <v>450.487886</v>
      </c>
      <c r="L36">
        <v>-39.744937</v>
      </c>
      <c r="M36">
        <v>175.85108399999999</v>
      </c>
      <c r="N36">
        <v>450.48794600000002</v>
      </c>
      <c r="O36">
        <v>1.7377E-2</v>
      </c>
      <c r="P36">
        <v>2.6741999999999998E-2</v>
      </c>
      <c r="Q36" s="1">
        <v>42814</v>
      </c>
      <c r="R36" s="2">
        <v>0.68847222222222226</v>
      </c>
      <c r="U36" s="21"/>
    </row>
    <row r="37" spans="1:22" x14ac:dyDescent="0.3">
      <c r="B37" s="21" t="s">
        <v>530</v>
      </c>
      <c r="C37" t="s">
        <v>84</v>
      </c>
      <c r="D37" t="s">
        <v>20</v>
      </c>
      <c r="E37" t="s">
        <v>33</v>
      </c>
      <c r="F37">
        <v>1844289.29449</v>
      </c>
      <c r="G37">
        <v>5596663.8183819996</v>
      </c>
      <c r="H37">
        <v>432.66038800000001</v>
      </c>
      <c r="I37">
        <v>-0.69367999999999996</v>
      </c>
      <c r="J37">
        <v>3.0691799999999998</v>
      </c>
      <c r="K37">
        <v>450.48643199999998</v>
      </c>
      <c r="L37">
        <v>-39.744937</v>
      </c>
      <c r="M37">
        <v>175.85108299999999</v>
      </c>
      <c r="N37">
        <v>450.486492</v>
      </c>
      <c r="O37">
        <v>1.3521999999999999E-2</v>
      </c>
      <c r="P37">
        <v>2.1975999999999999E-2</v>
      </c>
      <c r="Q37" s="1">
        <v>42814</v>
      </c>
      <c r="R37" s="2">
        <v>0.51542824074074078</v>
      </c>
      <c r="U37" s="21"/>
      <c r="V37" s="21"/>
    </row>
    <row r="38" spans="1:22" x14ac:dyDescent="0.3">
      <c r="B38" s="21" t="s">
        <v>530</v>
      </c>
      <c r="C38" s="21" t="s">
        <v>83</v>
      </c>
      <c r="D38" s="21" t="s">
        <v>20</v>
      </c>
      <c r="E38" s="21" t="s">
        <v>33</v>
      </c>
      <c r="F38" s="21">
        <v>1844289.301677</v>
      </c>
      <c r="G38" s="21">
        <v>5596663.816687</v>
      </c>
      <c r="H38" s="21">
        <v>432.66239100000001</v>
      </c>
      <c r="I38" s="21">
        <v>-0.69367999999999996</v>
      </c>
      <c r="J38" s="21">
        <v>3.0691799999999998</v>
      </c>
      <c r="K38" s="21">
        <v>450.48843499999998</v>
      </c>
      <c r="L38" s="21">
        <v>-39.744937</v>
      </c>
      <c r="M38" s="21">
        <v>175.85108399999999</v>
      </c>
      <c r="N38" s="21">
        <v>450.488495</v>
      </c>
      <c r="O38" s="21">
        <v>1.6299999999999999E-2</v>
      </c>
      <c r="P38" s="21">
        <v>2.0403000000000001E-2</v>
      </c>
      <c r="Q38" s="1">
        <v>42814</v>
      </c>
      <c r="R38" s="2">
        <v>0.68583333333333341</v>
      </c>
    </row>
    <row r="40" spans="1:22" x14ac:dyDescent="0.3">
      <c r="O40">
        <f>MAX(O3:O20,O22:O28,O30:O38)</f>
        <v>0.104924</v>
      </c>
      <c r="P40" s="21">
        <f>MAX(P3:P20,P22:P28,P30:P38)</f>
        <v>0.19812099999999999</v>
      </c>
    </row>
    <row r="41" spans="1:22" x14ac:dyDescent="0.3">
      <c r="O41">
        <f>AVERAGE(O3:O20,O22:O28,O30:O38)</f>
        <v>2.6087272727272723E-2</v>
      </c>
      <c r="P41" s="21">
        <f>AVERAGE(P3:P20,P22:P28,P30:P38)</f>
        <v>3.804230303030303E-2</v>
      </c>
    </row>
    <row r="42" spans="1:22" x14ac:dyDescent="0.3">
      <c r="D42" t="s">
        <v>472</v>
      </c>
      <c r="F42">
        <f>MAX(F5,F36:F38)-MIN(F5,F36:F38)</f>
        <v>2.2283999947831035E-2</v>
      </c>
      <c r="G42" s="21">
        <f>MAX(G5,G36:G38)-MIN(G5,G36:G38)</f>
        <v>2.2065999917685986E-2</v>
      </c>
      <c r="H42" s="21">
        <f>MAX(H5,H36:H38)-MIN(H5,H36:H38)</f>
        <v>8.0429999999864776E-3</v>
      </c>
      <c r="O42">
        <f>_xlfn.STDEV.S(O3:O20,O22:O28,O30:O38)</f>
        <v>1.5934385453071149E-2</v>
      </c>
      <c r="P42" s="21">
        <f>_xlfn.STDEV.S(P3:P20,P22:P28,P30:P38)</f>
        <v>3.0596593909172361E-2</v>
      </c>
    </row>
    <row r="47" spans="1:22" x14ac:dyDescent="0.3">
      <c r="F47" s="21">
        <v>1843366.02</v>
      </c>
      <c r="G47" s="21">
        <v>5597654.9900000002</v>
      </c>
      <c r="H47" s="21">
        <v>378.29239999999999</v>
      </c>
    </row>
    <row r="48" spans="1:22" x14ac:dyDescent="0.3">
      <c r="F48" s="4">
        <v>1844185.1462079999</v>
      </c>
      <c r="G48" s="4">
        <v>5595587.5915249996</v>
      </c>
      <c r="H48" s="4">
        <v>355.92391900000001</v>
      </c>
    </row>
    <row r="49" spans="6:8" x14ac:dyDescent="0.3">
      <c r="F49" s="21">
        <v>1844189.931753</v>
      </c>
      <c r="G49" s="21">
        <v>5596021.5372390002</v>
      </c>
      <c r="H49" s="21">
        <v>395.962379</v>
      </c>
    </row>
    <row r="50" spans="6:8" x14ac:dyDescent="0.3">
      <c r="F50" s="4">
        <v>1844265.364457</v>
      </c>
      <c r="G50" s="4">
        <v>5595682.551124</v>
      </c>
      <c r="H50" s="4">
        <v>334.818577</v>
      </c>
    </row>
    <row r="51" spans="6:8" x14ac:dyDescent="0.3">
      <c r="F51" s="21">
        <v>1844275.8084249999</v>
      </c>
      <c r="G51" s="21">
        <v>5596482.9568630001</v>
      </c>
      <c r="H51" s="21">
        <v>434.66010499999999</v>
      </c>
    </row>
    <row r="52" spans="6:8" x14ac:dyDescent="0.3">
      <c r="F52" s="21">
        <v>1844289.29449</v>
      </c>
      <c r="G52" s="21">
        <v>5596663.8183819996</v>
      </c>
      <c r="H52" s="21">
        <v>432.66038800000001</v>
      </c>
    </row>
    <row r="53" spans="6:8" x14ac:dyDescent="0.3">
      <c r="F53" s="21">
        <v>1844289.301677</v>
      </c>
      <c r="G53" s="21">
        <v>5596663.816687</v>
      </c>
      <c r="H53" s="21">
        <v>432.66239100000001</v>
      </c>
    </row>
    <row r="54" spans="6:8" x14ac:dyDescent="0.3">
      <c r="F54" s="21">
        <v>1844289.3111719999</v>
      </c>
      <c r="G54" s="21">
        <v>5596663.8387529999</v>
      </c>
      <c r="H54" s="21">
        <v>432.65434800000003</v>
      </c>
    </row>
    <row r="55" spans="6:8" x14ac:dyDescent="0.3">
      <c r="F55" s="21">
        <v>1844289.3167739999</v>
      </c>
      <c r="G55" s="21">
        <v>5596663.822067</v>
      </c>
      <c r="H55" s="21">
        <v>432.66183999999998</v>
      </c>
    </row>
    <row r="56" spans="6:8" x14ac:dyDescent="0.3">
      <c r="F56" s="4">
        <v>1844303.1539</v>
      </c>
      <c r="G56" s="4">
        <v>5595520.1938089998</v>
      </c>
      <c r="H56" s="4">
        <v>314.53310900000002</v>
      </c>
    </row>
    <row r="57" spans="6:8" x14ac:dyDescent="0.3">
      <c r="F57" s="21">
        <v>1844327.1392049999</v>
      </c>
      <c r="G57" s="21">
        <v>5596603.2853030004</v>
      </c>
      <c r="H57" s="21">
        <v>430.44573800000001</v>
      </c>
    </row>
    <row r="58" spans="6:8" x14ac:dyDescent="0.3">
      <c r="F58" s="21">
        <v>1844340.282478</v>
      </c>
      <c r="G58" s="21">
        <v>5596229.1894570002</v>
      </c>
      <c r="H58" s="21">
        <v>405.87143400000002</v>
      </c>
    </row>
    <row r="59" spans="6:8" x14ac:dyDescent="0.3">
      <c r="F59" s="4">
        <v>1844340.4792269999</v>
      </c>
      <c r="G59" s="4">
        <v>5595531.7433449998</v>
      </c>
      <c r="H59" s="4">
        <v>316.68357700000001</v>
      </c>
    </row>
    <row r="60" spans="6:8" x14ac:dyDescent="0.3">
      <c r="F60" s="12">
        <v>1844362.8509050002</v>
      </c>
      <c r="G60" s="12">
        <v>5595626.6615975006</v>
      </c>
      <c r="H60" s="12">
        <v>327.01109575000004</v>
      </c>
    </row>
    <row r="61" spans="6:8" x14ac:dyDescent="0.3">
      <c r="F61" s="4">
        <v>1844363.5625390001</v>
      </c>
      <c r="G61" s="4">
        <v>5595621.2878390001</v>
      </c>
      <c r="H61" s="4">
        <v>327.02119299999998</v>
      </c>
    </row>
    <row r="62" spans="6:8" x14ac:dyDescent="0.3">
      <c r="F62" s="4">
        <v>1844374.474221</v>
      </c>
      <c r="G62" s="4">
        <v>5595701.9568739999</v>
      </c>
      <c r="H62" s="4">
        <v>335.48767600000002</v>
      </c>
    </row>
    <row r="63" spans="6:8" x14ac:dyDescent="0.3">
      <c r="F63" s="4">
        <v>1844378.80055</v>
      </c>
      <c r="G63" s="4">
        <v>5595386.1824770002</v>
      </c>
      <c r="H63" s="4">
        <v>310.76100700000001</v>
      </c>
    </row>
    <row r="64" spans="6:8" x14ac:dyDescent="0.3">
      <c r="F64" s="21">
        <v>1844385.4765369999</v>
      </c>
      <c r="G64" s="21">
        <v>5595880.8196630003</v>
      </c>
      <c r="H64" s="21">
        <v>383.05090300000001</v>
      </c>
    </row>
    <row r="65" spans="6:8" x14ac:dyDescent="0.3">
      <c r="F65" s="21">
        <v>1844394.797055</v>
      </c>
      <c r="G65" s="21">
        <v>5596018.2428970002</v>
      </c>
      <c r="H65" s="21">
        <v>390.15849500000002</v>
      </c>
    </row>
    <row r="66" spans="6:8" x14ac:dyDescent="0.3">
      <c r="F66" s="21">
        <v>1844442.8319969999</v>
      </c>
      <c r="G66" s="21">
        <v>5595456.1405410003</v>
      </c>
      <c r="H66" s="21">
        <v>304.22236700000002</v>
      </c>
    </row>
    <row r="67" spans="6:8" x14ac:dyDescent="0.3">
      <c r="F67" s="21">
        <v>1844444.4491930001</v>
      </c>
      <c r="G67" s="21">
        <v>5596429.0467769997</v>
      </c>
      <c r="H67" s="21">
        <v>421.88012199999997</v>
      </c>
    </row>
    <row r="68" spans="6:8" x14ac:dyDescent="0.3">
      <c r="F68" s="21">
        <v>1844484.380591</v>
      </c>
      <c r="G68" s="21">
        <v>5595558.4870379996</v>
      </c>
      <c r="H68" s="21">
        <v>311.850908</v>
      </c>
    </row>
    <row r="69" spans="6:8" x14ac:dyDescent="0.3">
      <c r="F69" s="21">
        <v>1844488.537301</v>
      </c>
      <c r="G69" s="21">
        <v>5596190.2451240001</v>
      </c>
      <c r="H69" s="21">
        <v>401.05680899999999</v>
      </c>
    </row>
    <row r="70" spans="6:8" x14ac:dyDescent="0.3">
      <c r="F70" s="21">
        <v>1844523.297542</v>
      </c>
      <c r="G70" s="21">
        <v>5595820.9569659997</v>
      </c>
      <c r="H70" s="21">
        <v>368.66439600000001</v>
      </c>
    </row>
    <row r="71" spans="6:8" x14ac:dyDescent="0.3">
      <c r="F71" s="21">
        <v>1844569.862158</v>
      </c>
      <c r="G71" s="21">
        <v>5596018.2921740003</v>
      </c>
      <c r="H71" s="21">
        <v>398.21385800000002</v>
      </c>
    </row>
    <row r="72" spans="6:8" x14ac:dyDescent="0.3">
      <c r="F72" s="21">
        <v>1844577.6760450001</v>
      </c>
      <c r="G72" s="21">
        <v>5596364.6759930002</v>
      </c>
      <c r="H72" s="21">
        <v>414.65527900000001</v>
      </c>
    </row>
    <row r="73" spans="6:8" x14ac:dyDescent="0.3">
      <c r="F73" s="21">
        <v>1844611.3216289999</v>
      </c>
      <c r="G73" s="21">
        <v>5596719.7337739998</v>
      </c>
      <c r="H73" s="21">
        <v>438.97686099999999</v>
      </c>
    </row>
    <row r="74" spans="6:8" x14ac:dyDescent="0.3">
      <c r="F74" s="21">
        <v>1844629.303971</v>
      </c>
      <c r="G74" s="21">
        <v>5595615.6207640003</v>
      </c>
      <c r="H74" s="21">
        <v>333.878649</v>
      </c>
    </row>
    <row r="75" spans="6:8" x14ac:dyDescent="0.3">
      <c r="F75" s="21">
        <v>1844645.3717990001</v>
      </c>
      <c r="G75" s="21">
        <v>5595688.4065119997</v>
      </c>
      <c r="H75" s="21">
        <v>359.67004100000003</v>
      </c>
    </row>
    <row r="76" spans="6:8" x14ac:dyDescent="0.3">
      <c r="F76" s="21">
        <v>1844676.0501399999</v>
      </c>
      <c r="G76" s="21">
        <v>5595953.3083790001</v>
      </c>
      <c r="H76" s="21">
        <v>392.236672</v>
      </c>
    </row>
    <row r="77" spans="6:8" x14ac:dyDescent="0.3">
      <c r="F77" s="21">
        <v>1844684.8855059999</v>
      </c>
      <c r="G77" s="21">
        <v>5596191.7553740004</v>
      </c>
      <c r="H77" s="21">
        <v>402.95716599999997</v>
      </c>
    </row>
    <row r="78" spans="6:8" x14ac:dyDescent="0.3">
      <c r="F78" s="21">
        <v>1844707.8820400001</v>
      </c>
      <c r="G78" s="21">
        <v>5595726.2264670003</v>
      </c>
      <c r="H78" s="21">
        <v>375.97666800000002</v>
      </c>
    </row>
    <row r="79" spans="6:8" x14ac:dyDescent="0.3">
      <c r="F79" s="21">
        <v>1844715.232542</v>
      </c>
      <c r="G79" s="21">
        <v>5595571.1177890003</v>
      </c>
      <c r="H79" s="21">
        <v>340.357056</v>
      </c>
    </row>
    <row r="80" spans="6:8" x14ac:dyDescent="0.3">
      <c r="F80" s="21">
        <v>1844789.217645</v>
      </c>
      <c r="G80" s="21">
        <v>5596420.0054500001</v>
      </c>
      <c r="H80" s="21">
        <v>421.42395800000003</v>
      </c>
    </row>
    <row r="81" spans="6:8" x14ac:dyDescent="0.3">
      <c r="F81" s="21">
        <v>1844897.3810729999</v>
      </c>
      <c r="G81" s="21">
        <v>5596315.4978120001</v>
      </c>
      <c r="H81" s="21">
        <v>399.07832100000002</v>
      </c>
    </row>
    <row r="82" spans="6:8" x14ac:dyDescent="0.3">
      <c r="F82" s="21"/>
      <c r="G82" s="21"/>
      <c r="H82" s="21"/>
    </row>
    <row r="83" spans="6:8" x14ac:dyDescent="0.3">
      <c r="F83" s="21"/>
      <c r="G83" s="21"/>
      <c r="H83" s="21"/>
    </row>
  </sheetData>
  <sortState xmlns:xlrd2="http://schemas.microsoft.com/office/spreadsheetml/2017/richdata2" ref="F47:H83">
    <sortCondition ref="F47:F83"/>
    <sortCondition ref="G47:G83"/>
    <sortCondition ref="H47:H8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2:U42"/>
  <sheetViews>
    <sheetView workbookViewId="0">
      <selection activeCell="A16" sqref="A16:XFD16"/>
    </sheetView>
  </sheetViews>
  <sheetFormatPr defaultRowHeight="14.4" x14ac:dyDescent="0.3"/>
  <sheetData>
    <row r="2" spans="1:19"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row>
    <row r="3" spans="1:19" x14ac:dyDescent="0.3">
      <c r="A3" s="5" t="s">
        <v>18</v>
      </c>
      <c r="B3">
        <v>0</v>
      </c>
      <c r="C3" t="s">
        <v>18</v>
      </c>
      <c r="D3" t="s">
        <v>20</v>
      </c>
      <c r="E3" t="s">
        <v>21</v>
      </c>
      <c r="F3">
        <v>1843366.02</v>
      </c>
      <c r="G3">
        <v>5597654.9900000002</v>
      </c>
      <c r="H3">
        <v>378.29239999999999</v>
      </c>
      <c r="I3">
        <v>-0.69352899999999995</v>
      </c>
      <c r="J3">
        <v>3.0689860000000002</v>
      </c>
      <c r="K3">
        <v>396.17795699999999</v>
      </c>
      <c r="L3">
        <v>-39.736280999999998</v>
      </c>
      <c r="M3">
        <v>175.83995400000001</v>
      </c>
      <c r="N3">
        <v>396.178</v>
      </c>
      <c r="O3">
        <v>1.4668E-2</v>
      </c>
      <c r="P3">
        <v>2.1011999999999999E-2</v>
      </c>
      <c r="Q3" s="1">
        <v>42718</v>
      </c>
      <c r="R3" s="2">
        <v>0.41379629629629627</v>
      </c>
    </row>
    <row r="4" spans="1:19" x14ac:dyDescent="0.3">
      <c r="A4" s="5" t="s">
        <v>23</v>
      </c>
      <c r="B4" s="21"/>
      <c r="C4" s="21"/>
      <c r="D4" s="21"/>
      <c r="E4" s="21"/>
      <c r="F4" s="21"/>
      <c r="G4" s="21"/>
      <c r="H4" s="21"/>
      <c r="I4" s="21"/>
      <c r="J4" s="21"/>
      <c r="K4" s="21"/>
      <c r="L4" s="21"/>
      <c r="M4" s="21"/>
      <c r="N4" s="21"/>
      <c r="O4" s="21"/>
      <c r="P4" s="21"/>
      <c r="Q4" s="1"/>
      <c r="R4" s="2"/>
    </row>
    <row r="5" spans="1:19" s="21" customFormat="1" x14ac:dyDescent="0.3">
      <c r="A5" s="5" t="s">
        <v>551</v>
      </c>
      <c r="Q5" s="1"/>
      <c r="R5" s="2"/>
    </row>
    <row r="6" spans="1:19" x14ac:dyDescent="0.3">
      <c r="A6" s="5">
        <v>1</v>
      </c>
      <c r="B6">
        <v>13</v>
      </c>
      <c r="C6">
        <v>1</v>
      </c>
      <c r="D6" t="s">
        <v>20</v>
      </c>
      <c r="E6" t="s">
        <v>33</v>
      </c>
      <c r="F6">
        <v>1844611.3049069999</v>
      </c>
      <c r="G6">
        <v>5596719.7520199995</v>
      </c>
      <c r="H6">
        <v>438.96707800000001</v>
      </c>
      <c r="I6">
        <v>-0.69367000000000001</v>
      </c>
      <c r="J6">
        <v>3.0692460000000001</v>
      </c>
      <c r="K6">
        <v>456.79803399999997</v>
      </c>
      <c r="L6">
        <v>-39.744340999999999</v>
      </c>
      <c r="M6">
        <v>175.854816</v>
      </c>
      <c r="N6">
        <v>456.79807699999998</v>
      </c>
      <c r="O6">
        <v>2.3257E-2</v>
      </c>
      <c r="P6">
        <v>3.5779999999999999E-2</v>
      </c>
      <c r="Q6" s="1">
        <v>42718</v>
      </c>
      <c r="R6" s="2">
        <v>0.41958333333333336</v>
      </c>
    </row>
    <row r="7" spans="1:19" x14ac:dyDescent="0.3">
      <c r="A7" s="5">
        <v>2</v>
      </c>
      <c r="B7">
        <v>14</v>
      </c>
      <c r="C7">
        <v>2</v>
      </c>
      <c r="D7" t="s">
        <v>20</v>
      </c>
      <c r="E7" t="s">
        <v>33</v>
      </c>
      <c r="F7">
        <v>1844327.1181910001</v>
      </c>
      <c r="G7">
        <v>5596603.2698929999</v>
      </c>
      <c r="H7">
        <v>430.44034799999997</v>
      </c>
      <c r="I7">
        <v>-0.693689</v>
      </c>
      <c r="J7">
        <v>3.069188</v>
      </c>
      <c r="K7">
        <v>448.24631399999998</v>
      </c>
      <c r="L7">
        <v>-39.745471000000002</v>
      </c>
      <c r="M7">
        <v>175.85154700000001</v>
      </c>
      <c r="N7">
        <v>448.24635699999999</v>
      </c>
      <c r="O7">
        <v>1.4668E-2</v>
      </c>
      <c r="P7">
        <v>2.1011999999999999E-2</v>
      </c>
      <c r="Q7" s="1">
        <v>42718</v>
      </c>
      <c r="R7" s="2">
        <v>0.41379629629629627</v>
      </c>
    </row>
    <row r="8" spans="1:19" x14ac:dyDescent="0.3">
      <c r="A8" s="5">
        <v>3</v>
      </c>
      <c r="B8">
        <v>29</v>
      </c>
      <c r="C8">
        <v>3</v>
      </c>
      <c r="D8" t="s">
        <v>20</v>
      </c>
      <c r="E8" t="s">
        <v>33</v>
      </c>
      <c r="F8">
        <v>1844275.8081439999</v>
      </c>
      <c r="G8">
        <v>5596482.9722530004</v>
      </c>
      <c r="H8">
        <v>434.69181099999997</v>
      </c>
      <c r="I8">
        <v>-0.69370799999999999</v>
      </c>
      <c r="J8">
        <v>3.0691790000000001</v>
      </c>
      <c r="K8">
        <v>452.48359299999998</v>
      </c>
      <c r="L8">
        <v>-39.746568000000003</v>
      </c>
      <c r="M8">
        <v>175.85099299999999</v>
      </c>
      <c r="N8">
        <v>452.48363499999999</v>
      </c>
      <c r="O8">
        <v>1.4565E-2</v>
      </c>
      <c r="P8">
        <v>1.9460999999999999E-2</v>
      </c>
      <c r="Q8" s="1">
        <v>42718</v>
      </c>
      <c r="R8" s="2">
        <v>0.39274305555555555</v>
      </c>
    </row>
    <row r="9" spans="1:19" x14ac:dyDescent="0.3">
      <c r="A9" s="5">
        <v>4</v>
      </c>
      <c r="B9">
        <v>12</v>
      </c>
      <c r="C9">
        <v>4</v>
      </c>
      <c r="D9" t="s">
        <v>20</v>
      </c>
      <c r="E9" t="s">
        <v>33</v>
      </c>
      <c r="F9">
        <v>1844444.4472089999</v>
      </c>
      <c r="G9">
        <v>5596429.0500919996</v>
      </c>
      <c r="H9">
        <v>421.90076900000003</v>
      </c>
      <c r="I9">
        <v>-0.693716</v>
      </c>
      <c r="J9">
        <v>3.069213</v>
      </c>
      <c r="K9">
        <v>439.69529299999999</v>
      </c>
      <c r="L9">
        <v>-39.747005000000001</v>
      </c>
      <c r="M9">
        <v>175.852979</v>
      </c>
      <c r="N9">
        <v>439.695336</v>
      </c>
      <c r="O9">
        <v>2.9610000000000001E-2</v>
      </c>
      <c r="P9">
        <v>4.6127000000000001E-2</v>
      </c>
      <c r="Q9" s="1">
        <v>42718</v>
      </c>
      <c r="R9" s="2">
        <v>0.42975694444444446</v>
      </c>
    </row>
    <row r="10" spans="1:19" x14ac:dyDescent="0.3">
      <c r="A10" s="5">
        <v>5</v>
      </c>
      <c r="B10" s="21">
        <v>11</v>
      </c>
      <c r="C10" s="21">
        <v>5</v>
      </c>
      <c r="D10" s="21" t="s">
        <v>20</v>
      </c>
      <c r="E10" s="21" t="s">
        <v>33</v>
      </c>
      <c r="F10" s="21">
        <v>1844577.6459659999</v>
      </c>
      <c r="G10" s="21">
        <v>5596364.6851159995</v>
      </c>
      <c r="H10" s="21">
        <v>414.65163699999999</v>
      </c>
      <c r="I10" s="21">
        <v>-0.69372599999999995</v>
      </c>
      <c r="J10" s="21">
        <v>3.0692409999999999</v>
      </c>
      <c r="K10" s="21">
        <v>432.44617499999998</v>
      </c>
      <c r="L10" s="21">
        <v>-39.747546</v>
      </c>
      <c r="M10" s="21">
        <v>175.854556</v>
      </c>
      <c r="N10" s="21">
        <v>432.44621799999999</v>
      </c>
      <c r="O10" s="21">
        <v>1.6218E-2</v>
      </c>
      <c r="P10" s="21">
        <v>2.6093999999999999E-2</v>
      </c>
      <c r="Q10" s="1">
        <v>42718</v>
      </c>
      <c r="R10" s="2">
        <v>0.43414351851851851</v>
      </c>
    </row>
    <row r="11" spans="1:19" x14ac:dyDescent="0.3">
      <c r="A11" s="5">
        <v>6</v>
      </c>
      <c r="B11">
        <v>10</v>
      </c>
      <c r="C11">
        <v>6</v>
      </c>
      <c r="D11" t="s">
        <v>20</v>
      </c>
      <c r="E11" t="s">
        <v>33</v>
      </c>
      <c r="F11">
        <v>1844789.2051230001</v>
      </c>
      <c r="G11">
        <v>5596420.0017130002</v>
      </c>
      <c r="H11">
        <v>421.418702</v>
      </c>
      <c r="I11">
        <v>-0.693716</v>
      </c>
      <c r="J11">
        <v>3.0692840000000001</v>
      </c>
      <c r="K11">
        <v>439.22870899999998</v>
      </c>
      <c r="L11">
        <v>-39.746986999999997</v>
      </c>
      <c r="M11">
        <v>175.85700199999999</v>
      </c>
      <c r="N11">
        <v>439.22875199999999</v>
      </c>
      <c r="O11">
        <v>1.3644999999999999E-2</v>
      </c>
      <c r="P11">
        <v>2.2180999999999999E-2</v>
      </c>
      <c r="Q11" s="1">
        <v>42718</v>
      </c>
      <c r="R11" s="2">
        <v>0.43721064814814814</v>
      </c>
    </row>
    <row r="12" spans="1:19" x14ac:dyDescent="0.3">
      <c r="A12" s="5">
        <v>7</v>
      </c>
      <c r="B12">
        <v>9</v>
      </c>
      <c r="C12">
        <v>7</v>
      </c>
      <c r="D12" t="s">
        <v>20</v>
      </c>
      <c r="E12" t="s">
        <v>33</v>
      </c>
      <c r="F12">
        <v>1844897.380958</v>
      </c>
      <c r="G12">
        <v>5596315.5251529999</v>
      </c>
      <c r="H12">
        <v>399.08404100000001</v>
      </c>
      <c r="I12">
        <v>-0.69373200000000002</v>
      </c>
      <c r="J12">
        <v>3.0693060000000001</v>
      </c>
      <c r="K12">
        <v>416.888893</v>
      </c>
      <c r="L12">
        <v>-39.747897000000002</v>
      </c>
      <c r="M12">
        <v>175.85830200000001</v>
      </c>
      <c r="N12">
        <v>416.888936</v>
      </c>
      <c r="O12">
        <v>1.6005999999999999E-2</v>
      </c>
      <c r="P12">
        <v>2.5777999999999999E-2</v>
      </c>
      <c r="Q12" s="1">
        <v>42718</v>
      </c>
      <c r="R12" s="2">
        <v>0.44322916666666662</v>
      </c>
    </row>
    <row r="13" spans="1:19" x14ac:dyDescent="0.3">
      <c r="A13" s="5">
        <v>8</v>
      </c>
      <c r="B13">
        <v>8</v>
      </c>
      <c r="C13">
        <v>8</v>
      </c>
      <c r="D13" t="s">
        <v>20</v>
      </c>
      <c r="E13" t="s">
        <v>33</v>
      </c>
      <c r="F13">
        <v>1844684.8765189999</v>
      </c>
      <c r="G13">
        <v>5596191.7741560005</v>
      </c>
      <c r="H13">
        <v>402.99156799999997</v>
      </c>
      <c r="I13">
        <v>-0.69375200000000004</v>
      </c>
      <c r="J13">
        <v>3.069264</v>
      </c>
      <c r="K13">
        <v>420.77420599999999</v>
      </c>
      <c r="L13">
        <v>-39.749071000000001</v>
      </c>
      <c r="M13">
        <v>175.85587000000001</v>
      </c>
      <c r="N13">
        <v>420.774249</v>
      </c>
      <c r="O13">
        <v>1.3733E-2</v>
      </c>
      <c r="P13">
        <v>2.1180000000000001E-2</v>
      </c>
      <c r="Q13" s="1">
        <v>42718</v>
      </c>
      <c r="R13" s="2">
        <v>0.44923611111111111</v>
      </c>
    </row>
    <row r="14" spans="1:19" x14ac:dyDescent="0.3">
      <c r="A14" s="5">
        <v>9</v>
      </c>
      <c r="B14">
        <v>7</v>
      </c>
      <c r="C14">
        <v>9</v>
      </c>
      <c r="D14" t="s">
        <v>20</v>
      </c>
      <c r="E14" t="s">
        <v>33</v>
      </c>
      <c r="F14">
        <v>1844488.5247599999</v>
      </c>
      <c r="G14">
        <v>5596190.285437</v>
      </c>
      <c r="H14">
        <v>401.093771</v>
      </c>
      <c r="I14">
        <v>-0.69375299999999995</v>
      </c>
      <c r="J14">
        <v>3.0692240000000002</v>
      </c>
      <c r="K14">
        <v>418.86700999999999</v>
      </c>
      <c r="L14">
        <v>-39.749141000000002</v>
      </c>
      <c r="M14">
        <v>175.85358199999999</v>
      </c>
      <c r="N14">
        <v>418.867053</v>
      </c>
      <c r="O14">
        <v>1.3532000000000001E-2</v>
      </c>
      <c r="P14">
        <v>2.0347000000000001E-2</v>
      </c>
      <c r="Q14" s="1">
        <v>42718</v>
      </c>
      <c r="R14" s="2">
        <v>0.45168981481481479</v>
      </c>
    </row>
    <row r="15" spans="1:19" x14ac:dyDescent="0.3">
      <c r="A15" s="5">
        <v>10</v>
      </c>
      <c r="B15">
        <v>6</v>
      </c>
      <c r="C15">
        <v>10</v>
      </c>
      <c r="D15" t="s">
        <v>20</v>
      </c>
      <c r="E15" t="s">
        <v>33</v>
      </c>
      <c r="F15">
        <v>1844340.2796199999</v>
      </c>
      <c r="G15">
        <v>5596229.1935019996</v>
      </c>
      <c r="H15">
        <v>405.87683600000003</v>
      </c>
      <c r="I15">
        <v>-0.69374800000000003</v>
      </c>
      <c r="J15">
        <v>3.069194</v>
      </c>
      <c r="K15">
        <v>423.64689399999997</v>
      </c>
      <c r="L15">
        <v>-39.748832999999998</v>
      </c>
      <c r="M15">
        <v>175.85183900000001</v>
      </c>
      <c r="N15">
        <v>423.64693599999998</v>
      </c>
      <c r="O15">
        <v>1.5010000000000001E-2</v>
      </c>
      <c r="P15">
        <v>2.1793E-2</v>
      </c>
      <c r="Q15" s="1">
        <v>42718</v>
      </c>
      <c r="R15" s="2">
        <v>0.45465277777777779</v>
      </c>
    </row>
    <row r="16" spans="1:19" x14ac:dyDescent="0.3">
      <c r="A16" s="5">
        <v>11</v>
      </c>
      <c r="B16" s="12">
        <v>5</v>
      </c>
      <c r="C16" s="12">
        <v>11</v>
      </c>
      <c r="D16" s="12" t="s">
        <v>20</v>
      </c>
      <c r="E16" s="12" t="s">
        <v>33</v>
      </c>
      <c r="F16" s="12">
        <v>1844395.1182200001</v>
      </c>
      <c r="G16" s="12">
        <v>5596018.6699980004</v>
      </c>
      <c r="H16" s="12">
        <v>390.14675599999998</v>
      </c>
      <c r="I16" s="12">
        <v>-0.69378099999999998</v>
      </c>
      <c r="J16" s="12">
        <v>3.0692059999999999</v>
      </c>
      <c r="K16" s="12">
        <v>407.899182</v>
      </c>
      <c r="L16" s="12">
        <v>-39.750712</v>
      </c>
      <c r="M16" s="12">
        <v>175.85255699999999</v>
      </c>
      <c r="N16" s="12">
        <v>407.899225</v>
      </c>
      <c r="O16" s="12">
        <v>0.99807000000000001</v>
      </c>
      <c r="P16" s="12">
        <v>1.2609969999999999</v>
      </c>
      <c r="Q16" s="13">
        <v>42718</v>
      </c>
      <c r="R16" s="14">
        <v>0.46012731481481484</v>
      </c>
      <c r="S16" t="s">
        <v>463</v>
      </c>
    </row>
    <row r="17" spans="1:21" x14ac:dyDescent="0.3">
      <c r="A17" s="5">
        <v>12</v>
      </c>
      <c r="B17">
        <v>4</v>
      </c>
      <c r="C17">
        <v>12</v>
      </c>
      <c r="D17" t="s">
        <v>20</v>
      </c>
      <c r="E17" t="s">
        <v>33</v>
      </c>
      <c r="F17">
        <v>1844569.859098</v>
      </c>
      <c r="G17">
        <v>5596018.3877659999</v>
      </c>
      <c r="H17">
        <v>398.27083499999998</v>
      </c>
      <c r="I17">
        <v>-0.69377999999999995</v>
      </c>
      <c r="J17">
        <v>3.069242</v>
      </c>
      <c r="K17">
        <v>416.031452</v>
      </c>
      <c r="L17">
        <v>-39.750664</v>
      </c>
      <c r="M17">
        <v>175.85459399999999</v>
      </c>
      <c r="N17">
        <v>416.03149500000001</v>
      </c>
      <c r="O17">
        <v>1.6122999999999998E-2</v>
      </c>
      <c r="P17">
        <v>2.0222E-2</v>
      </c>
      <c r="Q17" s="1">
        <v>42718</v>
      </c>
      <c r="R17" s="2">
        <v>0.46505787037037033</v>
      </c>
    </row>
    <row r="18" spans="1:21" x14ac:dyDescent="0.3">
      <c r="A18" s="5">
        <v>13</v>
      </c>
      <c r="B18">
        <v>3</v>
      </c>
      <c r="C18">
        <v>13</v>
      </c>
      <c r="D18" t="s">
        <v>20</v>
      </c>
      <c r="E18" t="s">
        <v>33</v>
      </c>
      <c r="F18">
        <v>1844676.0635249999</v>
      </c>
      <c r="G18">
        <v>5595953.376584</v>
      </c>
      <c r="H18">
        <v>392.26902100000001</v>
      </c>
      <c r="I18">
        <v>-0.69379000000000002</v>
      </c>
      <c r="J18">
        <v>3.069264</v>
      </c>
      <c r="K18">
        <v>410.02862800000003</v>
      </c>
      <c r="L18">
        <v>-39.751218999999999</v>
      </c>
      <c r="M18">
        <v>175.85585599999999</v>
      </c>
      <c r="N18">
        <v>410.02867099999997</v>
      </c>
      <c r="O18">
        <v>2.0070000000000001E-2</v>
      </c>
      <c r="P18">
        <v>2.2896E-2</v>
      </c>
      <c r="Q18" s="1">
        <v>42718</v>
      </c>
      <c r="R18" s="2">
        <v>0.46718750000000003</v>
      </c>
    </row>
    <row r="19" spans="1:21" x14ac:dyDescent="0.3">
      <c r="A19" s="5">
        <v>14</v>
      </c>
      <c r="B19">
        <v>1</v>
      </c>
      <c r="C19">
        <v>14</v>
      </c>
      <c r="D19" t="s">
        <v>20</v>
      </c>
      <c r="E19" t="s">
        <v>33</v>
      </c>
      <c r="F19">
        <v>1844385.3880189999</v>
      </c>
      <c r="G19">
        <v>5595881.1787350001</v>
      </c>
      <c r="H19">
        <v>383.15853600000003</v>
      </c>
      <c r="I19">
        <v>-0.69380200000000003</v>
      </c>
      <c r="J19">
        <v>3.0692050000000002</v>
      </c>
      <c r="K19">
        <v>400.89769799999999</v>
      </c>
      <c r="L19">
        <v>-39.751952000000003</v>
      </c>
      <c r="M19">
        <v>175.85249400000001</v>
      </c>
      <c r="N19">
        <v>400.897741</v>
      </c>
      <c r="O19">
        <v>2.1374000000000001E-2</v>
      </c>
      <c r="P19">
        <v>2.7296999999999998E-2</v>
      </c>
      <c r="Q19" s="1">
        <v>42718</v>
      </c>
      <c r="R19" s="2">
        <v>0.47844907407407405</v>
      </c>
    </row>
    <row r="20" spans="1:21" x14ac:dyDescent="0.3">
      <c r="A20" s="5">
        <v>15</v>
      </c>
      <c r="B20">
        <v>22</v>
      </c>
      <c r="C20">
        <v>15</v>
      </c>
      <c r="D20" t="s">
        <v>20</v>
      </c>
      <c r="E20" t="s">
        <v>33</v>
      </c>
      <c r="F20">
        <v>1844189.91117</v>
      </c>
      <c r="G20">
        <v>5596021.5353549998</v>
      </c>
      <c r="H20">
        <v>395.99483700000002</v>
      </c>
      <c r="I20">
        <v>-0.69378099999999998</v>
      </c>
      <c r="J20">
        <v>3.0691639999999998</v>
      </c>
      <c r="K20">
        <v>413.73787499999997</v>
      </c>
      <c r="L20">
        <v>-39.750745000000002</v>
      </c>
      <c r="M20">
        <v>175.85016300000001</v>
      </c>
      <c r="N20">
        <v>413.73791699999998</v>
      </c>
      <c r="O20">
        <v>1.1351999999999999E-2</v>
      </c>
      <c r="P20">
        <v>1.5838000000000001E-2</v>
      </c>
      <c r="Q20" s="1">
        <v>42718</v>
      </c>
      <c r="R20" s="2">
        <v>0.46770833333333334</v>
      </c>
    </row>
    <row r="21" spans="1:21" x14ac:dyDescent="0.3">
      <c r="A21" s="5">
        <v>16</v>
      </c>
      <c r="B21" s="21"/>
      <c r="C21" s="21"/>
      <c r="D21" s="21"/>
      <c r="E21" s="21"/>
      <c r="F21" s="21"/>
      <c r="G21" s="21"/>
      <c r="H21" s="21"/>
      <c r="I21" s="21"/>
      <c r="J21" s="21"/>
      <c r="K21" s="21"/>
      <c r="L21" s="21"/>
      <c r="M21" s="21"/>
      <c r="N21" s="21"/>
      <c r="O21" s="21"/>
      <c r="P21" s="21"/>
      <c r="Q21" s="1"/>
      <c r="R21" s="2"/>
    </row>
    <row r="22" spans="1:21" x14ac:dyDescent="0.3">
      <c r="A22" s="5">
        <v>17</v>
      </c>
      <c r="B22">
        <v>2</v>
      </c>
      <c r="C22">
        <v>17</v>
      </c>
      <c r="D22" t="s">
        <v>20</v>
      </c>
      <c r="E22" t="s">
        <v>33</v>
      </c>
      <c r="F22">
        <v>1844523.3195179999</v>
      </c>
      <c r="G22">
        <v>5595821.5863150004</v>
      </c>
      <c r="H22">
        <v>368.75571200000002</v>
      </c>
      <c r="I22">
        <v>-0.69381099999999996</v>
      </c>
      <c r="J22">
        <v>3.0692330000000001</v>
      </c>
      <c r="K22">
        <v>386.49588899999998</v>
      </c>
      <c r="L22">
        <v>-39.752448999999999</v>
      </c>
      <c r="M22">
        <v>175.85412500000001</v>
      </c>
      <c r="N22">
        <v>386.49593199999998</v>
      </c>
      <c r="O22">
        <v>1.7308E-2</v>
      </c>
      <c r="P22">
        <v>1.9049E-2</v>
      </c>
      <c r="Q22" s="1">
        <v>42718</v>
      </c>
      <c r="R22" s="2">
        <v>0.47361111111111115</v>
      </c>
    </row>
    <row r="23" spans="1:21" x14ac:dyDescent="0.3">
      <c r="A23" s="5">
        <v>18</v>
      </c>
      <c r="B23">
        <v>20</v>
      </c>
      <c r="C23">
        <v>18</v>
      </c>
      <c r="D23" t="s">
        <v>20</v>
      </c>
      <c r="E23" t="s">
        <v>33</v>
      </c>
      <c r="F23">
        <v>1844707.912062</v>
      </c>
      <c r="G23">
        <v>5595726.2761089997</v>
      </c>
      <c r="H23">
        <v>376.01014600000002</v>
      </c>
      <c r="I23">
        <v>-0.69382500000000003</v>
      </c>
      <c r="J23">
        <v>3.0692719999999998</v>
      </c>
      <c r="K23">
        <v>393.75031799999999</v>
      </c>
      <c r="L23">
        <v>-39.753253999999998</v>
      </c>
      <c r="M23">
        <v>175.856312</v>
      </c>
      <c r="N23">
        <v>393.750361</v>
      </c>
      <c r="O23">
        <v>2.5298999999999999E-2</v>
      </c>
      <c r="P23">
        <v>3.4328999999999998E-2</v>
      </c>
      <c r="Q23" s="1">
        <v>42718</v>
      </c>
      <c r="R23" s="2">
        <v>0.49236111111111108</v>
      </c>
    </row>
    <row r="24" spans="1:21" x14ac:dyDescent="0.3">
      <c r="A24" s="5">
        <v>19</v>
      </c>
      <c r="B24">
        <v>21</v>
      </c>
      <c r="C24">
        <v>19</v>
      </c>
      <c r="D24" t="s">
        <v>20</v>
      </c>
      <c r="E24" t="s">
        <v>33</v>
      </c>
      <c r="F24">
        <v>1844645.4794960001</v>
      </c>
      <c r="G24">
        <v>5595688.5729809999</v>
      </c>
      <c r="H24">
        <v>359.77514000000002</v>
      </c>
      <c r="I24">
        <v>-0.69383099999999998</v>
      </c>
      <c r="J24">
        <v>3.0692590000000002</v>
      </c>
      <c r="K24">
        <v>377.50884400000001</v>
      </c>
      <c r="L24">
        <v>-39.753610999999999</v>
      </c>
      <c r="M24">
        <v>175.85559799999999</v>
      </c>
      <c r="N24">
        <v>377.50888600000002</v>
      </c>
      <c r="O24">
        <v>3.1454000000000003E-2</v>
      </c>
      <c r="P24">
        <v>4.5553999999999997E-2</v>
      </c>
      <c r="Q24" s="1">
        <v>42718</v>
      </c>
      <c r="R24" s="2">
        <v>0.48861111111111111</v>
      </c>
    </row>
    <row r="25" spans="1:21" x14ac:dyDescent="0.3">
      <c r="A25" s="5">
        <v>20</v>
      </c>
      <c r="B25">
        <v>18</v>
      </c>
      <c r="C25">
        <v>20</v>
      </c>
      <c r="D25" t="s">
        <v>20</v>
      </c>
      <c r="E25" t="s">
        <v>33</v>
      </c>
      <c r="F25">
        <v>1844629.2677869999</v>
      </c>
      <c r="G25">
        <v>5595615.9064060003</v>
      </c>
      <c r="H25">
        <v>333.99404600000003</v>
      </c>
      <c r="I25">
        <v>-0.69384299999999999</v>
      </c>
      <c r="J25">
        <v>3.0692560000000002</v>
      </c>
      <c r="K25">
        <v>351.720259</v>
      </c>
      <c r="L25">
        <v>-39.754269000000001</v>
      </c>
      <c r="M25">
        <v>175.855436</v>
      </c>
      <c r="N25">
        <v>351.720302</v>
      </c>
      <c r="O25">
        <v>2.5724E-2</v>
      </c>
      <c r="P25">
        <v>3.3063000000000002E-2</v>
      </c>
      <c r="Q25" s="1">
        <v>42718</v>
      </c>
      <c r="R25" s="2">
        <v>0.52497685185185183</v>
      </c>
    </row>
    <row r="26" spans="1:21" x14ac:dyDescent="0.3">
      <c r="A26" s="5">
        <v>21</v>
      </c>
      <c r="B26">
        <v>26</v>
      </c>
      <c r="C26">
        <v>21</v>
      </c>
      <c r="D26" t="s">
        <v>20</v>
      </c>
      <c r="E26" t="s">
        <v>33</v>
      </c>
      <c r="F26">
        <v>1844484.1270560001</v>
      </c>
      <c r="G26">
        <v>5595559.155878</v>
      </c>
      <c r="H26">
        <v>311.85576900000001</v>
      </c>
      <c r="I26">
        <v>-0.69385300000000005</v>
      </c>
      <c r="J26">
        <v>3.0692270000000001</v>
      </c>
      <c r="K26">
        <v>329.56972500000001</v>
      </c>
      <c r="L26">
        <v>-39.754821999999997</v>
      </c>
      <c r="M26">
        <v>175.85376500000001</v>
      </c>
      <c r="N26">
        <v>329.56976800000001</v>
      </c>
      <c r="O26">
        <v>1.9167E-2</v>
      </c>
      <c r="P26">
        <v>4.1761E-2</v>
      </c>
      <c r="Q26" s="1">
        <v>42718</v>
      </c>
      <c r="R26" s="2">
        <v>0.42375000000000002</v>
      </c>
    </row>
    <row r="27" spans="1:21" x14ac:dyDescent="0.3">
      <c r="A27" s="5">
        <v>22</v>
      </c>
      <c r="B27">
        <v>27</v>
      </c>
      <c r="C27">
        <v>22</v>
      </c>
      <c r="D27" t="s">
        <v>20</v>
      </c>
      <c r="E27" t="s">
        <v>33</v>
      </c>
      <c r="F27">
        <v>1844441.40915</v>
      </c>
      <c r="G27">
        <v>5595456.9984449996</v>
      </c>
      <c r="H27">
        <v>304.36788799999999</v>
      </c>
      <c r="I27">
        <v>-0.69386899999999996</v>
      </c>
      <c r="J27">
        <v>3.0692189999999999</v>
      </c>
      <c r="K27">
        <v>322.07028800000001</v>
      </c>
      <c r="L27">
        <v>-39.755752999999999</v>
      </c>
      <c r="M27">
        <v>175.85330500000001</v>
      </c>
      <c r="N27">
        <v>322.07033100000001</v>
      </c>
      <c r="O27">
        <v>1.7864000000000001E-2</v>
      </c>
      <c r="P27">
        <v>3.7574999999999997E-2</v>
      </c>
      <c r="Q27" s="1">
        <v>42718</v>
      </c>
      <c r="R27" s="2">
        <v>0.41979166666666662</v>
      </c>
    </row>
    <row r="28" spans="1:21" x14ac:dyDescent="0.3">
      <c r="A28" s="5">
        <v>23</v>
      </c>
      <c r="B28">
        <v>28</v>
      </c>
      <c r="C28">
        <v>23</v>
      </c>
      <c r="D28" t="s">
        <v>20</v>
      </c>
      <c r="E28" t="s">
        <v>33</v>
      </c>
      <c r="F28">
        <v>1844378.7885439999</v>
      </c>
      <c r="G28">
        <v>5595386.207374</v>
      </c>
      <c r="H28">
        <v>310.767134</v>
      </c>
      <c r="I28">
        <v>-0.69388000000000005</v>
      </c>
      <c r="J28">
        <v>3.069207</v>
      </c>
      <c r="K28">
        <v>328.4599</v>
      </c>
      <c r="L28">
        <v>-39.756408</v>
      </c>
      <c r="M28">
        <v>175.85260099999999</v>
      </c>
      <c r="N28">
        <v>328.45994200000001</v>
      </c>
      <c r="O28">
        <v>1.5205E-2</v>
      </c>
      <c r="P28">
        <v>2.9801999999999999E-2</v>
      </c>
      <c r="Q28" s="1">
        <v>42718</v>
      </c>
      <c r="R28" s="2">
        <v>0.41814814814814816</v>
      </c>
    </row>
    <row r="29" spans="1:21" x14ac:dyDescent="0.3">
      <c r="A29" s="5">
        <v>24</v>
      </c>
      <c r="B29">
        <v>25</v>
      </c>
      <c r="C29">
        <v>24</v>
      </c>
      <c r="D29" t="s">
        <v>20</v>
      </c>
      <c r="E29" t="s">
        <v>33</v>
      </c>
      <c r="F29">
        <v>1844363.4426170001</v>
      </c>
      <c r="G29">
        <v>5595622.1285119997</v>
      </c>
      <c r="H29">
        <v>326.89673699999997</v>
      </c>
      <c r="I29">
        <v>-0.69384299999999999</v>
      </c>
      <c r="J29">
        <v>3.0692020000000002</v>
      </c>
      <c r="K29">
        <v>344.61072300000001</v>
      </c>
      <c r="L29">
        <v>-39.754289999999997</v>
      </c>
      <c r="M29">
        <v>175.85233500000001</v>
      </c>
      <c r="N29">
        <v>344.61076500000001</v>
      </c>
      <c r="O29">
        <v>2.9888999999999999E-2</v>
      </c>
      <c r="P29">
        <v>6.3671000000000005E-2</v>
      </c>
      <c r="Q29" s="1">
        <v>42718</v>
      </c>
      <c r="R29" s="2">
        <v>0.42755787037037035</v>
      </c>
      <c r="T29" s="21"/>
      <c r="U29" s="21"/>
    </row>
    <row r="30" spans="1:21" x14ac:dyDescent="0.3">
      <c r="A30" s="5">
        <v>25</v>
      </c>
      <c r="B30">
        <v>17</v>
      </c>
      <c r="C30">
        <v>25</v>
      </c>
      <c r="D30" t="s">
        <v>20</v>
      </c>
      <c r="E30" t="s">
        <v>33</v>
      </c>
      <c r="F30">
        <v>1844340.112155</v>
      </c>
      <c r="G30">
        <v>5595532.571153</v>
      </c>
      <c r="H30">
        <v>316.77308900000003</v>
      </c>
      <c r="I30">
        <v>-0.69385699999999995</v>
      </c>
      <c r="J30">
        <v>3.0691980000000001</v>
      </c>
      <c r="K30">
        <v>334.47760299999999</v>
      </c>
      <c r="L30">
        <v>-39.755102000000001</v>
      </c>
      <c r="M30">
        <v>175.85209599999999</v>
      </c>
      <c r="N30">
        <v>334.47764599999999</v>
      </c>
      <c r="O30">
        <v>2.9658E-2</v>
      </c>
      <c r="P30">
        <v>3.6197E-2</v>
      </c>
      <c r="Q30" s="1">
        <v>42718</v>
      </c>
      <c r="R30" s="2">
        <v>0.53263888888888888</v>
      </c>
    </row>
    <row r="31" spans="1:21" x14ac:dyDescent="0.3">
      <c r="A31" s="5">
        <v>26</v>
      </c>
      <c r="B31">
        <v>24</v>
      </c>
      <c r="C31">
        <v>26</v>
      </c>
      <c r="D31" t="s">
        <v>20</v>
      </c>
      <c r="E31" t="s">
        <v>33</v>
      </c>
      <c r="F31">
        <v>1844303.1630780001</v>
      </c>
      <c r="G31">
        <v>5595520.1828079997</v>
      </c>
      <c r="H31">
        <v>314.53178400000002</v>
      </c>
      <c r="I31">
        <v>-0.69386000000000003</v>
      </c>
      <c r="J31">
        <v>3.069191</v>
      </c>
      <c r="K31">
        <v>332.23335200000002</v>
      </c>
      <c r="L31">
        <v>-39.755223999999998</v>
      </c>
      <c r="M31">
        <v>175.85167000000001</v>
      </c>
      <c r="N31">
        <v>332.23339499999997</v>
      </c>
      <c r="O31">
        <v>1.9883999999999999E-2</v>
      </c>
      <c r="P31">
        <v>3.6600000000000001E-2</v>
      </c>
      <c r="Q31" s="1">
        <v>42718</v>
      </c>
      <c r="R31" s="2">
        <v>0.43756944444444446</v>
      </c>
    </row>
    <row r="32" spans="1:21" x14ac:dyDescent="0.3">
      <c r="A32" s="5">
        <v>27</v>
      </c>
      <c r="B32">
        <v>23</v>
      </c>
      <c r="C32">
        <v>27</v>
      </c>
      <c r="D32" t="s">
        <v>20</v>
      </c>
      <c r="E32" t="s">
        <v>33</v>
      </c>
      <c r="F32">
        <v>1844185.1271850001</v>
      </c>
      <c r="G32">
        <v>5595587.569538</v>
      </c>
      <c r="H32">
        <v>355.94403899999998</v>
      </c>
      <c r="I32">
        <v>-0.69384999999999997</v>
      </c>
      <c r="J32">
        <v>3.0691660000000001</v>
      </c>
      <c r="K32">
        <v>373.64619299999998</v>
      </c>
      <c r="L32">
        <v>-39.754652</v>
      </c>
      <c r="M32">
        <v>175.850269</v>
      </c>
      <c r="N32">
        <v>373.64623599999999</v>
      </c>
      <c r="O32">
        <v>1.5980999999999999E-2</v>
      </c>
      <c r="P32">
        <v>2.4025999999999999E-2</v>
      </c>
      <c r="Q32" s="1">
        <v>42718</v>
      </c>
      <c r="R32" s="2">
        <v>0.45824074074074073</v>
      </c>
    </row>
    <row r="33" spans="1:21" x14ac:dyDescent="0.3">
      <c r="A33" s="5">
        <v>28</v>
      </c>
      <c r="B33">
        <v>16</v>
      </c>
      <c r="C33">
        <v>28</v>
      </c>
      <c r="D33" t="s">
        <v>20</v>
      </c>
      <c r="E33" t="s">
        <v>33</v>
      </c>
      <c r="F33">
        <v>1844265.285836</v>
      </c>
      <c r="G33">
        <v>5595682.5775319999</v>
      </c>
      <c r="H33">
        <v>334.81211100000002</v>
      </c>
      <c r="I33">
        <v>-0.69383399999999995</v>
      </c>
      <c r="J33">
        <v>3.0691820000000001</v>
      </c>
      <c r="K33">
        <v>352.52701300000001</v>
      </c>
      <c r="L33">
        <v>-39.753774</v>
      </c>
      <c r="M33">
        <v>175.851168</v>
      </c>
      <c r="N33">
        <v>352.52705600000002</v>
      </c>
      <c r="O33">
        <v>2.8160999999999999E-2</v>
      </c>
      <c r="P33">
        <v>3.4863999999999999E-2</v>
      </c>
      <c r="Q33" s="1">
        <v>42718</v>
      </c>
      <c r="R33" s="2">
        <v>0.54431712962962964</v>
      </c>
      <c r="T33" s="21"/>
      <c r="U33" s="21"/>
    </row>
    <row r="34" spans="1:21" x14ac:dyDescent="0.3">
      <c r="A34" s="5">
        <v>29</v>
      </c>
    </row>
    <row r="35" spans="1:21" x14ac:dyDescent="0.3">
      <c r="A35" s="5" t="s">
        <v>26</v>
      </c>
      <c r="B35">
        <v>19</v>
      </c>
      <c r="C35" t="s">
        <v>26</v>
      </c>
      <c r="D35" t="s">
        <v>20</v>
      </c>
      <c r="E35" t="s">
        <v>33</v>
      </c>
      <c r="F35">
        <v>1844715.255132</v>
      </c>
      <c r="G35">
        <v>5595571.127839</v>
      </c>
      <c r="H35">
        <v>340.33024799999998</v>
      </c>
      <c r="I35">
        <v>-0.69384900000000005</v>
      </c>
      <c r="J35">
        <v>3.0692740000000001</v>
      </c>
      <c r="K35">
        <v>358.05647599999998</v>
      </c>
      <c r="L35">
        <v>-39.754648000000003</v>
      </c>
      <c r="M35">
        <v>175.85645500000001</v>
      </c>
      <c r="N35">
        <v>358.05651899999998</v>
      </c>
      <c r="O35">
        <v>2.5031999999999999E-2</v>
      </c>
      <c r="P35">
        <v>5.1612999999999999E-2</v>
      </c>
      <c r="Q35" s="1">
        <v>42718</v>
      </c>
      <c r="R35" s="2">
        <v>0.49806712962962968</v>
      </c>
    </row>
    <row r="37" spans="1:21" x14ac:dyDescent="0.3">
      <c r="B37">
        <v>15</v>
      </c>
      <c r="C37" t="s">
        <v>531</v>
      </c>
      <c r="D37" t="s">
        <v>20</v>
      </c>
      <c r="E37" t="s">
        <v>33</v>
      </c>
      <c r="F37">
        <v>1844275.788589</v>
      </c>
      <c r="G37">
        <v>5596482.9581359997</v>
      </c>
      <c r="H37">
        <v>434.69561299999998</v>
      </c>
      <c r="I37">
        <v>-0.69370799999999999</v>
      </c>
      <c r="J37">
        <v>3.0691790000000001</v>
      </c>
      <c r="K37">
        <v>452.487392</v>
      </c>
      <c r="L37">
        <v>-39.746568000000003</v>
      </c>
      <c r="M37">
        <v>175.85099299999999</v>
      </c>
      <c r="N37">
        <v>452.487435</v>
      </c>
      <c r="O37">
        <v>2.2908999999999999E-2</v>
      </c>
      <c r="P37">
        <v>3.0356999999999999E-2</v>
      </c>
      <c r="Q37" s="1">
        <v>42718</v>
      </c>
      <c r="R37" s="2">
        <v>0.56554398148148144</v>
      </c>
      <c r="T37" s="21"/>
      <c r="U37" s="21"/>
    </row>
    <row r="38" spans="1:21" s="21" customFormat="1" x14ac:dyDescent="0.3"/>
    <row r="39" spans="1:21" x14ac:dyDescent="0.3">
      <c r="A39" s="21"/>
    </row>
    <row r="40" spans="1:21" x14ac:dyDescent="0.3">
      <c r="O40">
        <f>MAX(O17:O37,O3:O10,O11:O15)</f>
        <v>3.1454000000000003E-2</v>
      </c>
      <c r="P40" s="21">
        <f>MAX(P17:P37,P3:P10,P11:P15)</f>
        <v>6.3671000000000005E-2</v>
      </c>
    </row>
    <row r="41" spans="1:21" x14ac:dyDescent="0.3">
      <c r="D41" t="s">
        <v>472</v>
      </c>
      <c r="E41">
        <v>3</v>
      </c>
      <c r="F41">
        <f>F8-F37</f>
        <v>1.9554999889805913E-2</v>
      </c>
      <c r="G41" s="21">
        <f t="shared" ref="G41:H41" si="0">G8-G37</f>
        <v>1.4117000624537468E-2</v>
      </c>
      <c r="H41" s="21">
        <f t="shared" si="0"/>
        <v>-3.8020000000074106E-3</v>
      </c>
      <c r="O41">
        <f>AVERAGE(O17:O37,O3:O10,O11:O15)</f>
        <v>1.9909172413793107E-2</v>
      </c>
      <c r="P41" s="21">
        <f>AVERAGE(P17:P37,P3:P10,P11:P15)</f>
        <v>3.0533758620689654E-2</v>
      </c>
    </row>
    <row r="42" spans="1:21" x14ac:dyDescent="0.3">
      <c r="O42">
        <f>_xlfn.STDEV.S(O17:O37,O3:O10,O11:O15)</f>
        <v>5.9541032794257981E-3</v>
      </c>
      <c r="P42" s="21">
        <f>_xlfn.STDEV.S(P17:P37,P3:P10,P11:P15)</f>
        <v>1.1295331363808088E-2</v>
      </c>
    </row>
  </sheetData>
  <sortState xmlns:xlrd2="http://schemas.microsoft.com/office/spreadsheetml/2017/richdata2" ref="B6:S36">
    <sortCondition ref="C6:C36"/>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2:U131"/>
  <sheetViews>
    <sheetView zoomScaleNormal="100" workbookViewId="0">
      <selection activeCell="A5" sqref="A5:XFD5"/>
    </sheetView>
  </sheetViews>
  <sheetFormatPr defaultRowHeight="14.4" x14ac:dyDescent="0.3"/>
  <cols>
    <col min="17" max="17" width="15.88671875" customWidth="1"/>
    <col min="19" max="19" width="12.88671875" bestFit="1" customWidth="1"/>
    <col min="20" max="20" width="11.33203125" bestFit="1" customWidth="1"/>
    <col min="21" max="21" width="11" bestFit="1" customWidth="1"/>
  </cols>
  <sheetData>
    <row r="2" spans="1:21"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c r="U2" t="s">
        <v>390</v>
      </c>
    </row>
    <row r="3" spans="1:21" x14ac:dyDescent="0.3">
      <c r="A3" s="5" t="s">
        <v>18</v>
      </c>
      <c r="B3">
        <v>0</v>
      </c>
      <c r="C3" t="s">
        <v>18</v>
      </c>
      <c r="D3" t="s">
        <v>20</v>
      </c>
      <c r="E3" t="s">
        <v>85</v>
      </c>
      <c r="F3">
        <v>1843366.02</v>
      </c>
      <c r="G3">
        <v>5597654.9900000002</v>
      </c>
      <c r="H3">
        <f>U3-0.2306</f>
        <v>378.29240000000004</v>
      </c>
      <c r="I3">
        <v>-0.69352899999999995</v>
      </c>
      <c r="J3">
        <v>3.0689860000000002</v>
      </c>
      <c r="K3">
        <v>396.41379899999998</v>
      </c>
      <c r="L3">
        <v>-39.736280999999998</v>
      </c>
      <c r="M3">
        <v>175.83995400000001</v>
      </c>
      <c r="N3">
        <v>396.413858</v>
      </c>
      <c r="O3">
        <v>1.3069000000000001E-2</v>
      </c>
      <c r="P3">
        <v>2.5063999999999999E-2</v>
      </c>
      <c r="Q3" s="1">
        <v>42666</v>
      </c>
      <c r="R3" s="2">
        <v>0.46370370370370373</v>
      </c>
      <c r="U3">
        <v>378.52300000000002</v>
      </c>
    </row>
    <row r="4" spans="1:21" x14ac:dyDescent="0.3">
      <c r="A4" s="5" t="s">
        <v>23</v>
      </c>
      <c r="B4" s="21"/>
      <c r="C4" s="21"/>
      <c r="D4" s="21"/>
      <c r="E4" s="21"/>
      <c r="F4" s="21"/>
      <c r="G4" s="21"/>
      <c r="H4" s="21"/>
      <c r="I4" s="21"/>
      <c r="J4" s="21"/>
      <c r="K4" s="21"/>
      <c r="L4" s="21"/>
      <c r="M4" s="21"/>
      <c r="N4" s="21"/>
      <c r="O4" s="21"/>
      <c r="P4" s="21"/>
      <c r="Q4" s="1"/>
      <c r="R4" s="2"/>
      <c r="S4" s="21"/>
      <c r="T4" s="21"/>
      <c r="U4" s="21"/>
    </row>
    <row r="5" spans="1:21" s="21" customFormat="1" x14ac:dyDescent="0.3">
      <c r="A5" s="5" t="s">
        <v>551</v>
      </c>
      <c r="Q5" s="1"/>
      <c r="R5" s="2"/>
    </row>
    <row r="6" spans="1:21" x14ac:dyDescent="0.3">
      <c r="A6" s="5">
        <v>1</v>
      </c>
      <c r="B6">
        <v>17</v>
      </c>
      <c r="C6">
        <v>1</v>
      </c>
      <c r="D6" t="s">
        <v>20</v>
      </c>
      <c r="E6" t="s">
        <v>33</v>
      </c>
      <c r="F6">
        <v>1844611.3303769999</v>
      </c>
      <c r="G6">
        <v>5596719.7856769999</v>
      </c>
      <c r="H6">
        <f t="shared" ref="H6:H20" si="0">U6-0.2306</f>
        <v>438.98248699999999</v>
      </c>
      <c r="I6">
        <v>-0.69367000000000001</v>
      </c>
      <c r="J6">
        <v>3.0692460000000001</v>
      </c>
      <c r="K6">
        <v>457.05895199999998</v>
      </c>
      <c r="L6">
        <v>-39.744340999999999</v>
      </c>
      <c r="M6">
        <v>175.854817</v>
      </c>
      <c r="N6">
        <v>457.059011</v>
      </c>
      <c r="O6">
        <v>1.8169999999999999E-2</v>
      </c>
      <c r="P6">
        <v>2.0673E-2</v>
      </c>
      <c r="Q6" s="1">
        <v>42666</v>
      </c>
      <c r="R6" s="2">
        <v>0.65982638888888889</v>
      </c>
      <c r="U6">
        <v>439.21308699999997</v>
      </c>
    </row>
    <row r="7" spans="1:21" x14ac:dyDescent="0.3">
      <c r="A7" s="5">
        <v>2</v>
      </c>
      <c r="B7">
        <v>11</v>
      </c>
      <c r="C7">
        <v>2</v>
      </c>
      <c r="D7" t="s">
        <v>20</v>
      </c>
      <c r="E7" t="s">
        <v>33</v>
      </c>
      <c r="F7">
        <v>1844327.1347040001</v>
      </c>
      <c r="G7">
        <v>5596603.3019249998</v>
      </c>
      <c r="H7">
        <f t="shared" si="0"/>
        <v>430.44842900000003</v>
      </c>
      <c r="I7">
        <v>-0.693689</v>
      </c>
      <c r="J7">
        <v>3.069188</v>
      </c>
      <c r="K7">
        <v>448.50080100000002</v>
      </c>
      <c r="L7">
        <v>-39.745469999999997</v>
      </c>
      <c r="M7">
        <v>175.85154700000001</v>
      </c>
      <c r="N7">
        <v>448.50085999999999</v>
      </c>
      <c r="O7">
        <v>3.0055999999999999E-2</v>
      </c>
      <c r="P7">
        <v>4.8600999999999998E-2</v>
      </c>
      <c r="Q7" s="1">
        <v>42666</v>
      </c>
      <c r="R7" s="2">
        <v>0.60306712962962961</v>
      </c>
      <c r="U7">
        <v>430.67902900000001</v>
      </c>
    </row>
    <row r="8" spans="1:21" x14ac:dyDescent="0.3">
      <c r="A8" s="5">
        <v>3</v>
      </c>
      <c r="B8">
        <v>3</v>
      </c>
      <c r="C8">
        <v>3</v>
      </c>
      <c r="D8" t="s">
        <v>20</v>
      </c>
      <c r="E8" t="s">
        <v>33</v>
      </c>
      <c r="F8">
        <v>1844275.7880859999</v>
      </c>
      <c r="G8">
        <v>5596483.007735</v>
      </c>
      <c r="H8">
        <f t="shared" si="0"/>
        <v>434.68145600000003</v>
      </c>
      <c r="I8">
        <v>-0.69370799999999999</v>
      </c>
      <c r="J8">
        <v>3.0691790000000001</v>
      </c>
      <c r="K8">
        <v>452.71969300000001</v>
      </c>
      <c r="L8">
        <v>-39.746568000000003</v>
      </c>
      <c r="M8">
        <v>175.85099299999999</v>
      </c>
      <c r="N8">
        <v>452.71975300000003</v>
      </c>
      <c r="O8">
        <v>2.1420999999999999E-2</v>
      </c>
      <c r="P8">
        <v>3.4705E-2</v>
      </c>
      <c r="Q8" s="1">
        <v>42666</v>
      </c>
      <c r="R8" s="2">
        <v>0.46890046296296295</v>
      </c>
      <c r="U8">
        <v>434.91205600000001</v>
      </c>
    </row>
    <row r="9" spans="1:21" x14ac:dyDescent="0.3">
      <c r="A9" s="5">
        <v>4</v>
      </c>
      <c r="B9">
        <v>4</v>
      </c>
      <c r="C9">
        <v>4</v>
      </c>
      <c r="D9" t="s">
        <v>20</v>
      </c>
      <c r="E9" t="s">
        <v>33</v>
      </c>
      <c r="F9">
        <v>1844444.433523</v>
      </c>
      <c r="G9">
        <v>5596429.0915710004</v>
      </c>
      <c r="H9">
        <f t="shared" si="0"/>
        <v>421.87415200000004</v>
      </c>
      <c r="I9">
        <v>-0.693716</v>
      </c>
      <c r="J9">
        <v>3.069213</v>
      </c>
      <c r="K9">
        <v>439.91463099999999</v>
      </c>
      <c r="L9">
        <v>-39.747005000000001</v>
      </c>
      <c r="M9">
        <v>175.852979</v>
      </c>
      <c r="N9">
        <v>439.91469000000001</v>
      </c>
      <c r="O9">
        <v>2.4242E-2</v>
      </c>
      <c r="P9">
        <v>3.6516E-2</v>
      </c>
      <c r="Q9" s="1">
        <v>42666</v>
      </c>
      <c r="R9" s="2">
        <v>0.47328703703703701</v>
      </c>
      <c r="U9">
        <v>422.10475200000002</v>
      </c>
    </row>
    <row r="10" spans="1:21" x14ac:dyDescent="0.3">
      <c r="A10" s="5">
        <v>5</v>
      </c>
      <c r="B10">
        <v>12</v>
      </c>
      <c r="C10">
        <v>5</v>
      </c>
      <c r="D10" t="s">
        <v>20</v>
      </c>
      <c r="E10" t="s">
        <v>33</v>
      </c>
      <c r="F10">
        <v>1844577.6655669999</v>
      </c>
      <c r="G10">
        <v>5596364.7488479996</v>
      </c>
      <c r="H10">
        <f t="shared" si="0"/>
        <v>414.65221600000001</v>
      </c>
      <c r="I10">
        <v>-0.69372599999999995</v>
      </c>
      <c r="J10">
        <v>3.0692409999999999</v>
      </c>
      <c r="K10">
        <v>432.69234499999999</v>
      </c>
      <c r="L10">
        <v>-39.747545000000002</v>
      </c>
      <c r="M10">
        <v>175.854556</v>
      </c>
      <c r="N10">
        <v>432.69240400000001</v>
      </c>
      <c r="O10">
        <v>2.7588000000000001E-2</v>
      </c>
      <c r="P10">
        <v>3.7303000000000003E-2</v>
      </c>
      <c r="Q10" s="1">
        <v>42666</v>
      </c>
      <c r="R10" s="2">
        <v>0.61184027777777772</v>
      </c>
      <c r="U10">
        <v>414.88281599999999</v>
      </c>
    </row>
    <row r="11" spans="1:21" x14ac:dyDescent="0.3">
      <c r="A11" s="5">
        <v>6</v>
      </c>
      <c r="B11">
        <v>14</v>
      </c>
      <c r="C11">
        <v>6</v>
      </c>
      <c r="D11" t="s">
        <v>20</v>
      </c>
      <c r="E11" t="s">
        <v>33</v>
      </c>
      <c r="F11">
        <v>1844789.2272689999</v>
      </c>
      <c r="G11">
        <v>5596420.03914</v>
      </c>
      <c r="H11">
        <f t="shared" si="0"/>
        <v>421.41897500000005</v>
      </c>
      <c r="I11">
        <v>-0.693716</v>
      </c>
      <c r="J11">
        <v>3.0692840000000001</v>
      </c>
      <c r="K11">
        <v>439.47399899999999</v>
      </c>
      <c r="L11">
        <v>-39.746986999999997</v>
      </c>
      <c r="M11">
        <v>175.85700199999999</v>
      </c>
      <c r="N11">
        <v>439.47405800000001</v>
      </c>
      <c r="O11">
        <v>2.4242E-2</v>
      </c>
      <c r="P11">
        <v>3.2443E-2</v>
      </c>
      <c r="Q11" s="1">
        <v>42666</v>
      </c>
      <c r="R11" s="2">
        <v>0.61922453703703706</v>
      </c>
      <c r="U11">
        <v>421.64957500000003</v>
      </c>
    </row>
    <row r="12" spans="1:21" x14ac:dyDescent="0.3">
      <c r="A12" s="5">
        <v>7</v>
      </c>
      <c r="B12">
        <v>15</v>
      </c>
      <c r="C12">
        <v>7</v>
      </c>
      <c r="D12" t="s">
        <v>20</v>
      </c>
      <c r="E12" t="s">
        <v>33</v>
      </c>
      <c r="F12">
        <v>1844897.3904800001</v>
      </c>
      <c r="G12">
        <v>5596315.5633530002</v>
      </c>
      <c r="H12">
        <f t="shared" si="0"/>
        <v>399.10175600000002</v>
      </c>
      <c r="I12">
        <v>-0.69373200000000002</v>
      </c>
      <c r="J12">
        <v>3.0693060000000001</v>
      </c>
      <c r="K12">
        <v>417.15140700000001</v>
      </c>
      <c r="L12">
        <v>-39.747895999999997</v>
      </c>
      <c r="M12">
        <v>175.85830200000001</v>
      </c>
      <c r="N12">
        <v>417.15146600000003</v>
      </c>
      <c r="O12">
        <v>3.2099000000000003E-2</v>
      </c>
      <c r="P12">
        <v>4.2549999999999998E-2</v>
      </c>
      <c r="Q12" s="1">
        <v>42666</v>
      </c>
      <c r="R12" s="2">
        <v>0.62511574074074072</v>
      </c>
      <c r="U12">
        <v>399.332356</v>
      </c>
    </row>
    <row r="13" spans="1:21" x14ac:dyDescent="0.3">
      <c r="A13" s="5">
        <v>8</v>
      </c>
      <c r="B13">
        <v>42</v>
      </c>
      <c r="C13">
        <v>8</v>
      </c>
      <c r="D13" t="s">
        <v>20</v>
      </c>
      <c r="E13" t="s">
        <v>33</v>
      </c>
      <c r="F13">
        <v>1844684.87528</v>
      </c>
      <c r="G13">
        <v>5596191.8496430004</v>
      </c>
      <c r="H13">
        <f t="shared" si="0"/>
        <v>402.98260100000005</v>
      </c>
      <c r="I13">
        <v>-0.69375200000000004</v>
      </c>
      <c r="J13">
        <v>3.069264</v>
      </c>
      <c r="K13">
        <v>421.01059299999997</v>
      </c>
      <c r="L13">
        <v>-39.749070000000003</v>
      </c>
      <c r="M13">
        <v>175.85587000000001</v>
      </c>
      <c r="N13">
        <v>421.01065199999999</v>
      </c>
      <c r="O13">
        <v>2.6855E-2</v>
      </c>
      <c r="P13">
        <v>3.4398999999999999E-2</v>
      </c>
      <c r="Q13" s="1">
        <v>42666</v>
      </c>
      <c r="R13" s="2">
        <v>0.80547453703703698</v>
      </c>
      <c r="U13">
        <v>403.21320100000003</v>
      </c>
    </row>
    <row r="14" spans="1:21" x14ac:dyDescent="0.3">
      <c r="A14" s="5">
        <v>9</v>
      </c>
      <c r="B14">
        <v>41</v>
      </c>
      <c r="C14">
        <v>9</v>
      </c>
      <c r="D14" t="s">
        <v>20</v>
      </c>
      <c r="E14" t="s">
        <v>33</v>
      </c>
      <c r="F14">
        <v>1844488.5712979999</v>
      </c>
      <c r="G14">
        <v>5596190.3663020004</v>
      </c>
      <c r="H14">
        <f t="shared" si="0"/>
        <v>401.077157</v>
      </c>
      <c r="I14">
        <v>-0.69375299999999995</v>
      </c>
      <c r="J14">
        <v>3.0692240000000002</v>
      </c>
      <c r="K14">
        <v>419.09616499999998</v>
      </c>
      <c r="L14">
        <v>-39.749139999999997</v>
      </c>
      <c r="M14">
        <v>175.85358199999999</v>
      </c>
      <c r="N14">
        <v>419.09622400000001</v>
      </c>
      <c r="O14">
        <v>2.5446E-2</v>
      </c>
      <c r="P14">
        <v>3.2228E-2</v>
      </c>
      <c r="Q14" s="1">
        <v>42666</v>
      </c>
      <c r="R14" s="2">
        <v>0.80292824074074076</v>
      </c>
      <c r="U14">
        <v>401.30775699999998</v>
      </c>
    </row>
    <row r="15" spans="1:21" x14ac:dyDescent="0.3">
      <c r="A15" s="5">
        <v>10</v>
      </c>
      <c r="B15">
        <v>40</v>
      </c>
      <c r="C15">
        <v>10</v>
      </c>
      <c r="D15" t="s">
        <v>20</v>
      </c>
      <c r="E15" t="s">
        <v>33</v>
      </c>
      <c r="F15">
        <v>1844340.300116</v>
      </c>
      <c r="G15">
        <v>5596229.2548500001</v>
      </c>
      <c r="H15">
        <f t="shared" si="0"/>
        <v>405.864802</v>
      </c>
      <c r="I15">
        <v>-0.69374800000000003</v>
      </c>
      <c r="J15">
        <v>3.069194</v>
      </c>
      <c r="K15">
        <v>423.88095800000002</v>
      </c>
      <c r="L15">
        <v>-39.748832999999998</v>
      </c>
      <c r="M15">
        <v>175.85183900000001</v>
      </c>
      <c r="N15">
        <v>423.88101699999999</v>
      </c>
      <c r="O15">
        <v>2.1968000000000001E-2</v>
      </c>
      <c r="P15">
        <v>2.7449999999999999E-2</v>
      </c>
      <c r="Q15" s="1">
        <v>42666</v>
      </c>
      <c r="R15" s="2">
        <v>0.80016203703703714</v>
      </c>
      <c r="U15">
        <v>406.09540199999998</v>
      </c>
    </row>
    <row r="16" spans="1:21" x14ac:dyDescent="0.3">
      <c r="A16" s="5">
        <v>11</v>
      </c>
      <c r="B16">
        <v>25</v>
      </c>
      <c r="C16">
        <v>11</v>
      </c>
      <c r="D16" t="s">
        <v>20</v>
      </c>
      <c r="E16" t="s">
        <v>33</v>
      </c>
      <c r="F16">
        <v>1844394.785561</v>
      </c>
      <c r="G16">
        <v>5596018.5058920002</v>
      </c>
      <c r="H16">
        <f t="shared" si="0"/>
        <v>390.19359500000002</v>
      </c>
      <c r="I16">
        <v>-0.69378099999999998</v>
      </c>
      <c r="J16">
        <v>3.0692059999999999</v>
      </c>
      <c r="K16">
        <v>408.19176099999999</v>
      </c>
      <c r="L16">
        <v>-39.750714000000002</v>
      </c>
      <c r="M16">
        <v>175.852553</v>
      </c>
      <c r="N16">
        <v>408.19182000000001</v>
      </c>
      <c r="O16">
        <v>2.2912999999999999E-2</v>
      </c>
      <c r="P16">
        <v>3.4472000000000003E-2</v>
      </c>
      <c r="Q16" s="1">
        <v>42666</v>
      </c>
      <c r="R16" s="2">
        <v>0.71651620370370372</v>
      </c>
      <c r="U16">
        <v>390.424195</v>
      </c>
    </row>
    <row r="17" spans="1:21" x14ac:dyDescent="0.3">
      <c r="A17" s="5">
        <v>12</v>
      </c>
      <c r="B17">
        <v>19</v>
      </c>
      <c r="C17">
        <v>12</v>
      </c>
      <c r="D17" t="s">
        <v>20</v>
      </c>
      <c r="E17" t="s">
        <v>33</v>
      </c>
      <c r="F17">
        <v>1844569.889312</v>
      </c>
      <c r="G17">
        <v>5596018.481497</v>
      </c>
      <c r="H17">
        <f t="shared" si="0"/>
        <v>398.28669200000002</v>
      </c>
      <c r="I17">
        <v>-0.69377999999999995</v>
      </c>
      <c r="J17">
        <v>3.069242</v>
      </c>
      <c r="K17">
        <v>416.29277100000002</v>
      </c>
      <c r="L17">
        <v>-39.750664</v>
      </c>
      <c r="M17">
        <v>175.85459399999999</v>
      </c>
      <c r="N17">
        <v>416.29282999999998</v>
      </c>
      <c r="O17">
        <v>1.9122E-2</v>
      </c>
      <c r="P17">
        <v>2.4389999999999998E-2</v>
      </c>
      <c r="Q17" s="1">
        <v>42666</v>
      </c>
      <c r="R17" s="2">
        <v>0.6987268518518519</v>
      </c>
      <c r="U17">
        <v>398.517292</v>
      </c>
    </row>
    <row r="18" spans="1:21" x14ac:dyDescent="0.3">
      <c r="A18" s="5">
        <v>13</v>
      </c>
      <c r="B18">
        <v>20</v>
      </c>
      <c r="C18">
        <v>13</v>
      </c>
      <c r="D18" t="s">
        <v>20</v>
      </c>
      <c r="E18" t="s">
        <v>33</v>
      </c>
      <c r="F18">
        <v>1844676.0871880001</v>
      </c>
      <c r="G18">
        <v>5595953.4581340002</v>
      </c>
      <c r="H18">
        <f t="shared" si="0"/>
        <v>392.26230100000004</v>
      </c>
      <c r="I18">
        <v>-0.69379000000000002</v>
      </c>
      <c r="J18">
        <v>3.069264</v>
      </c>
      <c r="K18">
        <v>410.26705500000003</v>
      </c>
      <c r="L18">
        <v>-39.751218000000001</v>
      </c>
      <c r="M18">
        <v>175.85585699999999</v>
      </c>
      <c r="N18">
        <v>410.26711399999999</v>
      </c>
      <c r="O18">
        <v>2.2440000000000002E-2</v>
      </c>
      <c r="P18">
        <v>2.9257999999999999E-2</v>
      </c>
      <c r="Q18" s="1">
        <v>42666</v>
      </c>
      <c r="R18" s="2">
        <v>0.70116898148148143</v>
      </c>
      <c r="U18">
        <v>392.49290100000002</v>
      </c>
    </row>
    <row r="19" spans="1:21" x14ac:dyDescent="0.3">
      <c r="A19" s="5">
        <v>14</v>
      </c>
      <c r="B19">
        <v>23</v>
      </c>
      <c r="C19">
        <v>14</v>
      </c>
      <c r="D19" t="s">
        <v>20</v>
      </c>
      <c r="E19" t="s">
        <v>33</v>
      </c>
      <c r="F19">
        <v>1844385.313966</v>
      </c>
      <c r="G19">
        <v>5595881.5707139997</v>
      </c>
      <c r="H19">
        <f t="shared" si="0"/>
        <v>383.28942499999999</v>
      </c>
      <c r="I19">
        <v>-0.69380200000000003</v>
      </c>
      <c r="J19">
        <v>3.0692050000000002</v>
      </c>
      <c r="K19">
        <v>401.274179</v>
      </c>
      <c r="L19">
        <v>-39.751949000000003</v>
      </c>
      <c r="M19">
        <v>175.85249300000001</v>
      </c>
      <c r="N19">
        <v>401.27423800000003</v>
      </c>
      <c r="O19">
        <v>4.0747999999999999E-2</v>
      </c>
      <c r="P19">
        <v>5.9921000000000002E-2</v>
      </c>
      <c r="Q19" s="1">
        <v>42666</v>
      </c>
      <c r="R19" s="2">
        <v>0.70962962962962972</v>
      </c>
      <c r="U19">
        <v>383.52002499999998</v>
      </c>
    </row>
    <row r="20" spans="1:21" x14ac:dyDescent="0.3">
      <c r="A20" s="5">
        <v>15</v>
      </c>
      <c r="B20">
        <v>37</v>
      </c>
      <c r="C20">
        <v>15</v>
      </c>
      <c r="D20" t="s">
        <v>20</v>
      </c>
      <c r="E20" t="s">
        <v>33</v>
      </c>
      <c r="F20">
        <v>1844189.9166939999</v>
      </c>
      <c r="G20">
        <v>5596021.5938410005</v>
      </c>
      <c r="H20">
        <f t="shared" si="0"/>
        <v>395.98666200000002</v>
      </c>
      <c r="I20">
        <v>-0.69378099999999998</v>
      </c>
      <c r="J20">
        <v>3.0691639999999998</v>
      </c>
      <c r="K20">
        <v>413.97585700000002</v>
      </c>
      <c r="L20">
        <v>-39.750745000000002</v>
      </c>
      <c r="M20">
        <v>175.85016300000001</v>
      </c>
      <c r="N20">
        <v>413.97591599999998</v>
      </c>
      <c r="O20">
        <v>2.0643999999999999E-2</v>
      </c>
      <c r="P20">
        <v>2.4201E-2</v>
      </c>
      <c r="Q20" s="1">
        <v>42666</v>
      </c>
      <c r="R20" s="2">
        <v>0.7877777777777778</v>
      </c>
      <c r="U20">
        <v>396.21726200000001</v>
      </c>
    </row>
    <row r="21" spans="1:21" x14ac:dyDescent="0.3">
      <c r="A21" s="5">
        <v>16</v>
      </c>
      <c r="B21">
        <v>30</v>
      </c>
      <c r="C21" s="21"/>
      <c r="D21" s="21"/>
      <c r="E21" s="21"/>
      <c r="F21" s="21"/>
      <c r="G21" s="21"/>
      <c r="H21" s="21"/>
      <c r="I21" s="21"/>
      <c r="J21" s="21"/>
      <c r="K21" s="21"/>
      <c r="L21" s="21"/>
      <c r="M21" s="21"/>
      <c r="N21" s="21"/>
      <c r="O21" s="21"/>
      <c r="P21" s="21"/>
      <c r="Q21" s="1"/>
      <c r="R21" s="2"/>
      <c r="S21" s="21"/>
      <c r="T21" s="21"/>
      <c r="U21" s="21"/>
    </row>
    <row r="22" spans="1:21" x14ac:dyDescent="0.3">
      <c r="A22" s="5">
        <v>17</v>
      </c>
      <c r="B22">
        <v>29</v>
      </c>
      <c r="C22" s="21"/>
      <c r="D22" s="21"/>
      <c r="E22" s="21"/>
      <c r="F22" s="21"/>
      <c r="G22" s="21"/>
      <c r="H22" s="21"/>
      <c r="I22" s="21"/>
      <c r="J22" s="21"/>
      <c r="K22" s="21"/>
      <c r="L22" s="21"/>
      <c r="M22" s="21"/>
      <c r="N22" s="21"/>
      <c r="O22" s="21"/>
      <c r="P22" s="21"/>
      <c r="Q22" s="1"/>
      <c r="R22" s="2"/>
      <c r="S22" s="21"/>
      <c r="T22" s="21"/>
      <c r="U22" s="21"/>
    </row>
    <row r="23" spans="1:21" x14ac:dyDescent="0.3">
      <c r="A23" s="5">
        <v>18</v>
      </c>
      <c r="B23">
        <v>27</v>
      </c>
      <c r="C23" s="21"/>
      <c r="D23" s="21"/>
      <c r="E23" s="21"/>
      <c r="F23" s="21"/>
      <c r="G23" s="21"/>
      <c r="H23" s="21"/>
      <c r="I23" s="21"/>
      <c r="J23" s="21"/>
      <c r="K23" s="21"/>
      <c r="L23" s="21"/>
      <c r="M23" s="21"/>
      <c r="N23" s="21"/>
      <c r="O23" s="21"/>
      <c r="P23" s="21"/>
      <c r="Q23" s="1"/>
      <c r="R23" s="2"/>
      <c r="S23" s="21"/>
      <c r="T23" s="21"/>
      <c r="U23" s="21"/>
    </row>
    <row r="24" spans="1:21" x14ac:dyDescent="0.3">
      <c r="A24" s="5">
        <v>19</v>
      </c>
      <c r="B24">
        <v>32</v>
      </c>
      <c r="C24" s="21"/>
      <c r="D24" s="21"/>
      <c r="E24" s="21"/>
      <c r="F24" s="21"/>
      <c r="G24" s="21"/>
      <c r="H24" s="21"/>
      <c r="I24" s="21"/>
      <c r="J24" s="21"/>
      <c r="K24" s="21"/>
      <c r="L24" s="21"/>
      <c r="M24" s="21"/>
      <c r="N24" s="21"/>
      <c r="O24" s="21"/>
      <c r="P24" s="21"/>
      <c r="Q24" s="1"/>
      <c r="R24" s="2"/>
      <c r="S24" s="21"/>
      <c r="T24" s="21"/>
      <c r="U24" s="21"/>
    </row>
    <row r="25" spans="1:21" x14ac:dyDescent="0.3">
      <c r="A25" s="5">
        <v>20</v>
      </c>
      <c r="B25">
        <v>34</v>
      </c>
      <c r="C25" s="21"/>
      <c r="D25" s="21"/>
      <c r="E25" s="21"/>
      <c r="F25" s="21"/>
      <c r="G25" s="21"/>
      <c r="H25" s="21"/>
      <c r="I25" s="21"/>
      <c r="J25" s="21"/>
      <c r="K25" s="21"/>
      <c r="L25" s="21"/>
      <c r="M25" s="21"/>
      <c r="N25" s="21"/>
      <c r="O25" s="21"/>
      <c r="P25" s="21"/>
      <c r="Q25" s="1"/>
      <c r="R25" s="2"/>
      <c r="S25" s="21"/>
      <c r="T25" s="21"/>
      <c r="U25" s="21"/>
    </row>
    <row r="26" spans="1:21" x14ac:dyDescent="0.3">
      <c r="A26" s="5">
        <v>21</v>
      </c>
      <c r="B26">
        <v>35</v>
      </c>
      <c r="C26">
        <v>21</v>
      </c>
      <c r="D26" t="s">
        <v>20</v>
      </c>
      <c r="E26" t="s">
        <v>33</v>
      </c>
      <c r="F26">
        <v>1844483.7092949999</v>
      </c>
      <c r="G26">
        <v>5595560.163164</v>
      </c>
      <c r="H26">
        <f t="shared" ref="H26:H32" si="1">U26-0.2306</f>
        <v>311.88784600000002</v>
      </c>
      <c r="I26">
        <v>-0.69385200000000002</v>
      </c>
      <c r="J26">
        <v>3.0692270000000001</v>
      </c>
      <c r="K26">
        <v>329.84668399999998</v>
      </c>
      <c r="L26">
        <v>-39.754812999999999</v>
      </c>
      <c r="M26">
        <v>175.85375999999999</v>
      </c>
      <c r="N26">
        <v>329.846743</v>
      </c>
      <c r="O26">
        <v>2.2019E-2</v>
      </c>
      <c r="P26">
        <v>2.7480999999999998E-2</v>
      </c>
      <c r="Q26" s="1">
        <v>42666</v>
      </c>
      <c r="R26" s="2">
        <v>0.76600694444444439</v>
      </c>
      <c r="U26">
        <v>312.11844600000001</v>
      </c>
    </row>
    <row r="27" spans="1:21" x14ac:dyDescent="0.3">
      <c r="A27" s="5">
        <v>22</v>
      </c>
      <c r="B27">
        <v>6</v>
      </c>
      <c r="C27">
        <v>22</v>
      </c>
      <c r="D27" t="s">
        <v>20</v>
      </c>
      <c r="E27" t="s">
        <v>33</v>
      </c>
      <c r="F27">
        <v>1844439.2838099999</v>
      </c>
      <c r="G27">
        <v>5595458.2650380004</v>
      </c>
      <c r="H27">
        <f t="shared" si="1"/>
        <v>304.59637600000002</v>
      </c>
      <c r="I27">
        <v>-0.69386899999999996</v>
      </c>
      <c r="J27">
        <v>3.0692189999999999</v>
      </c>
      <c r="K27">
        <v>322.54351700000001</v>
      </c>
      <c r="L27">
        <v>-39.755741999999998</v>
      </c>
      <c r="M27">
        <v>175.85328000000001</v>
      </c>
      <c r="N27">
        <v>322.54357599999997</v>
      </c>
      <c r="O27">
        <v>1.8822999999999999E-2</v>
      </c>
      <c r="P27">
        <v>2.5416999999999999E-2</v>
      </c>
      <c r="Q27" s="1">
        <v>42666</v>
      </c>
      <c r="R27" s="2">
        <v>0.76340277777777776</v>
      </c>
      <c r="U27">
        <v>304.826976</v>
      </c>
    </row>
    <row r="28" spans="1:21" x14ac:dyDescent="0.3">
      <c r="A28" s="5">
        <v>23</v>
      </c>
      <c r="B28">
        <v>43</v>
      </c>
      <c r="C28">
        <v>23</v>
      </c>
      <c r="D28" t="s">
        <v>20</v>
      </c>
      <c r="E28" t="s">
        <v>33</v>
      </c>
      <c r="F28">
        <v>1844378.8146540001</v>
      </c>
      <c r="G28">
        <v>5595386.2008159999</v>
      </c>
      <c r="H28">
        <f t="shared" si="1"/>
        <v>310.74034600000005</v>
      </c>
      <c r="I28">
        <v>-0.69388000000000005</v>
      </c>
      <c r="J28">
        <v>3.069207</v>
      </c>
      <c r="K28">
        <v>328.67784699999999</v>
      </c>
      <c r="L28">
        <v>-39.756408</v>
      </c>
      <c r="M28">
        <v>175.85260199999999</v>
      </c>
      <c r="N28">
        <v>328.67790600000001</v>
      </c>
      <c r="O28">
        <v>1.7319000000000001E-2</v>
      </c>
      <c r="P28">
        <v>2.4952999999999999E-2</v>
      </c>
      <c r="Q28" s="1">
        <v>42666</v>
      </c>
      <c r="R28" s="2">
        <v>0.73229166666666667</v>
      </c>
      <c r="U28">
        <v>310.97094600000003</v>
      </c>
    </row>
    <row r="29" spans="1:21" x14ac:dyDescent="0.3">
      <c r="A29" s="5">
        <v>24</v>
      </c>
      <c r="B29">
        <v>13</v>
      </c>
      <c r="C29">
        <v>24</v>
      </c>
      <c r="D29" t="s">
        <v>20</v>
      </c>
      <c r="E29" t="s">
        <v>33</v>
      </c>
      <c r="F29">
        <v>1844363.3221489999</v>
      </c>
      <c r="G29">
        <v>5595623.0673749996</v>
      </c>
      <c r="H29">
        <f t="shared" si="1"/>
        <v>327.02820500000001</v>
      </c>
      <c r="I29">
        <v>-0.69384299999999999</v>
      </c>
      <c r="J29">
        <v>3.0692020000000002</v>
      </c>
      <c r="K29">
        <v>344.98743999999999</v>
      </c>
      <c r="L29">
        <v>-39.754280999999999</v>
      </c>
      <c r="M29">
        <v>175.85233299999999</v>
      </c>
      <c r="N29">
        <v>344.98749900000001</v>
      </c>
      <c r="O29">
        <v>3.3846000000000001E-2</v>
      </c>
      <c r="P29">
        <v>3.8366999999999998E-2</v>
      </c>
      <c r="Q29" s="1">
        <v>42666</v>
      </c>
      <c r="R29" s="2">
        <v>0.76905092592592583</v>
      </c>
      <c r="U29">
        <v>327.258805</v>
      </c>
    </row>
    <row r="30" spans="1:21" x14ac:dyDescent="0.3">
      <c r="A30" s="5">
        <v>25</v>
      </c>
      <c r="B30">
        <v>2</v>
      </c>
      <c r="C30">
        <v>25</v>
      </c>
      <c r="D30" t="s">
        <v>20</v>
      </c>
      <c r="E30" t="s">
        <v>33</v>
      </c>
      <c r="F30">
        <v>1844339.6593879999</v>
      </c>
      <c r="G30">
        <v>5595533.6074860003</v>
      </c>
      <c r="H30">
        <f t="shared" si="1"/>
        <v>316.83834899999999</v>
      </c>
      <c r="I30">
        <v>-0.69385699999999995</v>
      </c>
      <c r="J30">
        <v>3.0691980000000001</v>
      </c>
      <c r="K30">
        <v>334.788005</v>
      </c>
      <c r="L30">
        <v>-39.755093000000002</v>
      </c>
      <c r="M30">
        <v>175.85209</v>
      </c>
      <c r="N30">
        <v>334.78806400000002</v>
      </c>
      <c r="O30">
        <v>4.8891999999999998E-2</v>
      </c>
      <c r="P30">
        <v>5.5301000000000003E-2</v>
      </c>
      <c r="Q30" s="1">
        <v>42666</v>
      </c>
      <c r="R30" s="2">
        <v>0.77751157407407412</v>
      </c>
      <c r="U30">
        <v>317.06894899999998</v>
      </c>
    </row>
    <row r="31" spans="1:21" x14ac:dyDescent="0.3">
      <c r="A31" s="5">
        <v>26</v>
      </c>
      <c r="B31">
        <v>5</v>
      </c>
      <c r="C31">
        <v>26</v>
      </c>
      <c r="D31" t="s">
        <v>20</v>
      </c>
      <c r="E31" t="s">
        <v>33</v>
      </c>
      <c r="F31">
        <v>1844303.1843999999</v>
      </c>
      <c r="G31">
        <v>5595520.1933009997</v>
      </c>
      <c r="H31">
        <f t="shared" si="1"/>
        <v>314.507093</v>
      </c>
      <c r="I31">
        <v>-0.69386000000000003</v>
      </c>
      <c r="J31">
        <v>3.069191</v>
      </c>
      <c r="K31">
        <v>332.45378599999998</v>
      </c>
      <c r="L31">
        <v>-39.755223999999998</v>
      </c>
      <c r="M31">
        <v>175.85167000000001</v>
      </c>
      <c r="N31">
        <v>332.453845</v>
      </c>
      <c r="O31">
        <v>3.3029000000000003E-2</v>
      </c>
      <c r="P31">
        <v>4.1265999999999997E-2</v>
      </c>
      <c r="Q31" s="1">
        <v>42666</v>
      </c>
      <c r="R31" s="2">
        <v>0.77840277777777767</v>
      </c>
      <c r="U31">
        <v>314.73769299999998</v>
      </c>
    </row>
    <row r="32" spans="1:21" x14ac:dyDescent="0.3">
      <c r="A32" s="5">
        <v>27</v>
      </c>
      <c r="B32">
        <v>39</v>
      </c>
      <c r="C32">
        <v>27</v>
      </c>
      <c r="D32" t="s">
        <v>20</v>
      </c>
      <c r="E32" t="s">
        <v>33</v>
      </c>
      <c r="F32">
        <v>1844185.1444600001</v>
      </c>
      <c r="G32">
        <v>5595587.5814380003</v>
      </c>
      <c r="H32">
        <f t="shared" si="1"/>
        <v>355.92442600000004</v>
      </c>
      <c r="I32">
        <v>-0.69384999999999997</v>
      </c>
      <c r="J32">
        <v>3.0691660000000001</v>
      </c>
      <c r="K32">
        <v>373.87206200000003</v>
      </c>
      <c r="L32">
        <v>-39.754652</v>
      </c>
      <c r="M32">
        <v>175.850269</v>
      </c>
      <c r="N32">
        <v>373.87212199999999</v>
      </c>
      <c r="O32">
        <v>1.1738E-2</v>
      </c>
      <c r="P32">
        <v>2.4462999999999999E-2</v>
      </c>
      <c r="Q32" s="1">
        <v>42666</v>
      </c>
      <c r="R32" s="2">
        <v>0.57543981481481488</v>
      </c>
      <c r="U32">
        <v>356.15502600000002</v>
      </c>
    </row>
    <row r="33" spans="1:21" x14ac:dyDescent="0.3">
      <c r="A33" s="5">
        <v>28</v>
      </c>
    </row>
    <row r="34" spans="1:21" x14ac:dyDescent="0.3">
      <c r="A34" s="5">
        <v>29</v>
      </c>
    </row>
    <row r="35" spans="1:21" x14ac:dyDescent="0.3">
      <c r="A35" s="5" t="s">
        <v>26</v>
      </c>
    </row>
    <row r="37" spans="1:21" s="21" customFormat="1" x14ac:dyDescent="0.3"/>
    <row r="38" spans="1:21" s="21" customFormat="1" x14ac:dyDescent="0.3"/>
    <row r="39" spans="1:21" s="21" customFormat="1" x14ac:dyDescent="0.3"/>
    <row r="40" spans="1:21" s="21" customFormat="1" x14ac:dyDescent="0.3">
      <c r="O40" s="21">
        <f>MAX(O3:O32)</f>
        <v>4.8891999999999998E-2</v>
      </c>
      <c r="P40" s="21">
        <f>MAX(P3:P32)</f>
        <v>5.9921000000000002E-2</v>
      </c>
    </row>
    <row r="41" spans="1:21" s="21" customFormat="1" x14ac:dyDescent="0.3">
      <c r="O41" s="21">
        <f>AVERAGE(O3:O32)</f>
        <v>2.5073434782608695E-2</v>
      </c>
      <c r="P41" s="21">
        <f>AVERAGE(P3:P32)</f>
        <v>3.3974869565217398E-2</v>
      </c>
    </row>
    <row r="42" spans="1:21" s="21" customFormat="1" x14ac:dyDescent="0.3">
      <c r="O42" s="21">
        <f>_xlfn.STDEV.S(O3:O32)</f>
        <v>8.544589605688744E-3</v>
      </c>
      <c r="P42" s="21">
        <f>_xlfn.STDEV.S(P3:P32)</f>
        <v>1.0241731007386762E-2</v>
      </c>
    </row>
    <row r="43" spans="1:21" s="21" customFormat="1" x14ac:dyDescent="0.3"/>
    <row r="44" spans="1:21" x14ac:dyDescent="0.3">
      <c r="B44">
        <v>1</v>
      </c>
      <c r="C44">
        <v>35</v>
      </c>
      <c r="D44" t="s">
        <v>20</v>
      </c>
      <c r="E44" t="s">
        <v>37</v>
      </c>
      <c r="F44">
        <v>1844768.1840029999</v>
      </c>
      <c r="G44">
        <v>5596230.428913</v>
      </c>
      <c r="H44">
        <f t="shared" ref="H44:H75" si="2">U44-0.2306</f>
        <v>401.43903600000004</v>
      </c>
      <c r="I44">
        <v>-0.69374599999999997</v>
      </c>
      <c r="J44">
        <v>3.0692810000000001</v>
      </c>
      <c r="K44">
        <v>419.47455600000001</v>
      </c>
      <c r="L44">
        <v>-39.748699000000002</v>
      </c>
      <c r="M44">
        <v>175.85682700000001</v>
      </c>
      <c r="N44">
        <v>419.47461499999997</v>
      </c>
      <c r="O44">
        <v>2.4867E-2</v>
      </c>
      <c r="P44">
        <v>3.2396000000000001E-2</v>
      </c>
      <c r="Q44" s="1">
        <v>42666</v>
      </c>
      <c r="R44" s="2">
        <v>0.80826388888888889</v>
      </c>
      <c r="U44">
        <v>401.66963600000003</v>
      </c>
    </row>
    <row r="45" spans="1:21" x14ac:dyDescent="0.3">
      <c r="B45">
        <v>38</v>
      </c>
      <c r="C45">
        <v>38</v>
      </c>
      <c r="D45" t="s">
        <v>20</v>
      </c>
      <c r="E45" t="s">
        <v>37</v>
      </c>
      <c r="F45">
        <v>1844788.76581</v>
      </c>
      <c r="G45">
        <v>5596422.0142390002</v>
      </c>
      <c r="H45">
        <f t="shared" si="2"/>
        <v>421.39368100000002</v>
      </c>
      <c r="I45">
        <v>-0.69371499999999997</v>
      </c>
      <c r="J45">
        <v>3.0692840000000001</v>
      </c>
      <c r="K45">
        <v>439.44887699999998</v>
      </c>
      <c r="L45">
        <v>-39.746969</v>
      </c>
      <c r="M45">
        <v>175.85699600000001</v>
      </c>
      <c r="N45">
        <v>439.448937</v>
      </c>
      <c r="O45">
        <v>2.6268E-2</v>
      </c>
      <c r="P45">
        <v>3.5152999999999997E-2</v>
      </c>
      <c r="Q45" s="1">
        <v>42666</v>
      </c>
      <c r="R45" s="2">
        <v>0.61729166666666668</v>
      </c>
      <c r="U45">
        <v>421.624281</v>
      </c>
    </row>
    <row r="46" spans="1:21" x14ac:dyDescent="0.3">
      <c r="B46">
        <v>36</v>
      </c>
      <c r="C46">
        <v>39</v>
      </c>
      <c r="D46" t="s">
        <v>20</v>
      </c>
      <c r="E46" t="s">
        <v>37</v>
      </c>
      <c r="F46">
        <v>1844195.5586059999</v>
      </c>
      <c r="G46">
        <v>5596400.9974440001</v>
      </c>
      <c r="H46">
        <f t="shared" si="2"/>
        <v>423.41558500000002</v>
      </c>
      <c r="I46">
        <v>-0.69372199999999995</v>
      </c>
      <c r="J46">
        <v>3.0691630000000001</v>
      </c>
      <c r="K46">
        <v>441.44215200000002</v>
      </c>
      <c r="L46">
        <v>-39.747329000000001</v>
      </c>
      <c r="M46">
        <v>175.850088</v>
      </c>
      <c r="N46">
        <v>441.44221099999999</v>
      </c>
      <c r="O46">
        <v>2.3695000000000001E-2</v>
      </c>
      <c r="P46">
        <v>4.3501999999999999E-2</v>
      </c>
      <c r="Q46" s="1">
        <v>42666</v>
      </c>
      <c r="R46" s="2">
        <v>0.4664699074074074</v>
      </c>
      <c r="U46">
        <v>423.646185</v>
      </c>
    </row>
    <row r="47" spans="1:21" x14ac:dyDescent="0.3">
      <c r="B47">
        <v>22</v>
      </c>
      <c r="C47">
        <v>40</v>
      </c>
      <c r="D47" t="s">
        <v>20</v>
      </c>
      <c r="E47" t="s">
        <v>37</v>
      </c>
      <c r="F47">
        <v>1844574.706523</v>
      </c>
      <c r="G47">
        <v>5596423.708079</v>
      </c>
      <c r="H47">
        <f t="shared" si="2"/>
        <v>411.54585800000001</v>
      </c>
      <c r="I47">
        <v>-0.693716</v>
      </c>
      <c r="J47">
        <v>3.0692400000000002</v>
      </c>
      <c r="K47">
        <v>429.59163899999999</v>
      </c>
      <c r="L47">
        <v>-39.747016000000002</v>
      </c>
      <c r="M47">
        <v>175.8545</v>
      </c>
      <c r="N47">
        <v>429.59169900000001</v>
      </c>
      <c r="O47">
        <v>2.3858000000000001E-2</v>
      </c>
      <c r="P47">
        <v>3.4211999999999999E-2</v>
      </c>
      <c r="Q47" s="1">
        <v>42666</v>
      </c>
      <c r="R47" s="2">
        <v>0.47531250000000003</v>
      </c>
      <c r="U47">
        <v>411.77645799999999</v>
      </c>
    </row>
    <row r="48" spans="1:21" x14ac:dyDescent="0.3">
      <c r="B48">
        <v>16</v>
      </c>
      <c r="C48">
        <v>44</v>
      </c>
      <c r="D48" t="s">
        <v>20</v>
      </c>
      <c r="E48" t="s">
        <v>37</v>
      </c>
      <c r="F48">
        <v>1844351.8533979999</v>
      </c>
      <c r="G48">
        <v>5596297.2696860004</v>
      </c>
      <c r="H48">
        <f t="shared" si="2"/>
        <v>408.88550400000003</v>
      </c>
      <c r="I48">
        <v>-0.69373700000000005</v>
      </c>
      <c r="J48">
        <v>3.0691959999999998</v>
      </c>
      <c r="K48">
        <v>426.90887099999998</v>
      </c>
      <c r="L48">
        <v>-39.748216999999997</v>
      </c>
      <c r="M48">
        <v>175.85194899999999</v>
      </c>
      <c r="N48">
        <v>426.90893</v>
      </c>
      <c r="O48">
        <v>2.1894E-2</v>
      </c>
      <c r="P48">
        <v>2.7053000000000001E-2</v>
      </c>
      <c r="Q48" s="1">
        <v>42666</v>
      </c>
      <c r="R48" s="2">
        <v>0.79809027777777775</v>
      </c>
      <c r="U48">
        <v>409.11610400000001</v>
      </c>
    </row>
    <row r="49" spans="2:21" x14ac:dyDescent="0.3">
      <c r="B49">
        <v>18</v>
      </c>
      <c r="C49">
        <v>45</v>
      </c>
      <c r="D49" t="s">
        <v>20</v>
      </c>
      <c r="E49" t="s">
        <v>37</v>
      </c>
      <c r="F49">
        <v>1844379.788194</v>
      </c>
      <c r="G49">
        <v>5596504.6644139998</v>
      </c>
      <c r="H49">
        <f t="shared" si="2"/>
        <v>423.33608600000002</v>
      </c>
      <c r="I49">
        <v>-0.69370500000000002</v>
      </c>
      <c r="J49">
        <v>3.0691999999999999</v>
      </c>
      <c r="K49">
        <v>441.381103</v>
      </c>
      <c r="L49">
        <v>-39.746343000000003</v>
      </c>
      <c r="M49">
        <v>175.85219699999999</v>
      </c>
      <c r="N49">
        <v>441.38116200000002</v>
      </c>
      <c r="O49">
        <v>1.3069000000000001E-2</v>
      </c>
      <c r="P49">
        <v>2.5063999999999999E-2</v>
      </c>
      <c r="Q49" s="1">
        <v>42666</v>
      </c>
      <c r="R49" s="2">
        <v>0.46370370370370373</v>
      </c>
      <c r="U49">
        <v>423.566686</v>
      </c>
    </row>
    <row r="50" spans="2:21" x14ac:dyDescent="0.3">
      <c r="B50">
        <v>21</v>
      </c>
      <c r="C50">
        <v>46</v>
      </c>
      <c r="D50" t="s">
        <v>20</v>
      </c>
      <c r="E50" t="s">
        <v>37</v>
      </c>
      <c r="F50">
        <v>1844262.8320899999</v>
      </c>
      <c r="G50">
        <v>5596247.6844889997</v>
      </c>
      <c r="H50">
        <f t="shared" si="2"/>
        <v>411.83929900000004</v>
      </c>
      <c r="I50">
        <v>-0.69374499999999995</v>
      </c>
      <c r="J50">
        <v>3.069178</v>
      </c>
      <c r="K50">
        <v>429.85378400000002</v>
      </c>
      <c r="L50">
        <v>-39.748688999999999</v>
      </c>
      <c r="M50">
        <v>175.85092900000001</v>
      </c>
      <c r="N50">
        <v>429.85384299999998</v>
      </c>
      <c r="O50">
        <v>2.7144000000000001E-2</v>
      </c>
      <c r="P50">
        <v>3.2964E-2</v>
      </c>
      <c r="Q50" s="1">
        <v>42666</v>
      </c>
      <c r="R50" s="2">
        <v>0.79340277777777779</v>
      </c>
      <c r="U50">
        <v>412.06989900000002</v>
      </c>
    </row>
    <row r="51" spans="2:21" x14ac:dyDescent="0.3">
      <c r="B51">
        <v>44</v>
      </c>
      <c r="C51">
        <v>47</v>
      </c>
      <c r="D51" t="s">
        <v>20</v>
      </c>
      <c r="E51" t="s">
        <v>37</v>
      </c>
      <c r="F51">
        <v>1844191.1910079999</v>
      </c>
      <c r="G51">
        <v>5596021.707564</v>
      </c>
      <c r="H51">
        <f t="shared" si="2"/>
        <v>395.90091800000005</v>
      </c>
      <c r="I51">
        <v>-0.69378099999999998</v>
      </c>
      <c r="J51">
        <v>3.0691649999999999</v>
      </c>
      <c r="K51">
        <v>413.89018099999998</v>
      </c>
      <c r="L51">
        <v>-39.750743</v>
      </c>
      <c r="M51">
        <v>175.850178</v>
      </c>
      <c r="N51">
        <v>413.89024000000001</v>
      </c>
      <c r="O51">
        <v>2.1274000000000001E-2</v>
      </c>
      <c r="P51">
        <v>2.4667000000000001E-2</v>
      </c>
      <c r="Q51" s="1">
        <v>42666</v>
      </c>
      <c r="R51" s="2">
        <v>0.78737268518518511</v>
      </c>
      <c r="U51">
        <v>396.13151800000003</v>
      </c>
    </row>
    <row r="52" spans="2:21" x14ac:dyDescent="0.3">
      <c r="B52">
        <v>26</v>
      </c>
      <c r="C52">
        <v>50</v>
      </c>
      <c r="D52" t="s">
        <v>20</v>
      </c>
      <c r="E52" t="s">
        <v>37</v>
      </c>
      <c r="F52">
        <v>1844517.437648</v>
      </c>
      <c r="G52">
        <v>5595934.0420519998</v>
      </c>
      <c r="H52">
        <f t="shared" si="2"/>
        <v>375.04296800000003</v>
      </c>
      <c r="I52">
        <v>-0.69379299999999999</v>
      </c>
      <c r="J52">
        <v>3.069232</v>
      </c>
      <c r="K52">
        <v>393.03869400000002</v>
      </c>
      <c r="L52">
        <v>-39.751438999999998</v>
      </c>
      <c r="M52">
        <v>175.85401400000001</v>
      </c>
      <c r="N52">
        <v>393.03875299999999</v>
      </c>
      <c r="O52">
        <v>2.5250999999999999E-2</v>
      </c>
      <c r="P52">
        <v>3.7286E-2</v>
      </c>
      <c r="Q52" s="1">
        <v>42666</v>
      </c>
      <c r="R52" s="2">
        <v>0.70679398148148154</v>
      </c>
      <c r="U52">
        <v>375.27356800000001</v>
      </c>
    </row>
    <row r="53" spans="2:21" x14ac:dyDescent="0.3">
      <c r="B53">
        <v>24</v>
      </c>
      <c r="C53">
        <v>51</v>
      </c>
      <c r="D53" t="s">
        <v>20</v>
      </c>
      <c r="E53" t="s">
        <v>37</v>
      </c>
      <c r="F53">
        <v>1844476.3788149999</v>
      </c>
      <c r="G53">
        <v>5596153.7062820001</v>
      </c>
      <c r="H53">
        <f t="shared" si="2"/>
        <v>402.08214400000003</v>
      </c>
      <c r="I53">
        <v>-0.69375900000000001</v>
      </c>
      <c r="J53">
        <v>3.0692219999999999</v>
      </c>
      <c r="K53">
        <v>420.09700299999997</v>
      </c>
      <c r="L53">
        <v>-39.749473999999999</v>
      </c>
      <c r="M53">
        <v>175.853454</v>
      </c>
      <c r="N53">
        <v>420.09706199999999</v>
      </c>
      <c r="O53">
        <v>3.6756999999999998E-2</v>
      </c>
      <c r="P53">
        <v>4.8058999999999998E-2</v>
      </c>
      <c r="Q53" s="1">
        <v>42666</v>
      </c>
      <c r="R53" s="2">
        <v>0.6448842592592593</v>
      </c>
      <c r="U53">
        <v>402.31274400000001</v>
      </c>
    </row>
    <row r="54" spans="2:21" x14ac:dyDescent="0.3">
      <c r="B54">
        <v>33</v>
      </c>
      <c r="C54">
        <v>54</v>
      </c>
      <c r="D54" t="s">
        <v>20</v>
      </c>
      <c r="E54" t="s">
        <v>37</v>
      </c>
      <c r="F54">
        <v>1844644.8196779999</v>
      </c>
      <c r="G54">
        <v>5596068.486118</v>
      </c>
      <c r="H54">
        <f t="shared" si="2"/>
        <v>405.36444299999999</v>
      </c>
      <c r="I54">
        <v>-0.69377200000000006</v>
      </c>
      <c r="J54">
        <v>3.0692569999999999</v>
      </c>
      <c r="K54">
        <v>423.37862100000001</v>
      </c>
      <c r="L54">
        <v>-39.750191999999998</v>
      </c>
      <c r="M54">
        <v>175.85544899999999</v>
      </c>
      <c r="N54">
        <v>423.37867999999997</v>
      </c>
      <c r="O54">
        <v>1.7545999999999999E-2</v>
      </c>
      <c r="P54">
        <v>2.0517000000000001E-2</v>
      </c>
      <c r="Q54" s="1">
        <v>42666</v>
      </c>
      <c r="R54" s="2">
        <v>0.68609953703703708</v>
      </c>
      <c r="U54">
        <v>405.59504299999998</v>
      </c>
    </row>
    <row r="55" spans="2:21" x14ac:dyDescent="0.3">
      <c r="B55">
        <v>28</v>
      </c>
      <c r="C55">
        <v>55</v>
      </c>
      <c r="D55" t="s">
        <v>20</v>
      </c>
      <c r="E55" t="s">
        <v>37</v>
      </c>
      <c r="F55">
        <v>1844677.4086490001</v>
      </c>
      <c r="G55">
        <v>5595875.7630799999</v>
      </c>
      <c r="H55">
        <f t="shared" si="2"/>
        <v>381.53508600000004</v>
      </c>
      <c r="I55">
        <v>-0.69380200000000003</v>
      </c>
      <c r="J55">
        <v>3.069264</v>
      </c>
      <c r="K55">
        <v>399.53258399999999</v>
      </c>
      <c r="L55">
        <v>-39.751916999999999</v>
      </c>
      <c r="M55">
        <v>175.85590099999999</v>
      </c>
      <c r="N55">
        <v>399.53264300000001</v>
      </c>
      <c r="O55">
        <v>2.2912999999999999E-2</v>
      </c>
      <c r="P55">
        <v>3.0466E-2</v>
      </c>
      <c r="Q55" s="1">
        <v>42666</v>
      </c>
      <c r="R55" s="2">
        <v>0.70313657407407415</v>
      </c>
      <c r="U55">
        <v>381.76568600000002</v>
      </c>
    </row>
    <row r="56" spans="2:21" x14ac:dyDescent="0.3">
      <c r="B56">
        <v>31</v>
      </c>
      <c r="C56">
        <v>59</v>
      </c>
      <c r="D56" t="s">
        <v>20</v>
      </c>
      <c r="E56" t="s">
        <v>37</v>
      </c>
      <c r="F56">
        <v>1844524.6618230001</v>
      </c>
      <c r="G56">
        <v>5596274.5074859997</v>
      </c>
      <c r="H56">
        <f t="shared" si="2"/>
        <v>408.088213</v>
      </c>
      <c r="I56">
        <v>-0.69374000000000002</v>
      </c>
      <c r="J56">
        <v>3.0692309999999998</v>
      </c>
      <c r="K56">
        <v>426.11710599999998</v>
      </c>
      <c r="L56">
        <v>-39.748373000000001</v>
      </c>
      <c r="M56">
        <v>175.853972</v>
      </c>
      <c r="N56">
        <v>426.117165</v>
      </c>
      <c r="O56">
        <v>2.4281E-2</v>
      </c>
      <c r="P56">
        <v>3.0651999999999999E-2</v>
      </c>
      <c r="Q56" s="1">
        <v>42666</v>
      </c>
      <c r="R56" s="2">
        <v>0.81253472222222223</v>
      </c>
      <c r="U56">
        <v>408.31881299999998</v>
      </c>
    </row>
    <row r="57" spans="2:21" x14ac:dyDescent="0.3">
      <c r="B57">
        <v>7</v>
      </c>
      <c r="C57">
        <v>60</v>
      </c>
      <c r="D57" t="s">
        <v>20</v>
      </c>
      <c r="E57" t="s">
        <v>37</v>
      </c>
      <c r="F57">
        <v>1844380.3507449999</v>
      </c>
      <c r="G57">
        <v>5595396.3046129998</v>
      </c>
      <c r="H57">
        <f t="shared" si="2"/>
        <v>312.05490500000002</v>
      </c>
      <c r="I57">
        <v>-0.69387900000000002</v>
      </c>
      <c r="J57">
        <v>3.069207</v>
      </c>
      <c r="K57">
        <v>329.99343499999998</v>
      </c>
      <c r="L57">
        <v>-39.756317000000003</v>
      </c>
      <c r="M57">
        <v>175.85261600000001</v>
      </c>
      <c r="N57">
        <v>329.993494</v>
      </c>
      <c r="O57">
        <v>1.5351E-2</v>
      </c>
      <c r="P57">
        <v>2.2138999999999999E-2</v>
      </c>
      <c r="Q57" s="1">
        <v>42666</v>
      </c>
      <c r="R57" s="2">
        <v>0.73151620370370374</v>
      </c>
      <c r="U57">
        <v>312.285505</v>
      </c>
    </row>
    <row r="58" spans="2:21" x14ac:dyDescent="0.3">
      <c r="B58">
        <v>8</v>
      </c>
      <c r="C58">
        <v>69</v>
      </c>
      <c r="D58" t="s">
        <v>20</v>
      </c>
      <c r="E58" t="s">
        <v>37</v>
      </c>
      <c r="F58">
        <v>1844372.982999</v>
      </c>
      <c r="G58">
        <v>5595868.785782</v>
      </c>
      <c r="H58">
        <f t="shared" si="2"/>
        <v>383.74289800000003</v>
      </c>
      <c r="I58">
        <v>-0.69380399999999998</v>
      </c>
      <c r="J58">
        <v>3.0692029999999999</v>
      </c>
      <c r="K58">
        <v>401.72587700000003</v>
      </c>
      <c r="L58">
        <v>-39.752066999999997</v>
      </c>
      <c r="M58">
        <v>175.85235399999999</v>
      </c>
      <c r="N58">
        <v>401.72593599999999</v>
      </c>
      <c r="O58">
        <v>2.2513999999999999E-2</v>
      </c>
      <c r="P58">
        <v>3.3273999999999998E-2</v>
      </c>
      <c r="Q58" s="1">
        <v>42666</v>
      </c>
      <c r="R58" s="2">
        <v>0.71026620370370364</v>
      </c>
      <c r="U58">
        <v>383.97349800000001</v>
      </c>
    </row>
    <row r="59" spans="2:21" x14ac:dyDescent="0.3">
      <c r="B59">
        <v>9</v>
      </c>
      <c r="C59">
        <v>72</v>
      </c>
      <c r="D59" t="s">
        <v>20</v>
      </c>
      <c r="E59" t="s">
        <v>37</v>
      </c>
      <c r="F59">
        <v>1844366.217767</v>
      </c>
      <c r="G59">
        <v>5595583.8962669997</v>
      </c>
      <c r="H59">
        <f t="shared" si="2"/>
        <v>321.66700700000001</v>
      </c>
      <c r="I59">
        <v>-0.69384900000000005</v>
      </c>
      <c r="J59">
        <v>3.0692029999999999</v>
      </c>
      <c r="K59">
        <v>339.62266099999999</v>
      </c>
      <c r="L59">
        <v>-39.754632999999998</v>
      </c>
      <c r="M59">
        <v>175.85238100000001</v>
      </c>
      <c r="N59">
        <v>339.62272000000002</v>
      </c>
      <c r="O59">
        <v>3.7094000000000002E-2</v>
      </c>
      <c r="P59">
        <v>4.6601999999999998E-2</v>
      </c>
      <c r="Q59" s="1">
        <v>42666</v>
      </c>
      <c r="R59" s="2">
        <v>0.77462962962962967</v>
      </c>
      <c r="U59">
        <v>321.89760699999999</v>
      </c>
    </row>
    <row r="60" spans="2:21" x14ac:dyDescent="0.3">
      <c r="B60">
        <v>10</v>
      </c>
      <c r="C60">
        <v>82</v>
      </c>
      <c r="D60" t="s">
        <v>20</v>
      </c>
      <c r="E60" t="s">
        <v>37</v>
      </c>
      <c r="F60">
        <v>1844438.9198700001</v>
      </c>
      <c r="G60">
        <v>5595457.5894959997</v>
      </c>
      <c r="H60">
        <f t="shared" si="2"/>
        <v>304.44672700000001</v>
      </c>
      <c r="I60">
        <v>-0.69386899999999996</v>
      </c>
      <c r="J60">
        <v>3.0692189999999999</v>
      </c>
      <c r="K60">
        <v>322.39378599999998</v>
      </c>
      <c r="L60">
        <v>-39.755749000000002</v>
      </c>
      <c r="M60">
        <v>175.85327599999999</v>
      </c>
      <c r="N60">
        <v>322.393846</v>
      </c>
      <c r="O60">
        <v>2.1149999999999999E-2</v>
      </c>
      <c r="P60">
        <v>2.9204999999999998E-2</v>
      </c>
      <c r="Q60" s="1">
        <v>42666</v>
      </c>
      <c r="R60" s="2">
        <v>0.7628125</v>
      </c>
      <c r="U60">
        <v>304.67732699999999</v>
      </c>
    </row>
    <row r="61" spans="2:21" x14ac:dyDescent="0.3">
      <c r="B61">
        <v>45</v>
      </c>
      <c r="C61">
        <v>88</v>
      </c>
      <c r="D61" t="s">
        <v>20</v>
      </c>
      <c r="E61" t="s">
        <v>37</v>
      </c>
      <c r="F61">
        <v>1844481.884756</v>
      </c>
      <c r="G61">
        <v>5595564.1217999998</v>
      </c>
      <c r="H61">
        <f t="shared" si="2"/>
        <v>311.58533700000004</v>
      </c>
      <c r="I61">
        <v>-0.69385200000000002</v>
      </c>
      <c r="J61">
        <v>3.0692270000000001</v>
      </c>
      <c r="K61">
        <v>329.544465</v>
      </c>
      <c r="L61">
        <v>-39.754778000000002</v>
      </c>
      <c r="M61">
        <v>175.853737</v>
      </c>
      <c r="N61">
        <v>329.54452400000002</v>
      </c>
      <c r="O61">
        <v>2.0951000000000001E-2</v>
      </c>
      <c r="P61">
        <v>2.5336000000000001E-2</v>
      </c>
      <c r="Q61" s="1">
        <v>42666</v>
      </c>
      <c r="R61" s="2">
        <v>0.7663888888888889</v>
      </c>
      <c r="U61">
        <v>311.81593700000002</v>
      </c>
    </row>
    <row r="62" spans="2:21" x14ac:dyDescent="0.3">
      <c r="B62">
        <v>46</v>
      </c>
      <c r="C62">
        <v>1000</v>
      </c>
      <c r="D62" t="s">
        <v>20</v>
      </c>
      <c r="E62" t="s">
        <v>37</v>
      </c>
      <c r="F62">
        <v>1844178.936364</v>
      </c>
      <c r="G62">
        <v>5595591.6486379998</v>
      </c>
      <c r="H62">
        <f t="shared" si="2"/>
        <v>356.24601200000001</v>
      </c>
      <c r="I62">
        <v>-0.69384900000000005</v>
      </c>
      <c r="J62">
        <v>3.0691649999999999</v>
      </c>
      <c r="K62">
        <v>374.19374900000003</v>
      </c>
      <c r="L62">
        <v>-39.754617000000003</v>
      </c>
      <c r="M62">
        <v>175.85019500000001</v>
      </c>
      <c r="N62">
        <v>374.19380799999999</v>
      </c>
      <c r="O62">
        <v>1.5810000000000001E-2</v>
      </c>
      <c r="P62">
        <v>3.2216000000000002E-2</v>
      </c>
      <c r="Q62" s="1">
        <v>42666</v>
      </c>
      <c r="R62" s="2">
        <v>0.57619212962962962</v>
      </c>
      <c r="U62">
        <v>356.47661199999999</v>
      </c>
    </row>
    <row r="63" spans="2:21" x14ac:dyDescent="0.3">
      <c r="B63">
        <v>47</v>
      </c>
      <c r="C63">
        <v>1001</v>
      </c>
      <c r="D63" t="s">
        <v>20</v>
      </c>
      <c r="E63" t="s">
        <v>37</v>
      </c>
      <c r="F63">
        <v>1844647.558192</v>
      </c>
      <c r="G63">
        <v>5596718.2509190002</v>
      </c>
      <c r="H63">
        <f t="shared" si="2"/>
        <v>438.959338</v>
      </c>
      <c r="I63">
        <v>-0.69367000000000001</v>
      </c>
      <c r="J63">
        <v>3.0692529999999998</v>
      </c>
      <c r="K63">
        <v>457.037262</v>
      </c>
      <c r="L63">
        <v>-39.744343999999998</v>
      </c>
      <c r="M63">
        <v>175.85524000000001</v>
      </c>
      <c r="N63">
        <v>457.03732100000002</v>
      </c>
      <c r="O63">
        <v>1.29E-2</v>
      </c>
      <c r="P63">
        <v>2.3120999999999999E-2</v>
      </c>
      <c r="Q63" s="1">
        <v>42666</v>
      </c>
      <c r="R63" s="2">
        <v>0.59444444444444444</v>
      </c>
      <c r="U63">
        <v>439.18993799999998</v>
      </c>
    </row>
    <row r="64" spans="2:21" x14ac:dyDescent="0.3">
      <c r="B64">
        <v>48</v>
      </c>
      <c r="C64">
        <v>1002</v>
      </c>
      <c r="D64" t="s">
        <v>20</v>
      </c>
      <c r="E64" t="s">
        <v>37</v>
      </c>
      <c r="F64">
        <v>1844730.121517</v>
      </c>
      <c r="G64">
        <v>5596634.421352</v>
      </c>
      <c r="H64">
        <f t="shared" si="2"/>
        <v>436.27989700000001</v>
      </c>
      <c r="I64">
        <v>-0.69368200000000002</v>
      </c>
      <c r="J64">
        <v>3.0692699999999999</v>
      </c>
      <c r="K64">
        <v>454.353275</v>
      </c>
      <c r="L64">
        <v>-39.745075</v>
      </c>
      <c r="M64">
        <v>175.856233</v>
      </c>
      <c r="N64">
        <v>454.35333400000002</v>
      </c>
      <c r="O64">
        <v>2.0348999999999999E-2</v>
      </c>
      <c r="P64">
        <v>3.3562000000000002E-2</v>
      </c>
      <c r="Q64" s="1">
        <v>42666</v>
      </c>
      <c r="R64" s="2">
        <v>0.59605324074074073</v>
      </c>
      <c r="U64">
        <v>436.51049699999999</v>
      </c>
    </row>
    <row r="65" spans="2:21" x14ac:dyDescent="0.3">
      <c r="B65">
        <v>49</v>
      </c>
      <c r="C65">
        <v>1003</v>
      </c>
      <c r="D65" t="s">
        <v>20</v>
      </c>
      <c r="E65" t="s">
        <v>37</v>
      </c>
      <c r="F65">
        <v>1844432.726887</v>
      </c>
      <c r="G65">
        <v>5596763.7527010003</v>
      </c>
      <c r="H65">
        <f t="shared" si="2"/>
        <v>435.18749700000001</v>
      </c>
      <c r="I65">
        <v>-0.69366399999999995</v>
      </c>
      <c r="J65">
        <v>3.0692089999999999</v>
      </c>
      <c r="K65">
        <v>453.26034900000002</v>
      </c>
      <c r="L65">
        <v>-39.743996000000003</v>
      </c>
      <c r="M65">
        <v>175.85271800000001</v>
      </c>
      <c r="N65">
        <v>453.26040799999998</v>
      </c>
      <c r="O65">
        <v>1.3186E-2</v>
      </c>
      <c r="P65">
        <v>2.0785000000000001E-2</v>
      </c>
      <c r="Q65" s="1">
        <v>42666</v>
      </c>
      <c r="R65" s="2">
        <v>0.59953703703703709</v>
      </c>
      <c r="U65">
        <v>435.41809699999999</v>
      </c>
    </row>
    <row r="66" spans="2:21" x14ac:dyDescent="0.3">
      <c r="B66">
        <v>53</v>
      </c>
      <c r="C66">
        <v>79</v>
      </c>
      <c r="D66" t="s">
        <v>20</v>
      </c>
      <c r="E66" t="s">
        <v>37</v>
      </c>
      <c r="F66">
        <v>1844705.4911740001</v>
      </c>
      <c r="G66">
        <v>5595600.3696560003</v>
      </c>
      <c r="H66">
        <f t="shared" si="2"/>
        <v>349.13361400000002</v>
      </c>
      <c r="I66">
        <v>-0.69384500000000005</v>
      </c>
      <c r="J66">
        <v>3.0692719999999998</v>
      </c>
      <c r="K66">
        <v>367.10648600000002</v>
      </c>
      <c r="L66">
        <v>-39.754387000000001</v>
      </c>
      <c r="M66">
        <v>175.85633100000001</v>
      </c>
      <c r="N66">
        <v>367.10654499999998</v>
      </c>
      <c r="O66">
        <v>0</v>
      </c>
      <c r="P66">
        <v>0</v>
      </c>
      <c r="Q66" t="s">
        <v>19</v>
      </c>
      <c r="R66" t="s">
        <v>19</v>
      </c>
      <c r="U66">
        <v>349.364214</v>
      </c>
    </row>
    <row r="67" spans="2:21" x14ac:dyDescent="0.3">
      <c r="B67">
        <v>54</v>
      </c>
      <c r="C67">
        <v>1056</v>
      </c>
      <c r="D67" t="s">
        <v>20</v>
      </c>
      <c r="E67" t="s">
        <v>37</v>
      </c>
      <c r="F67">
        <v>1844654.0861440001</v>
      </c>
      <c r="G67">
        <v>5595680.490394</v>
      </c>
      <c r="H67">
        <f t="shared" si="2"/>
        <v>359.02150700000004</v>
      </c>
      <c r="I67">
        <v>-0.69383300000000003</v>
      </c>
      <c r="J67">
        <v>3.069261</v>
      </c>
      <c r="K67">
        <v>376.99955199999999</v>
      </c>
      <c r="L67">
        <v>-39.753681</v>
      </c>
      <c r="M67">
        <v>175.85570200000001</v>
      </c>
      <c r="N67">
        <v>376.99961100000002</v>
      </c>
      <c r="O67">
        <v>0</v>
      </c>
      <c r="P67">
        <v>0</v>
      </c>
      <c r="Q67" t="s">
        <v>19</v>
      </c>
      <c r="R67" t="s">
        <v>19</v>
      </c>
      <c r="U67">
        <v>359.25210700000002</v>
      </c>
    </row>
    <row r="68" spans="2:21" x14ac:dyDescent="0.3">
      <c r="C68">
        <v>1055</v>
      </c>
      <c r="D68" t="s">
        <v>20</v>
      </c>
      <c r="E68" t="s">
        <v>37</v>
      </c>
      <c r="F68">
        <v>1844677.201712</v>
      </c>
      <c r="G68">
        <v>5595876.5699500004</v>
      </c>
      <c r="H68">
        <f t="shared" si="2"/>
        <v>383.899204</v>
      </c>
      <c r="I68">
        <v>-0.69380200000000003</v>
      </c>
      <c r="J68">
        <v>3.069264</v>
      </c>
      <c r="K68">
        <v>401.89676900000001</v>
      </c>
      <c r="L68">
        <v>-39.751910000000002</v>
      </c>
      <c r="M68">
        <v>175.855898</v>
      </c>
      <c r="N68">
        <v>401.89682800000003</v>
      </c>
      <c r="O68">
        <v>0</v>
      </c>
      <c r="P68">
        <v>0</v>
      </c>
      <c r="Q68" t="s">
        <v>19</v>
      </c>
      <c r="R68" t="s">
        <v>19</v>
      </c>
      <c r="U68">
        <v>384.12980399999998</v>
      </c>
    </row>
    <row r="69" spans="2:21" x14ac:dyDescent="0.3">
      <c r="B69">
        <v>50</v>
      </c>
      <c r="C69">
        <v>20</v>
      </c>
      <c r="D69" t="s">
        <v>20</v>
      </c>
      <c r="E69" t="s">
        <v>33</v>
      </c>
      <c r="F69">
        <v>1844628.9988150001</v>
      </c>
      <c r="G69">
        <v>5595616.6052710004</v>
      </c>
      <c r="H69">
        <f t="shared" si="2"/>
        <v>332.42868600000003</v>
      </c>
      <c r="I69">
        <v>-0.69384299999999999</v>
      </c>
      <c r="J69">
        <v>3.0692560000000002</v>
      </c>
      <c r="K69">
        <v>350.39955900000001</v>
      </c>
      <c r="L69">
        <v>-39.754263000000002</v>
      </c>
      <c r="M69">
        <v>175.855433</v>
      </c>
      <c r="N69">
        <v>350.39961799999998</v>
      </c>
      <c r="O69">
        <v>0</v>
      </c>
      <c r="P69">
        <v>0</v>
      </c>
      <c r="Q69" t="s">
        <v>19</v>
      </c>
      <c r="R69" t="s">
        <v>19</v>
      </c>
      <c r="U69">
        <v>332.65928600000001</v>
      </c>
    </row>
    <row r="70" spans="2:21" x14ac:dyDescent="0.3">
      <c r="B70">
        <v>51</v>
      </c>
      <c r="C70">
        <v>17</v>
      </c>
      <c r="D70" t="s">
        <v>20</v>
      </c>
      <c r="E70" t="s">
        <v>33</v>
      </c>
      <c r="F70">
        <v>1844523.1136</v>
      </c>
      <c r="G70">
        <v>5595822.9801430004</v>
      </c>
      <c r="H70">
        <f t="shared" si="2"/>
        <v>371.29604600000005</v>
      </c>
      <c r="I70">
        <v>-0.69381099999999996</v>
      </c>
      <c r="J70">
        <v>3.0692330000000001</v>
      </c>
      <c r="K70">
        <v>389.28153400000002</v>
      </c>
      <c r="L70">
        <v>-39.752436000000003</v>
      </c>
      <c r="M70">
        <v>175.85412199999999</v>
      </c>
      <c r="N70">
        <v>389.28159399999998</v>
      </c>
      <c r="O70">
        <v>0</v>
      </c>
      <c r="P70">
        <v>0</v>
      </c>
      <c r="Q70" t="s">
        <v>19</v>
      </c>
      <c r="R70" t="s">
        <v>19</v>
      </c>
      <c r="U70">
        <v>371.52664600000003</v>
      </c>
    </row>
    <row r="71" spans="2:21" x14ac:dyDescent="0.3">
      <c r="B71">
        <v>52</v>
      </c>
      <c r="C71">
        <v>18</v>
      </c>
      <c r="D71" t="s">
        <v>20</v>
      </c>
      <c r="E71" t="s">
        <v>33</v>
      </c>
      <c r="F71">
        <v>1844707.7088240001</v>
      </c>
      <c r="G71">
        <v>5595727.4797470002</v>
      </c>
      <c r="H71">
        <f t="shared" si="2"/>
        <v>377.50559100000004</v>
      </c>
      <c r="I71">
        <v>-0.69382500000000003</v>
      </c>
      <c r="J71">
        <v>3.0692719999999998</v>
      </c>
      <c r="K71">
        <v>395.49051900000001</v>
      </c>
      <c r="L71">
        <v>-39.753242999999998</v>
      </c>
      <c r="M71">
        <v>175.85630900000001</v>
      </c>
      <c r="N71">
        <v>395.49057800000003</v>
      </c>
      <c r="O71">
        <v>0</v>
      </c>
      <c r="P71">
        <v>0</v>
      </c>
      <c r="Q71" t="s">
        <v>19</v>
      </c>
      <c r="R71" t="s">
        <v>19</v>
      </c>
      <c r="U71">
        <v>377.73619100000002</v>
      </c>
    </row>
    <row r="72" spans="2:21" x14ac:dyDescent="0.3">
      <c r="C72">
        <v>19</v>
      </c>
      <c r="D72" t="s">
        <v>20</v>
      </c>
      <c r="E72" t="s">
        <v>33</v>
      </c>
      <c r="F72">
        <v>1844645.276328</v>
      </c>
      <c r="G72">
        <v>5595690.3776890002</v>
      </c>
      <c r="H72">
        <f t="shared" si="2"/>
        <v>360.73069700000002</v>
      </c>
      <c r="I72">
        <v>-0.69383099999999998</v>
      </c>
      <c r="J72">
        <v>3.0692590000000002</v>
      </c>
      <c r="K72">
        <v>378.70926900000001</v>
      </c>
      <c r="L72">
        <v>-39.753594999999997</v>
      </c>
      <c r="M72">
        <v>175.85559499999999</v>
      </c>
      <c r="N72">
        <v>378.70932800000003</v>
      </c>
      <c r="O72">
        <v>0</v>
      </c>
      <c r="P72">
        <v>0</v>
      </c>
      <c r="Q72" t="s">
        <v>19</v>
      </c>
      <c r="R72" t="s">
        <v>19</v>
      </c>
      <c r="U72">
        <v>360.961297</v>
      </c>
    </row>
    <row r="73" spans="2:21" x14ac:dyDescent="0.3">
      <c r="C73">
        <v>20</v>
      </c>
      <c r="D73" t="s">
        <v>20</v>
      </c>
      <c r="E73" t="s">
        <v>33</v>
      </c>
      <c r="F73">
        <v>1844628.9079529999</v>
      </c>
      <c r="G73">
        <v>5595616.5823619999</v>
      </c>
      <c r="H73">
        <f t="shared" si="2"/>
        <v>332.24377300000003</v>
      </c>
      <c r="I73">
        <v>-0.69384299999999999</v>
      </c>
      <c r="J73">
        <v>3.0692560000000002</v>
      </c>
      <c r="K73">
        <v>350.21463999999997</v>
      </c>
      <c r="L73">
        <v>-39.754263000000002</v>
      </c>
      <c r="M73">
        <v>175.85543200000001</v>
      </c>
      <c r="N73">
        <v>350.214699</v>
      </c>
      <c r="O73">
        <v>0</v>
      </c>
      <c r="P73">
        <v>0</v>
      </c>
      <c r="Q73" t="s">
        <v>19</v>
      </c>
      <c r="R73" t="s">
        <v>19</v>
      </c>
      <c r="U73">
        <v>332.47437300000001</v>
      </c>
    </row>
    <row r="74" spans="2:21" x14ac:dyDescent="0.3">
      <c r="C74">
        <v>21</v>
      </c>
      <c r="D74" t="s">
        <v>20</v>
      </c>
      <c r="E74" t="s">
        <v>33</v>
      </c>
      <c r="F74">
        <v>1844629.20407</v>
      </c>
      <c r="G74">
        <v>5595616.948872</v>
      </c>
      <c r="H74">
        <f t="shared" si="2"/>
        <v>332.945874</v>
      </c>
      <c r="I74">
        <v>-0.69384299999999999</v>
      </c>
      <c r="J74">
        <v>3.0692560000000002</v>
      </c>
      <c r="K74">
        <v>350.916788</v>
      </c>
      <c r="L74">
        <v>-39.754260000000002</v>
      </c>
      <c r="M74">
        <v>175.855435</v>
      </c>
      <c r="N74">
        <v>350.91684800000002</v>
      </c>
      <c r="O74">
        <v>0</v>
      </c>
      <c r="P74">
        <v>0</v>
      </c>
      <c r="Q74" t="s">
        <v>19</v>
      </c>
      <c r="R74" t="s">
        <v>19</v>
      </c>
      <c r="U74">
        <v>333.17647399999998</v>
      </c>
    </row>
    <row r="75" spans="2:21" x14ac:dyDescent="0.3">
      <c r="C75" t="s">
        <v>86</v>
      </c>
      <c r="D75" t="s">
        <v>20</v>
      </c>
      <c r="E75" t="s">
        <v>33</v>
      </c>
      <c r="F75">
        <v>1844629.564</v>
      </c>
      <c r="G75">
        <v>5595617.5674520005</v>
      </c>
      <c r="H75">
        <f t="shared" si="2"/>
        <v>334.648436</v>
      </c>
      <c r="I75">
        <v>-0.69384299999999999</v>
      </c>
      <c r="J75">
        <v>3.0692560000000002</v>
      </c>
      <c r="K75">
        <v>352.61942499999998</v>
      </c>
      <c r="L75">
        <v>-39.754254000000003</v>
      </c>
      <c r="M75">
        <v>175.85543899999999</v>
      </c>
      <c r="N75">
        <v>352.619484</v>
      </c>
      <c r="O75">
        <v>0</v>
      </c>
      <c r="P75">
        <v>0</v>
      </c>
      <c r="Q75" t="s">
        <v>19</v>
      </c>
      <c r="R75" t="s">
        <v>19</v>
      </c>
      <c r="U75">
        <v>334.87903599999999</v>
      </c>
    </row>
    <row r="76" spans="2:21" x14ac:dyDescent="0.3">
      <c r="C76" s="21"/>
      <c r="D76" s="21"/>
      <c r="E76" s="21"/>
      <c r="F76" s="21"/>
      <c r="G76" s="21"/>
      <c r="H76" s="21"/>
    </row>
    <row r="77" spans="2:21" x14ac:dyDescent="0.3">
      <c r="C77" s="21"/>
      <c r="D77" s="21"/>
      <c r="E77" s="21"/>
      <c r="F77" s="21"/>
      <c r="G77" s="21"/>
      <c r="H77" s="21"/>
    </row>
    <row r="78" spans="2:21" x14ac:dyDescent="0.3">
      <c r="C78" s="21"/>
      <c r="D78" s="21"/>
      <c r="E78" s="21"/>
      <c r="F78" s="21"/>
      <c r="G78" s="21"/>
      <c r="H78" s="21"/>
    </row>
    <row r="79" spans="2:21" x14ac:dyDescent="0.3">
      <c r="C79" s="21"/>
      <c r="D79" s="21"/>
      <c r="E79" s="21"/>
      <c r="F79" s="21"/>
      <c r="G79" s="21"/>
      <c r="H79" s="21"/>
    </row>
    <row r="80" spans="2:21" x14ac:dyDescent="0.3">
      <c r="C80" s="21"/>
      <c r="D80" s="21"/>
      <c r="E80" s="21"/>
      <c r="F80" s="21"/>
      <c r="G80" s="21"/>
      <c r="H80" s="21"/>
    </row>
    <row r="81" spans="3:12" x14ac:dyDescent="0.3">
      <c r="C81" s="21"/>
      <c r="D81" s="21"/>
      <c r="E81" s="21"/>
      <c r="F81" s="21"/>
      <c r="G81" s="21"/>
      <c r="H81" s="21"/>
    </row>
    <row r="82" spans="3:12" x14ac:dyDescent="0.3">
      <c r="C82" s="21"/>
      <c r="D82" s="21"/>
      <c r="E82" s="21"/>
      <c r="F82" s="21"/>
      <c r="G82" s="21"/>
      <c r="H82" s="21"/>
    </row>
    <row r="83" spans="3:12" x14ac:dyDescent="0.3">
      <c r="C83" s="21"/>
      <c r="D83" s="21"/>
      <c r="E83" s="21"/>
      <c r="F83" s="21"/>
      <c r="G83" s="21"/>
      <c r="H83" s="21"/>
    </row>
    <row r="84" spans="3:12" x14ac:dyDescent="0.3">
      <c r="C84" s="21"/>
      <c r="D84" s="21"/>
      <c r="E84" s="21"/>
      <c r="F84" s="21"/>
      <c r="G84" s="21"/>
      <c r="H84" s="21"/>
    </row>
    <row r="85" spans="3:12" x14ac:dyDescent="0.3">
      <c r="C85" s="21"/>
      <c r="D85" s="21"/>
      <c r="E85" s="21"/>
      <c r="F85" s="21"/>
      <c r="G85" s="21"/>
      <c r="H85" s="21"/>
    </row>
    <row r="86" spans="3:12" x14ac:dyDescent="0.3">
      <c r="C86" s="21"/>
      <c r="D86" s="21"/>
      <c r="E86" s="21"/>
      <c r="F86" s="21"/>
      <c r="G86" s="21"/>
      <c r="H86" s="21"/>
    </row>
    <row r="87" spans="3:12" x14ac:dyDescent="0.3">
      <c r="C87" s="21"/>
      <c r="D87" s="21"/>
      <c r="E87" s="21"/>
      <c r="F87" s="21"/>
      <c r="G87" s="21"/>
      <c r="H87" s="21"/>
    </row>
    <row r="88" spans="3:12" x14ac:dyDescent="0.3">
      <c r="C88" s="21"/>
      <c r="D88" s="21"/>
      <c r="E88" s="21"/>
      <c r="F88" s="21"/>
      <c r="G88" s="21"/>
      <c r="H88" s="21"/>
    </row>
    <row r="89" spans="3:12" x14ac:dyDescent="0.3">
      <c r="C89" s="21"/>
      <c r="D89" s="21"/>
      <c r="E89" s="21"/>
      <c r="F89" s="21"/>
      <c r="G89" s="21"/>
      <c r="H89" s="21"/>
    </row>
    <row r="90" spans="3:12" x14ac:dyDescent="0.3">
      <c r="C90" s="21"/>
      <c r="D90" s="21"/>
      <c r="E90" s="21"/>
      <c r="F90" s="21"/>
      <c r="G90" s="21"/>
      <c r="H90" s="21"/>
    </row>
    <row r="91" spans="3:12" x14ac:dyDescent="0.3">
      <c r="C91" s="21"/>
      <c r="D91" s="21"/>
      <c r="E91" s="21"/>
      <c r="F91" s="21"/>
      <c r="G91" s="21"/>
      <c r="H91" s="21"/>
      <c r="J91" s="19"/>
      <c r="K91" s="19"/>
      <c r="L91" s="19"/>
    </row>
    <row r="92" spans="3:12" x14ac:dyDescent="0.3">
      <c r="C92" s="21"/>
      <c r="D92" s="21"/>
      <c r="E92" s="21"/>
      <c r="F92" s="21"/>
      <c r="G92" s="21"/>
      <c r="H92" s="21"/>
      <c r="J92" s="19"/>
      <c r="K92" s="19"/>
      <c r="L92" s="19"/>
    </row>
    <row r="93" spans="3:12" x14ac:dyDescent="0.3">
      <c r="C93" s="21"/>
      <c r="D93" s="21"/>
      <c r="E93" s="21"/>
      <c r="F93" s="21"/>
      <c r="G93" s="21"/>
      <c r="H93" s="21"/>
    </row>
    <row r="94" spans="3:12" x14ac:dyDescent="0.3">
      <c r="C94" s="21"/>
      <c r="D94" s="21"/>
      <c r="E94" s="21"/>
      <c r="F94" s="21"/>
      <c r="G94" s="21"/>
      <c r="H94" s="21"/>
    </row>
    <row r="95" spans="3:12" x14ac:dyDescent="0.3">
      <c r="C95" s="21"/>
      <c r="D95" s="21"/>
      <c r="E95" s="21"/>
      <c r="F95" s="21"/>
      <c r="G95" s="21"/>
      <c r="H95" s="21"/>
    </row>
    <row r="96" spans="3:12" x14ac:dyDescent="0.3">
      <c r="C96" s="21"/>
      <c r="D96" s="21"/>
      <c r="E96" s="21"/>
      <c r="F96" s="21"/>
      <c r="G96" s="21"/>
      <c r="H96" s="21"/>
      <c r="J96" s="21"/>
      <c r="K96" s="21"/>
      <c r="L96" s="21"/>
    </row>
    <row r="97" spans="3:21" x14ac:dyDescent="0.3">
      <c r="C97" s="21"/>
      <c r="D97" s="21"/>
      <c r="E97" s="21"/>
      <c r="F97" s="21"/>
      <c r="G97" s="21"/>
      <c r="H97" s="21"/>
      <c r="J97" s="21"/>
      <c r="K97" s="21"/>
      <c r="L97" s="21"/>
    </row>
    <row r="98" spans="3:21" x14ac:dyDescent="0.3">
      <c r="C98" s="21"/>
      <c r="D98" s="21"/>
      <c r="E98" s="21"/>
      <c r="F98" s="21"/>
      <c r="G98" s="21"/>
      <c r="H98" s="21"/>
      <c r="J98" s="21"/>
      <c r="K98" s="21"/>
      <c r="L98" s="21"/>
    </row>
    <row r="99" spans="3:21" x14ac:dyDescent="0.3">
      <c r="C99" s="21"/>
      <c r="D99" s="21"/>
      <c r="E99" s="21"/>
      <c r="F99" s="21"/>
      <c r="G99" s="21"/>
      <c r="H99" s="21"/>
      <c r="J99" s="21"/>
      <c r="K99" s="21"/>
      <c r="L99" s="21"/>
    </row>
    <row r="100" spans="3:21" x14ac:dyDescent="0.3">
      <c r="C100" s="21"/>
      <c r="D100" s="21"/>
      <c r="E100" s="21"/>
      <c r="F100" s="21"/>
      <c r="G100" s="21"/>
      <c r="H100" s="21"/>
      <c r="J100" s="21"/>
      <c r="K100" s="21"/>
      <c r="L100" s="21"/>
    </row>
    <row r="102" spans="3:21" x14ac:dyDescent="0.3">
      <c r="S102" s="7"/>
      <c r="T102" s="7"/>
      <c r="U102" s="7"/>
    </row>
    <row r="103" spans="3:21" x14ac:dyDescent="0.3">
      <c r="S103" s="7"/>
      <c r="T103" s="7"/>
      <c r="U103" s="7"/>
    </row>
    <row r="104" spans="3:21" x14ac:dyDescent="0.3">
      <c r="S104" s="7"/>
      <c r="T104" s="7"/>
      <c r="U104" s="7"/>
    </row>
    <row r="105" spans="3:21" x14ac:dyDescent="0.3">
      <c r="S105" s="7"/>
      <c r="T105" s="7"/>
      <c r="U105" s="7"/>
    </row>
    <row r="106" spans="3:21" x14ac:dyDescent="0.3">
      <c r="S106" s="7"/>
      <c r="T106" s="7"/>
      <c r="U106" s="7"/>
    </row>
    <row r="107" spans="3:21" x14ac:dyDescent="0.3">
      <c r="S107" s="7"/>
      <c r="T107" s="7"/>
      <c r="U107" s="7"/>
    </row>
    <row r="108" spans="3:21" x14ac:dyDescent="0.3">
      <c r="S108" s="7"/>
      <c r="T108" s="7"/>
      <c r="U108" s="7"/>
    </row>
    <row r="109" spans="3:21" x14ac:dyDescent="0.3">
      <c r="S109" s="7"/>
      <c r="T109" s="7"/>
      <c r="U109" s="7"/>
    </row>
    <row r="110" spans="3:21" x14ac:dyDescent="0.3">
      <c r="S110" s="7"/>
      <c r="T110" s="7"/>
      <c r="U110" s="7"/>
    </row>
    <row r="111" spans="3:21" x14ac:dyDescent="0.3">
      <c r="J111" s="19"/>
      <c r="K111" s="19"/>
      <c r="L111" s="19"/>
      <c r="S111" s="7"/>
      <c r="T111" s="7"/>
      <c r="U111" s="7"/>
    </row>
    <row r="112" spans="3:21" x14ac:dyDescent="0.3">
      <c r="J112" s="19"/>
      <c r="K112" s="19"/>
      <c r="L112" s="19"/>
      <c r="S112" s="7"/>
      <c r="T112" s="7"/>
      <c r="U112" s="7"/>
    </row>
    <row r="113" spans="10:21" x14ac:dyDescent="0.3">
      <c r="J113" s="19"/>
      <c r="K113" s="19"/>
      <c r="L113" s="19"/>
      <c r="S113" s="7"/>
      <c r="T113" s="7"/>
      <c r="U113" s="7"/>
    </row>
    <row r="114" spans="10:21" x14ac:dyDescent="0.3">
      <c r="S114" s="7"/>
      <c r="T114" s="7"/>
      <c r="U114" s="7"/>
    </row>
    <row r="115" spans="10:21" x14ac:dyDescent="0.3">
      <c r="S115" s="7"/>
      <c r="T115" s="7"/>
      <c r="U115" s="7"/>
    </row>
    <row r="116" spans="10:21" x14ac:dyDescent="0.3">
      <c r="S116" s="7"/>
      <c r="T116" s="7"/>
      <c r="U116" s="7"/>
    </row>
    <row r="117" spans="10:21" x14ac:dyDescent="0.3">
      <c r="S117" s="7"/>
      <c r="T117" s="7"/>
      <c r="U117" s="7"/>
    </row>
    <row r="118" spans="10:21" x14ac:dyDescent="0.3">
      <c r="S118" s="7"/>
      <c r="T118" s="7"/>
      <c r="U118" s="7"/>
    </row>
    <row r="119" spans="10:21" x14ac:dyDescent="0.3">
      <c r="S119" s="7"/>
      <c r="T119" s="7"/>
      <c r="U119" s="7"/>
    </row>
    <row r="120" spans="10:21" x14ac:dyDescent="0.3">
      <c r="S120" s="7"/>
      <c r="T120" s="7"/>
      <c r="U120" s="7"/>
    </row>
    <row r="121" spans="10:21" x14ac:dyDescent="0.3">
      <c r="S121" s="7"/>
      <c r="T121" s="7"/>
      <c r="U121" s="7"/>
    </row>
    <row r="122" spans="10:21" x14ac:dyDescent="0.3">
      <c r="S122" s="7"/>
      <c r="T122" s="7"/>
      <c r="U122" s="7"/>
    </row>
    <row r="123" spans="10:21" x14ac:dyDescent="0.3">
      <c r="S123" s="7"/>
      <c r="T123" s="7"/>
      <c r="U123" s="7"/>
    </row>
    <row r="124" spans="10:21" x14ac:dyDescent="0.3">
      <c r="S124" s="7"/>
      <c r="T124" s="7"/>
      <c r="U124" s="7"/>
    </row>
    <row r="125" spans="10:21" x14ac:dyDescent="0.3">
      <c r="S125" s="7"/>
      <c r="T125" s="7"/>
      <c r="U125" s="7"/>
    </row>
    <row r="126" spans="10:21" x14ac:dyDescent="0.3">
      <c r="S126" s="21"/>
      <c r="T126" s="21"/>
      <c r="U126" s="21"/>
    </row>
    <row r="127" spans="10:21" x14ac:dyDescent="0.3">
      <c r="S127" s="21"/>
      <c r="T127" s="21"/>
      <c r="U127" s="21"/>
    </row>
    <row r="128" spans="10:21" x14ac:dyDescent="0.3">
      <c r="S128" s="21"/>
      <c r="T128" s="21"/>
      <c r="U128" s="21"/>
    </row>
    <row r="129" spans="19:21" x14ac:dyDescent="0.3">
      <c r="S129" s="21"/>
      <c r="T129" s="21"/>
      <c r="U129" s="21"/>
    </row>
    <row r="130" spans="19:21" x14ac:dyDescent="0.3">
      <c r="S130" s="21"/>
      <c r="T130" s="21"/>
      <c r="U130" s="21"/>
    </row>
    <row r="131" spans="19:21" x14ac:dyDescent="0.3">
      <c r="S131" s="21"/>
      <c r="T131" s="21"/>
      <c r="U131" s="21"/>
    </row>
  </sheetData>
  <sortState xmlns:xlrd2="http://schemas.microsoft.com/office/spreadsheetml/2017/richdata2" ref="C70:U75">
    <sortCondition ref="C70:C75"/>
  </sortState>
  <pageMargins left="0.7" right="0.7" top="0.75" bottom="0.75" header="0.3" footer="0.3"/>
  <pageSetup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2:Z82"/>
  <sheetViews>
    <sheetView zoomScale="85" zoomScaleNormal="85" workbookViewId="0">
      <selection activeCell="A5" sqref="A5:XFD5"/>
    </sheetView>
  </sheetViews>
  <sheetFormatPr defaultRowHeight="14.4" x14ac:dyDescent="0.3"/>
  <sheetData>
    <row r="2" spans="1:26"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c r="U2" t="s">
        <v>390</v>
      </c>
    </row>
    <row r="3" spans="1:26" x14ac:dyDescent="0.3">
      <c r="A3" s="5" t="s">
        <v>18</v>
      </c>
      <c r="B3">
        <v>0</v>
      </c>
      <c r="C3" t="s">
        <v>18</v>
      </c>
      <c r="D3" t="s">
        <v>20</v>
      </c>
      <c r="E3" t="s">
        <v>402</v>
      </c>
      <c r="F3">
        <v>1843366.02</v>
      </c>
      <c r="G3">
        <v>5597654.9900000002</v>
      </c>
      <c r="H3">
        <f t="shared" ref="H3:H32" si="0">U3-0.2306</f>
        <v>378.29240000000004</v>
      </c>
      <c r="I3">
        <v>-0.69352899999999995</v>
      </c>
      <c r="J3">
        <v>3.0689860000000002</v>
      </c>
      <c r="K3">
        <v>396.41379899999998</v>
      </c>
      <c r="L3">
        <v>-39.736280999999998</v>
      </c>
      <c r="M3">
        <v>175.83995400000001</v>
      </c>
      <c r="N3">
        <v>396.413858</v>
      </c>
      <c r="O3">
        <v>1.0314E-2</v>
      </c>
      <c r="P3">
        <v>1.2758E-2</v>
      </c>
      <c r="Q3" s="1">
        <v>42562</v>
      </c>
      <c r="R3" s="2">
        <v>0.66016203703703702</v>
      </c>
      <c r="U3">
        <v>378.52300000000002</v>
      </c>
      <c r="Y3" s="21"/>
      <c r="Z3" s="21"/>
    </row>
    <row r="4" spans="1:26" x14ac:dyDescent="0.3">
      <c r="A4" s="5" t="s">
        <v>23</v>
      </c>
      <c r="B4">
        <v>1</v>
      </c>
      <c r="C4" t="s">
        <v>87</v>
      </c>
      <c r="D4" t="s">
        <v>20</v>
      </c>
      <c r="E4" t="s">
        <v>23</v>
      </c>
      <c r="F4">
        <v>1844287.3049679999</v>
      </c>
      <c r="G4">
        <v>5596665.6741739996</v>
      </c>
      <c r="H4">
        <f t="shared" si="0"/>
        <v>432.58048200000002</v>
      </c>
      <c r="I4">
        <v>-0.69367999999999996</v>
      </c>
      <c r="J4">
        <v>3.0691799999999998</v>
      </c>
      <c r="K4">
        <v>450.63722000000001</v>
      </c>
      <c r="L4">
        <v>-39.744920999999998</v>
      </c>
      <c r="M4">
        <v>175.85105999999999</v>
      </c>
      <c r="N4">
        <v>450.63727899999998</v>
      </c>
      <c r="O4">
        <v>2.0275000000000001E-2</v>
      </c>
      <c r="P4">
        <v>1.9961E-2</v>
      </c>
      <c r="Q4" s="1">
        <v>42562</v>
      </c>
      <c r="R4" s="2">
        <v>0.39245370370370369</v>
      </c>
      <c r="U4">
        <v>432.811082</v>
      </c>
      <c r="V4" s="21"/>
      <c r="X4" s="21"/>
      <c r="Y4" s="21"/>
      <c r="Z4" s="21"/>
    </row>
    <row r="5" spans="1:26" s="21" customFormat="1" x14ac:dyDescent="0.3">
      <c r="A5" s="5" t="s">
        <v>551</v>
      </c>
      <c r="Q5" s="1"/>
      <c r="R5" s="2"/>
    </row>
    <row r="6" spans="1:26" x14ac:dyDescent="0.3">
      <c r="A6" s="5">
        <v>1</v>
      </c>
      <c r="B6">
        <v>33</v>
      </c>
      <c r="C6">
        <v>1</v>
      </c>
      <c r="D6" t="s">
        <v>20</v>
      </c>
      <c r="E6" t="s">
        <v>33</v>
      </c>
      <c r="F6">
        <v>1844611.3624829999</v>
      </c>
      <c r="G6">
        <v>5596719.8084549997</v>
      </c>
      <c r="H6">
        <f t="shared" si="0"/>
        <v>439.00195100000002</v>
      </c>
      <c r="I6">
        <v>-0.69367000000000001</v>
      </c>
      <c r="J6">
        <v>3.0692460000000001</v>
      </c>
      <c r="K6">
        <v>457.078419</v>
      </c>
      <c r="L6">
        <v>-39.744340000000001</v>
      </c>
      <c r="M6">
        <v>175.854817</v>
      </c>
      <c r="N6">
        <v>457.07847800000002</v>
      </c>
      <c r="O6">
        <v>1.8058999999999999E-2</v>
      </c>
      <c r="P6">
        <v>2.0913999999999999E-2</v>
      </c>
      <c r="Q6" s="1">
        <v>42562</v>
      </c>
      <c r="R6" s="2">
        <v>0.40540509259259255</v>
      </c>
      <c r="U6">
        <v>439.232551</v>
      </c>
      <c r="V6" s="21"/>
      <c r="X6" s="21"/>
      <c r="Y6" s="21"/>
      <c r="Z6" s="21"/>
    </row>
    <row r="7" spans="1:26" x14ac:dyDescent="0.3">
      <c r="A7" s="5">
        <v>2</v>
      </c>
      <c r="B7">
        <v>31</v>
      </c>
      <c r="C7">
        <v>2</v>
      </c>
      <c r="D7" t="s">
        <v>20</v>
      </c>
      <c r="E7" t="s">
        <v>33</v>
      </c>
      <c r="F7">
        <v>1844327.169948</v>
      </c>
      <c r="G7">
        <v>5596603.3180689998</v>
      </c>
      <c r="H7">
        <f t="shared" si="0"/>
        <v>430.46369500000003</v>
      </c>
      <c r="I7">
        <v>-0.693689</v>
      </c>
      <c r="J7">
        <v>3.069188</v>
      </c>
      <c r="K7">
        <v>448.51607100000001</v>
      </c>
      <c r="L7">
        <v>-39.745469999999997</v>
      </c>
      <c r="M7">
        <v>175.85154700000001</v>
      </c>
      <c r="N7">
        <v>448.51612999999998</v>
      </c>
      <c r="O7">
        <v>2.0275000000000001E-2</v>
      </c>
      <c r="P7">
        <v>1.9961E-2</v>
      </c>
      <c r="Q7" s="1">
        <v>42562</v>
      </c>
      <c r="R7" s="2">
        <v>0.39245370370370369</v>
      </c>
      <c r="U7">
        <v>430.69429500000001</v>
      </c>
      <c r="V7" s="21"/>
      <c r="X7" s="21"/>
      <c r="Y7" s="21"/>
      <c r="Z7" s="21"/>
    </row>
    <row r="8" spans="1:26" x14ac:dyDescent="0.3">
      <c r="A8" s="5">
        <v>3</v>
      </c>
      <c r="B8">
        <v>43</v>
      </c>
      <c r="C8">
        <v>3</v>
      </c>
      <c r="D8" t="s">
        <v>20</v>
      </c>
      <c r="E8" t="s">
        <v>33</v>
      </c>
      <c r="F8">
        <v>1844275.8293679999</v>
      </c>
      <c r="G8">
        <v>5596483.0424889997</v>
      </c>
      <c r="H8">
        <f t="shared" si="0"/>
        <v>434.68915900000002</v>
      </c>
      <c r="I8">
        <v>-0.69370799999999999</v>
      </c>
      <c r="J8">
        <v>3.0691790000000001</v>
      </c>
      <c r="K8">
        <v>452.72740199999998</v>
      </c>
      <c r="L8">
        <v>-39.746566999999999</v>
      </c>
      <c r="M8">
        <v>175.85099399999999</v>
      </c>
      <c r="N8">
        <v>452.72746100000001</v>
      </c>
      <c r="O8">
        <v>2.4246E-2</v>
      </c>
      <c r="P8">
        <v>3.2210000000000003E-2</v>
      </c>
      <c r="Q8" s="1">
        <v>42562</v>
      </c>
      <c r="R8" s="2">
        <v>0.46202546296296299</v>
      </c>
      <c r="U8">
        <v>434.919759</v>
      </c>
      <c r="V8" s="21"/>
      <c r="X8" s="21"/>
      <c r="Y8" s="21"/>
      <c r="Z8" s="21"/>
    </row>
    <row r="9" spans="1:26" x14ac:dyDescent="0.3">
      <c r="A9" s="5">
        <v>4</v>
      </c>
      <c r="B9">
        <v>41</v>
      </c>
      <c r="C9">
        <v>4</v>
      </c>
      <c r="D9" t="s">
        <v>20</v>
      </c>
      <c r="E9" t="s">
        <v>33</v>
      </c>
      <c r="F9">
        <v>1844444.4356219999</v>
      </c>
      <c r="G9">
        <v>5596429.1556970002</v>
      </c>
      <c r="H9">
        <f t="shared" si="0"/>
        <v>421.88215500000001</v>
      </c>
      <c r="I9">
        <v>-0.693716</v>
      </c>
      <c r="J9">
        <v>3.069213</v>
      </c>
      <c r="K9">
        <v>439.92264</v>
      </c>
      <c r="L9">
        <v>-39.747003999999997</v>
      </c>
      <c r="M9">
        <v>175.852979</v>
      </c>
      <c r="N9">
        <v>439.92269900000002</v>
      </c>
      <c r="O9">
        <v>1.8145999999999999E-2</v>
      </c>
      <c r="P9">
        <v>2.4126000000000002E-2</v>
      </c>
      <c r="Q9" s="1">
        <v>42562</v>
      </c>
      <c r="R9" s="2">
        <v>0.45425925925925931</v>
      </c>
      <c r="U9">
        <v>422.11275499999999</v>
      </c>
      <c r="V9" s="21"/>
      <c r="X9" s="21"/>
      <c r="Y9" s="21"/>
      <c r="Z9" s="21"/>
    </row>
    <row r="10" spans="1:26" x14ac:dyDescent="0.3">
      <c r="A10" s="5">
        <v>5</v>
      </c>
      <c r="B10">
        <v>38</v>
      </c>
      <c r="C10">
        <v>5</v>
      </c>
      <c r="D10" t="s">
        <v>20</v>
      </c>
      <c r="E10" t="s">
        <v>33</v>
      </c>
      <c r="F10">
        <v>1844577.6618989999</v>
      </c>
      <c r="G10">
        <v>5596364.8443470001</v>
      </c>
      <c r="H10">
        <f t="shared" si="0"/>
        <v>414.657175</v>
      </c>
      <c r="I10">
        <v>-0.69372599999999995</v>
      </c>
      <c r="J10">
        <v>3.0692409999999999</v>
      </c>
      <c r="K10">
        <v>432.69731300000001</v>
      </c>
      <c r="L10">
        <v>-39.747543999999998</v>
      </c>
      <c r="M10">
        <v>175.854556</v>
      </c>
      <c r="N10">
        <v>432.69737199999997</v>
      </c>
      <c r="O10">
        <v>1.8259999999999998E-2</v>
      </c>
      <c r="P10">
        <v>2.4965999999999999E-2</v>
      </c>
      <c r="Q10" s="1">
        <v>42562</v>
      </c>
      <c r="R10" s="2">
        <v>0.44295138888888891</v>
      </c>
      <c r="U10">
        <v>414.88777499999998</v>
      </c>
      <c r="V10" s="21"/>
      <c r="X10" s="21"/>
      <c r="Y10" s="21"/>
      <c r="Z10" s="21"/>
    </row>
    <row r="11" spans="1:26" x14ac:dyDescent="0.3">
      <c r="A11" s="5">
        <v>6</v>
      </c>
      <c r="B11">
        <v>35</v>
      </c>
      <c r="C11">
        <v>6</v>
      </c>
      <c r="D11" t="s">
        <v>20</v>
      </c>
      <c r="E11" t="s">
        <v>33</v>
      </c>
      <c r="F11">
        <v>1844789.251561</v>
      </c>
      <c r="G11">
        <v>5596420.1183430003</v>
      </c>
      <c r="H11">
        <f t="shared" si="0"/>
        <v>421.42636200000004</v>
      </c>
      <c r="I11">
        <v>-0.693716</v>
      </c>
      <c r="J11">
        <v>3.0692840000000001</v>
      </c>
      <c r="K11">
        <v>439.48139500000002</v>
      </c>
      <c r="L11">
        <v>-39.746986</v>
      </c>
      <c r="M11">
        <v>175.85700199999999</v>
      </c>
      <c r="N11">
        <v>439.48145399999999</v>
      </c>
      <c r="O11">
        <v>3.6240000000000001E-2</v>
      </c>
      <c r="P11">
        <v>3.6646999999999999E-2</v>
      </c>
      <c r="Q11" s="1">
        <v>42562</v>
      </c>
      <c r="R11" s="2">
        <v>0.41956018518518517</v>
      </c>
      <c r="U11">
        <v>421.65696200000002</v>
      </c>
      <c r="V11" s="21"/>
      <c r="X11" s="21"/>
      <c r="Y11" s="21"/>
      <c r="Z11" s="21"/>
    </row>
    <row r="12" spans="1:26" x14ac:dyDescent="0.3">
      <c r="A12" s="5">
        <v>7</v>
      </c>
      <c r="B12">
        <v>37</v>
      </c>
      <c r="C12">
        <v>7</v>
      </c>
      <c r="D12" t="s">
        <v>20</v>
      </c>
      <c r="E12" t="s">
        <v>33</v>
      </c>
      <c r="F12">
        <v>1844897.413124</v>
      </c>
      <c r="G12">
        <v>5596315.5958759999</v>
      </c>
      <c r="H12">
        <f t="shared" si="0"/>
        <v>399.096473</v>
      </c>
      <c r="I12">
        <v>-0.69373200000000002</v>
      </c>
      <c r="J12">
        <v>3.0693060000000001</v>
      </c>
      <c r="K12">
        <v>417.14612799999998</v>
      </c>
      <c r="L12">
        <v>-39.747895999999997</v>
      </c>
      <c r="M12">
        <v>175.85830200000001</v>
      </c>
      <c r="N12">
        <v>417.146187</v>
      </c>
      <c r="O12">
        <v>1.8641999999999999E-2</v>
      </c>
      <c r="P12">
        <v>2.1318E-2</v>
      </c>
      <c r="Q12" s="1">
        <v>42562</v>
      </c>
      <c r="R12" s="2">
        <v>0.43156250000000002</v>
      </c>
      <c r="U12">
        <v>399.32707299999998</v>
      </c>
      <c r="V12" s="21"/>
      <c r="X12" s="21"/>
      <c r="Y12" s="21"/>
      <c r="Z12" s="21"/>
    </row>
    <row r="13" spans="1:26" x14ac:dyDescent="0.3">
      <c r="A13" s="5">
        <v>8</v>
      </c>
      <c r="B13">
        <v>48</v>
      </c>
      <c r="C13">
        <v>8</v>
      </c>
      <c r="D13" t="s">
        <v>20</v>
      </c>
      <c r="E13" t="s">
        <v>33</v>
      </c>
      <c r="F13">
        <v>1844684.930802</v>
      </c>
      <c r="G13">
        <v>5596191.9758059997</v>
      </c>
      <c r="H13">
        <f t="shared" si="0"/>
        <v>403.01835600000004</v>
      </c>
      <c r="I13">
        <v>-0.69375200000000004</v>
      </c>
      <c r="J13">
        <v>3.069264</v>
      </c>
      <c r="K13">
        <v>421.04636299999999</v>
      </c>
      <c r="L13">
        <v>-39.749068999999999</v>
      </c>
      <c r="M13">
        <v>175.85587100000001</v>
      </c>
      <c r="N13">
        <v>421.046423</v>
      </c>
      <c r="O13">
        <v>1.8644999999999998E-2</v>
      </c>
      <c r="P13">
        <v>2.2450999999999999E-2</v>
      </c>
      <c r="Q13" s="1">
        <v>42562</v>
      </c>
      <c r="R13" s="2">
        <v>0.49552083333333335</v>
      </c>
      <c r="U13">
        <v>403.24895600000002</v>
      </c>
      <c r="V13" s="21"/>
      <c r="X13" s="21"/>
      <c r="Y13" s="21"/>
      <c r="Z13" s="21"/>
    </row>
    <row r="14" spans="1:26" x14ac:dyDescent="0.3">
      <c r="A14" s="5">
        <v>9</v>
      </c>
      <c r="B14">
        <v>47</v>
      </c>
      <c r="C14">
        <v>9</v>
      </c>
      <c r="D14" t="s">
        <v>20</v>
      </c>
      <c r="E14" t="s">
        <v>33</v>
      </c>
      <c r="F14">
        <v>1844488.574854</v>
      </c>
      <c r="G14">
        <v>5596190.5410869997</v>
      </c>
      <c r="H14">
        <f t="shared" si="0"/>
        <v>401.11084400000004</v>
      </c>
      <c r="I14">
        <v>-0.69375299999999995</v>
      </c>
      <c r="J14">
        <v>3.0692240000000002</v>
      </c>
      <c r="K14">
        <v>419.12986899999999</v>
      </c>
      <c r="L14">
        <v>-39.749139</v>
      </c>
      <c r="M14">
        <v>175.85358199999999</v>
      </c>
      <c r="N14">
        <v>419.12992800000001</v>
      </c>
      <c r="O14">
        <v>1.5624000000000001E-2</v>
      </c>
      <c r="P14">
        <v>1.8866999999999998E-2</v>
      </c>
      <c r="Q14" s="1">
        <v>42562</v>
      </c>
      <c r="R14" s="2">
        <v>0.48989583333333336</v>
      </c>
      <c r="U14">
        <v>401.34144400000002</v>
      </c>
      <c r="V14" s="21"/>
      <c r="X14" s="21"/>
      <c r="Y14" s="21"/>
      <c r="Z14" s="21"/>
    </row>
    <row r="15" spans="1:26" x14ac:dyDescent="0.3">
      <c r="A15" s="5">
        <v>10</v>
      </c>
      <c r="B15">
        <v>46</v>
      </c>
      <c r="C15">
        <v>10</v>
      </c>
      <c r="D15" t="s">
        <v>20</v>
      </c>
      <c r="E15" t="s">
        <v>33</v>
      </c>
      <c r="F15">
        <v>1844340.3011789999</v>
      </c>
      <c r="G15">
        <v>5596229.330724</v>
      </c>
      <c r="H15">
        <f t="shared" si="0"/>
        <v>405.88054700000004</v>
      </c>
      <c r="I15">
        <v>-0.69374800000000003</v>
      </c>
      <c r="J15">
        <v>3.069194</v>
      </c>
      <c r="K15">
        <v>423.89670999999998</v>
      </c>
      <c r="L15">
        <v>-39.748832</v>
      </c>
      <c r="M15">
        <v>175.85183900000001</v>
      </c>
      <c r="N15">
        <v>423.89677</v>
      </c>
      <c r="O15">
        <v>1.7912999999999998E-2</v>
      </c>
      <c r="P15">
        <v>2.1987E-2</v>
      </c>
      <c r="Q15" s="1">
        <v>42562</v>
      </c>
      <c r="R15" s="2">
        <v>0.48223379629629631</v>
      </c>
      <c r="U15">
        <v>406.11114700000002</v>
      </c>
      <c r="V15" s="21"/>
      <c r="X15" s="21"/>
      <c r="Y15" s="21"/>
      <c r="Z15" s="21"/>
    </row>
    <row r="16" spans="1:26" x14ac:dyDescent="0.3">
      <c r="A16" s="5">
        <v>11</v>
      </c>
      <c r="B16">
        <v>17</v>
      </c>
      <c r="C16" t="s">
        <v>417</v>
      </c>
      <c r="D16" t="s">
        <v>20</v>
      </c>
      <c r="E16" t="s">
        <v>33</v>
      </c>
      <c r="F16">
        <v>1844394.7161429999</v>
      </c>
      <c r="G16">
        <v>5596018.9615599997</v>
      </c>
      <c r="H16">
        <f t="shared" si="0"/>
        <v>390.34157600000003</v>
      </c>
      <c r="I16">
        <v>-0.69378099999999998</v>
      </c>
      <c r="J16">
        <v>3.0692059999999999</v>
      </c>
      <c r="K16">
        <v>408.33978200000001</v>
      </c>
      <c r="L16">
        <v>-39.750709999999998</v>
      </c>
      <c r="M16">
        <v>175.852552</v>
      </c>
      <c r="N16">
        <v>408.33984099999998</v>
      </c>
      <c r="O16">
        <v>2.5075E-2</v>
      </c>
      <c r="P16">
        <v>2.2945E-2</v>
      </c>
      <c r="Q16" s="1">
        <v>42562</v>
      </c>
      <c r="R16" s="2">
        <v>0.52016203703703701</v>
      </c>
      <c r="U16">
        <v>390.57217600000001</v>
      </c>
      <c r="V16" s="21"/>
      <c r="X16" s="21"/>
      <c r="Y16" s="21"/>
      <c r="Z16" s="21"/>
    </row>
    <row r="17" spans="1:26" x14ac:dyDescent="0.3">
      <c r="A17" s="5">
        <v>12</v>
      </c>
      <c r="B17">
        <v>51</v>
      </c>
      <c r="C17">
        <v>12</v>
      </c>
      <c r="D17" t="s">
        <v>20</v>
      </c>
      <c r="E17" t="s">
        <v>33</v>
      </c>
      <c r="F17">
        <v>1844569.966061</v>
      </c>
      <c r="G17">
        <v>5596018.8436409999</v>
      </c>
      <c r="H17">
        <f t="shared" si="0"/>
        <v>398.454993</v>
      </c>
      <c r="I17">
        <v>-0.69377999999999995</v>
      </c>
      <c r="J17">
        <v>3.069242</v>
      </c>
      <c r="K17">
        <v>416.46110900000002</v>
      </c>
      <c r="L17">
        <v>-39.750660000000003</v>
      </c>
      <c r="M17">
        <v>175.85459499999999</v>
      </c>
      <c r="N17">
        <v>416.46116799999999</v>
      </c>
      <c r="O17">
        <v>2.5378999999999999E-2</v>
      </c>
      <c r="P17">
        <v>2.8317999999999999E-2</v>
      </c>
      <c r="Q17" s="1">
        <v>42562</v>
      </c>
      <c r="R17" s="2">
        <v>0.51766203703703706</v>
      </c>
      <c r="U17">
        <v>398.68559299999998</v>
      </c>
      <c r="V17" s="21"/>
      <c r="X17" s="21"/>
      <c r="Y17" s="21"/>
      <c r="Z17" s="21"/>
    </row>
    <row r="18" spans="1:26" x14ac:dyDescent="0.3">
      <c r="A18" s="5">
        <v>13</v>
      </c>
      <c r="B18">
        <v>10</v>
      </c>
      <c r="C18" t="s">
        <v>411</v>
      </c>
      <c r="D18" t="s">
        <v>20</v>
      </c>
      <c r="E18" t="s">
        <v>33</v>
      </c>
      <c r="F18">
        <v>1844676.1127530001</v>
      </c>
      <c r="G18">
        <v>5595953.6840329999</v>
      </c>
      <c r="H18">
        <f t="shared" si="0"/>
        <v>392.293429</v>
      </c>
      <c r="I18">
        <v>-0.69379000000000002</v>
      </c>
      <c r="J18">
        <v>3.069264</v>
      </c>
      <c r="K18">
        <v>410.298205</v>
      </c>
      <c r="L18">
        <v>-39.751215999999999</v>
      </c>
      <c r="M18">
        <v>175.85585699999999</v>
      </c>
      <c r="N18">
        <v>410.29826400000002</v>
      </c>
      <c r="O18">
        <v>1.5585999999999999E-2</v>
      </c>
      <c r="P18">
        <v>1.9525000000000001E-2</v>
      </c>
      <c r="Q18" s="1">
        <v>42562</v>
      </c>
      <c r="R18" s="2">
        <v>0.44538194444444446</v>
      </c>
      <c r="U18">
        <v>392.52402899999998</v>
      </c>
      <c r="V18" s="21"/>
      <c r="X18" s="21"/>
      <c r="Y18" s="21"/>
      <c r="Z18" s="21"/>
    </row>
    <row r="19" spans="1:26" x14ac:dyDescent="0.3">
      <c r="A19" s="5">
        <v>14</v>
      </c>
      <c r="B19">
        <v>6</v>
      </c>
      <c r="C19" t="s">
        <v>407</v>
      </c>
      <c r="D19" t="s">
        <v>20</v>
      </c>
      <c r="E19" t="s">
        <v>33</v>
      </c>
      <c r="F19">
        <v>1844385.159211</v>
      </c>
      <c r="G19">
        <v>5595882.5322160004</v>
      </c>
      <c r="H19">
        <f t="shared" si="0"/>
        <v>383.520534</v>
      </c>
      <c r="I19">
        <v>-0.69380200000000003</v>
      </c>
      <c r="J19">
        <v>3.0692050000000002</v>
      </c>
      <c r="K19">
        <v>401.50537100000003</v>
      </c>
      <c r="L19">
        <v>-39.751939999999998</v>
      </c>
      <c r="M19">
        <v>175.85249099999999</v>
      </c>
      <c r="N19">
        <v>401.50543099999999</v>
      </c>
      <c r="O19">
        <v>4.1277000000000001E-2</v>
      </c>
      <c r="P19">
        <v>3.9567999999999999E-2</v>
      </c>
      <c r="Q19" s="1">
        <v>42562</v>
      </c>
      <c r="R19" s="2">
        <v>0.4176273148148148</v>
      </c>
      <c r="U19">
        <v>383.75113399999998</v>
      </c>
      <c r="V19" s="21"/>
      <c r="X19" s="21"/>
      <c r="Y19" s="21"/>
      <c r="Z19" s="21"/>
    </row>
    <row r="20" spans="1:26" x14ac:dyDescent="0.3">
      <c r="A20" s="5">
        <v>15</v>
      </c>
      <c r="B20">
        <v>3</v>
      </c>
      <c r="C20" s="21" t="s">
        <v>404</v>
      </c>
      <c r="D20" t="s">
        <v>20</v>
      </c>
      <c r="E20" t="s">
        <v>33</v>
      </c>
      <c r="F20">
        <v>1844189.924113</v>
      </c>
      <c r="G20">
        <v>5596021.6835430004</v>
      </c>
      <c r="H20">
        <f t="shared" si="0"/>
        <v>396.00210400000003</v>
      </c>
      <c r="I20">
        <v>-0.69378099999999998</v>
      </c>
      <c r="J20">
        <v>3.0691639999999998</v>
      </c>
      <c r="K20">
        <v>413.991308</v>
      </c>
      <c r="L20">
        <v>-39.750743999999997</v>
      </c>
      <c r="M20">
        <v>175.85016300000001</v>
      </c>
      <c r="N20">
        <v>413.99136700000003</v>
      </c>
      <c r="O20">
        <v>1.264E-2</v>
      </c>
      <c r="P20">
        <v>1.3152E-2</v>
      </c>
      <c r="Q20" s="1">
        <v>42562</v>
      </c>
      <c r="R20" s="2">
        <v>0.40189814814814812</v>
      </c>
      <c r="U20">
        <v>396.23270400000001</v>
      </c>
      <c r="V20" s="21"/>
      <c r="X20" s="21"/>
      <c r="Y20" s="21"/>
      <c r="Z20" s="21"/>
    </row>
    <row r="21" spans="1:26" x14ac:dyDescent="0.3">
      <c r="A21" s="5">
        <v>16</v>
      </c>
      <c r="B21">
        <v>5</v>
      </c>
      <c r="C21" t="s">
        <v>406</v>
      </c>
      <c r="D21" t="s">
        <v>20</v>
      </c>
      <c r="E21" t="s">
        <v>33</v>
      </c>
      <c r="F21">
        <v>1844346.785323</v>
      </c>
      <c r="G21">
        <v>5595795.2373139998</v>
      </c>
      <c r="H21">
        <f t="shared" si="0"/>
        <v>355.97377800000004</v>
      </c>
      <c r="I21">
        <v>-0.69381599999999999</v>
      </c>
      <c r="J21">
        <v>3.0691980000000001</v>
      </c>
      <c r="K21">
        <v>373.94858499999998</v>
      </c>
      <c r="L21">
        <v>-39.752737000000003</v>
      </c>
      <c r="M21">
        <v>175.85207600000001</v>
      </c>
      <c r="N21">
        <v>373.948644</v>
      </c>
      <c r="O21">
        <v>1.5990000000000001E-2</v>
      </c>
      <c r="P21">
        <v>1.5146E-2</v>
      </c>
      <c r="Q21" s="1">
        <v>42562</v>
      </c>
      <c r="R21" s="2">
        <v>0.41390046296296296</v>
      </c>
      <c r="U21">
        <v>356.20437800000002</v>
      </c>
      <c r="V21" s="21"/>
      <c r="X21" s="21"/>
      <c r="Y21" s="21"/>
      <c r="Z21" s="21"/>
    </row>
    <row r="22" spans="1:26" x14ac:dyDescent="0.3">
      <c r="A22" s="5">
        <v>17</v>
      </c>
      <c r="B22">
        <v>8</v>
      </c>
      <c r="C22" t="s">
        <v>409</v>
      </c>
      <c r="D22" t="s">
        <v>20</v>
      </c>
      <c r="E22" t="s">
        <v>33</v>
      </c>
      <c r="F22">
        <v>1844523.3858310001</v>
      </c>
      <c r="G22">
        <v>5595823.6446810002</v>
      </c>
      <c r="H22">
        <f t="shared" si="0"/>
        <v>369.08439000000004</v>
      </c>
      <c r="I22">
        <v>-0.69381099999999996</v>
      </c>
      <c r="J22">
        <v>3.0692330000000001</v>
      </c>
      <c r="K22">
        <v>387.069954</v>
      </c>
      <c r="L22">
        <v>-39.752429999999997</v>
      </c>
      <c r="M22">
        <v>175.85412500000001</v>
      </c>
      <c r="N22">
        <v>387.07001300000002</v>
      </c>
      <c r="O22">
        <v>1.7964999999999998E-2</v>
      </c>
      <c r="P22">
        <v>1.9043000000000001E-2</v>
      </c>
      <c r="Q22" s="1">
        <v>42562</v>
      </c>
      <c r="R22" s="2">
        <v>0.43391203703703707</v>
      </c>
      <c r="U22">
        <v>369.31499000000002</v>
      </c>
      <c r="V22" s="21"/>
      <c r="X22" s="21"/>
      <c r="Y22" s="21"/>
      <c r="Z22" s="21"/>
    </row>
    <row r="23" spans="1:26" x14ac:dyDescent="0.3">
      <c r="A23" s="5">
        <v>18</v>
      </c>
      <c r="B23">
        <v>11</v>
      </c>
      <c r="C23" t="s">
        <v>412</v>
      </c>
      <c r="D23" t="s">
        <v>20</v>
      </c>
      <c r="E23" t="s">
        <v>33</v>
      </c>
      <c r="F23">
        <v>1844708.006604</v>
      </c>
      <c r="G23">
        <v>5595726.5796729997</v>
      </c>
      <c r="H23">
        <f t="shared" si="0"/>
        <v>376.07541600000002</v>
      </c>
      <c r="I23">
        <v>-0.69382500000000003</v>
      </c>
      <c r="J23">
        <v>3.0692719999999998</v>
      </c>
      <c r="K23">
        <v>394.06027399999999</v>
      </c>
      <c r="L23">
        <v>-39.753250999999999</v>
      </c>
      <c r="M23">
        <v>175.856313</v>
      </c>
      <c r="N23">
        <v>394.06033300000001</v>
      </c>
      <c r="O23">
        <v>1.5862000000000001E-2</v>
      </c>
      <c r="P23">
        <v>2.1479000000000002E-2</v>
      </c>
      <c r="Q23" s="1">
        <v>42562</v>
      </c>
      <c r="R23" s="2">
        <v>0.45020833333333332</v>
      </c>
      <c r="U23">
        <v>376.306016</v>
      </c>
      <c r="V23" s="21"/>
      <c r="X23" s="21"/>
      <c r="Y23" s="21"/>
      <c r="Z23" s="21"/>
    </row>
    <row r="24" spans="1:26" x14ac:dyDescent="0.3">
      <c r="A24" s="5">
        <v>19</v>
      </c>
      <c r="B24">
        <v>12</v>
      </c>
      <c r="C24" t="s">
        <v>413</v>
      </c>
      <c r="D24" t="s">
        <v>20</v>
      </c>
      <c r="E24" t="s">
        <v>33</v>
      </c>
      <c r="F24">
        <v>1844646.0412860001</v>
      </c>
      <c r="G24">
        <v>5595689.2304459997</v>
      </c>
      <c r="H24">
        <f t="shared" si="0"/>
        <v>360.20738600000004</v>
      </c>
      <c r="I24">
        <v>-0.69383099999999998</v>
      </c>
      <c r="J24">
        <v>3.0692590000000002</v>
      </c>
      <c r="K24">
        <v>378.18588499999998</v>
      </c>
      <c r="L24">
        <v>-39.753605</v>
      </c>
      <c r="M24">
        <v>175.855605</v>
      </c>
      <c r="N24">
        <v>378.18594400000001</v>
      </c>
      <c r="O24">
        <v>1.2418999999999999E-2</v>
      </c>
      <c r="P24">
        <v>1.6725E-2</v>
      </c>
      <c r="Q24" s="1">
        <v>42562</v>
      </c>
      <c r="R24" s="2">
        <v>0.45281250000000001</v>
      </c>
      <c r="U24">
        <v>360.43798600000002</v>
      </c>
      <c r="V24" s="21"/>
      <c r="X24" s="21"/>
      <c r="Y24" s="21"/>
      <c r="Z24" s="21"/>
    </row>
    <row r="25" spans="1:26" x14ac:dyDescent="0.3">
      <c r="A25" s="5">
        <v>20</v>
      </c>
      <c r="B25">
        <v>16</v>
      </c>
      <c r="C25" t="s">
        <v>416</v>
      </c>
      <c r="D25" t="s">
        <v>20</v>
      </c>
      <c r="E25" t="s">
        <v>33</v>
      </c>
      <c r="F25">
        <v>1844629.2429160001</v>
      </c>
      <c r="G25">
        <v>5595617.3810170004</v>
      </c>
      <c r="H25">
        <f t="shared" si="0"/>
        <v>334.446415</v>
      </c>
      <c r="I25">
        <v>-0.69384299999999999</v>
      </c>
      <c r="J25">
        <v>3.0692560000000002</v>
      </c>
      <c r="K25">
        <v>352.417372</v>
      </c>
      <c r="L25">
        <v>-39.754255999999998</v>
      </c>
      <c r="M25">
        <v>175.855435</v>
      </c>
      <c r="N25">
        <v>352.41743200000002</v>
      </c>
      <c r="O25">
        <v>2.6313E-2</v>
      </c>
      <c r="P25">
        <v>2.7046000000000001E-2</v>
      </c>
      <c r="Q25" s="1">
        <v>42562</v>
      </c>
      <c r="R25" s="2">
        <v>0.51101851851851854</v>
      </c>
      <c r="U25">
        <v>334.67701499999998</v>
      </c>
      <c r="V25" s="21"/>
      <c r="X25" s="21"/>
      <c r="Y25" s="21"/>
      <c r="Z25" s="21"/>
    </row>
    <row r="26" spans="1:26" x14ac:dyDescent="0.3">
      <c r="A26" s="5">
        <v>21</v>
      </c>
      <c r="B26">
        <v>24</v>
      </c>
      <c r="C26" t="s">
        <v>421</v>
      </c>
      <c r="D26" t="s">
        <v>20</v>
      </c>
      <c r="E26" t="s">
        <v>33</v>
      </c>
      <c r="F26">
        <v>1844482.4826710001</v>
      </c>
      <c r="G26">
        <v>5595563.1251229998</v>
      </c>
      <c r="H26">
        <f t="shared" si="0"/>
        <v>312.24936100000002</v>
      </c>
      <c r="I26">
        <v>-0.69385200000000002</v>
      </c>
      <c r="J26">
        <v>3.0692270000000001</v>
      </c>
      <c r="K26">
        <v>330.20842299999998</v>
      </c>
      <c r="L26">
        <v>-39.754786000000003</v>
      </c>
      <c r="M26">
        <v>175.853745</v>
      </c>
      <c r="N26">
        <v>330.208482</v>
      </c>
      <c r="O26">
        <v>2.0707E-2</v>
      </c>
      <c r="P26">
        <v>2.223E-2</v>
      </c>
      <c r="Q26" s="1">
        <v>42562</v>
      </c>
      <c r="R26" s="2">
        <v>0.55798611111111118</v>
      </c>
      <c r="U26">
        <v>312.479961</v>
      </c>
      <c r="V26" s="21"/>
      <c r="X26" s="21"/>
      <c r="Y26" s="21"/>
      <c r="Z26" s="21"/>
    </row>
    <row r="27" spans="1:26" x14ac:dyDescent="0.3">
      <c r="A27" s="5">
        <v>22</v>
      </c>
      <c r="B27">
        <v>25</v>
      </c>
      <c r="C27" t="s">
        <v>422</v>
      </c>
      <c r="D27" t="s">
        <v>20</v>
      </c>
      <c r="E27" t="s">
        <v>33</v>
      </c>
      <c r="F27">
        <v>1844433.821334</v>
      </c>
      <c r="G27">
        <v>5595461.6730829999</v>
      </c>
      <c r="H27">
        <f t="shared" si="0"/>
        <v>305.20927</v>
      </c>
      <c r="I27">
        <v>-0.69386800000000004</v>
      </c>
      <c r="J27">
        <v>3.0692179999999998</v>
      </c>
      <c r="K27">
        <v>323.15647899999999</v>
      </c>
      <c r="L27">
        <v>-39.755713</v>
      </c>
      <c r="M27">
        <v>175.85321500000001</v>
      </c>
      <c r="N27">
        <v>323.15653800000001</v>
      </c>
      <c r="O27">
        <v>3.1001000000000001E-2</v>
      </c>
      <c r="P27">
        <v>3.1685999999999999E-2</v>
      </c>
      <c r="Q27" s="1">
        <v>42562</v>
      </c>
      <c r="R27" s="2">
        <v>0.55987268518518518</v>
      </c>
      <c r="U27">
        <v>305.43986999999998</v>
      </c>
      <c r="V27" s="21"/>
      <c r="X27" s="21"/>
      <c r="Y27" s="21"/>
      <c r="Z27" s="21"/>
    </row>
    <row r="28" spans="1:26" x14ac:dyDescent="0.3">
      <c r="A28" s="5">
        <v>23</v>
      </c>
      <c r="B28">
        <v>29</v>
      </c>
      <c r="C28">
        <v>23</v>
      </c>
      <c r="D28" t="s">
        <v>20</v>
      </c>
      <c r="E28" t="s">
        <v>33</v>
      </c>
      <c r="F28">
        <v>1844378.799572</v>
      </c>
      <c r="G28">
        <v>5595386.2224310003</v>
      </c>
      <c r="H28">
        <f t="shared" si="0"/>
        <v>310.74969600000003</v>
      </c>
      <c r="I28">
        <v>-0.69388000000000005</v>
      </c>
      <c r="J28">
        <v>3.069207</v>
      </c>
      <c r="K28">
        <v>328.68719800000002</v>
      </c>
      <c r="L28">
        <v>-39.756408</v>
      </c>
      <c r="M28">
        <v>175.85260099999999</v>
      </c>
      <c r="N28">
        <v>328.68725699999999</v>
      </c>
      <c r="O28">
        <v>1.6605999999999999E-2</v>
      </c>
      <c r="P28">
        <v>1.8374999999999999E-2</v>
      </c>
      <c r="Q28" s="1">
        <v>42562</v>
      </c>
      <c r="R28" s="2">
        <v>0.57491898148148146</v>
      </c>
      <c r="U28">
        <v>310.98029600000001</v>
      </c>
      <c r="V28" s="21"/>
      <c r="X28" s="21"/>
      <c r="Y28" s="21"/>
      <c r="Z28" s="21"/>
    </row>
    <row r="29" spans="1:26" x14ac:dyDescent="0.3">
      <c r="A29" s="5">
        <v>24</v>
      </c>
      <c r="V29" s="21"/>
      <c r="X29" s="21"/>
      <c r="Y29" s="21"/>
      <c r="Z29" s="21"/>
    </row>
    <row r="30" spans="1:26" x14ac:dyDescent="0.3">
      <c r="A30" s="5">
        <v>25</v>
      </c>
      <c r="B30">
        <v>23</v>
      </c>
      <c r="C30" t="s">
        <v>420</v>
      </c>
      <c r="D30" t="s">
        <v>20</v>
      </c>
      <c r="E30" t="s">
        <v>33</v>
      </c>
      <c r="F30">
        <v>1844338.503602</v>
      </c>
      <c r="G30">
        <v>5595536.314483</v>
      </c>
      <c r="H30">
        <f t="shared" si="0"/>
        <v>316.96471500000001</v>
      </c>
      <c r="I30">
        <v>-0.69385699999999995</v>
      </c>
      <c r="J30">
        <v>3.0691980000000001</v>
      </c>
      <c r="K30">
        <v>334.91457400000002</v>
      </c>
      <c r="L30">
        <v>-39.755068999999999</v>
      </c>
      <c r="M30">
        <v>175.85207600000001</v>
      </c>
      <c r="N30">
        <v>334.91463399999998</v>
      </c>
      <c r="O30">
        <v>2.5059999999999999E-2</v>
      </c>
      <c r="P30">
        <v>2.4570000000000002E-2</v>
      </c>
      <c r="Q30" s="1">
        <v>42562</v>
      </c>
      <c r="R30" s="2">
        <v>0.55593749999999997</v>
      </c>
      <c r="U30">
        <v>317.19531499999999</v>
      </c>
      <c r="V30" s="21"/>
      <c r="X30" s="21"/>
      <c r="Y30" s="21"/>
      <c r="Z30" s="21"/>
    </row>
    <row r="31" spans="1:26" x14ac:dyDescent="0.3">
      <c r="A31" s="5">
        <v>26</v>
      </c>
      <c r="B31">
        <v>22</v>
      </c>
      <c r="C31" t="s">
        <v>419</v>
      </c>
      <c r="D31" t="s">
        <v>20</v>
      </c>
      <c r="E31" t="s">
        <v>33</v>
      </c>
      <c r="F31">
        <v>1844303.201345</v>
      </c>
      <c r="G31">
        <v>5595520.2150910003</v>
      </c>
      <c r="H31">
        <f t="shared" si="0"/>
        <v>314.50260300000002</v>
      </c>
      <c r="I31">
        <v>-0.69386000000000003</v>
      </c>
      <c r="J31">
        <v>3.069191</v>
      </c>
      <c r="K31">
        <v>332.449299</v>
      </c>
      <c r="L31">
        <v>-39.755223999999998</v>
      </c>
      <c r="M31">
        <v>175.85167000000001</v>
      </c>
      <c r="N31">
        <v>332.44935800000002</v>
      </c>
      <c r="O31">
        <v>2.7112000000000001E-2</v>
      </c>
      <c r="P31">
        <v>3.1725000000000003E-2</v>
      </c>
      <c r="Q31" s="1">
        <v>42562</v>
      </c>
      <c r="R31" s="2">
        <v>0.5533217592592593</v>
      </c>
      <c r="U31">
        <v>314.733203</v>
      </c>
      <c r="V31" s="21"/>
      <c r="X31" s="21"/>
      <c r="Y31" s="21"/>
      <c r="Z31" s="21"/>
    </row>
    <row r="32" spans="1:26" x14ac:dyDescent="0.3">
      <c r="A32" s="5">
        <v>27</v>
      </c>
      <c r="B32">
        <v>26</v>
      </c>
      <c r="C32" t="s">
        <v>423</v>
      </c>
      <c r="D32" t="s">
        <v>20</v>
      </c>
      <c r="E32" t="s">
        <v>33</v>
      </c>
      <c r="F32">
        <v>1844185.1554479999</v>
      </c>
      <c r="G32">
        <v>5595587.5704049999</v>
      </c>
      <c r="H32">
        <f t="shared" si="0"/>
        <v>355.92768900000004</v>
      </c>
      <c r="I32">
        <v>-0.69384999999999997</v>
      </c>
      <c r="J32">
        <v>3.0691660000000001</v>
      </c>
      <c r="K32">
        <v>373.87532599999997</v>
      </c>
      <c r="L32">
        <v>-39.754652</v>
      </c>
      <c r="M32">
        <v>175.850269</v>
      </c>
      <c r="N32">
        <v>373.87538499999999</v>
      </c>
      <c r="O32">
        <v>2.4497000000000001E-2</v>
      </c>
      <c r="P32">
        <v>2.5353000000000001E-2</v>
      </c>
      <c r="Q32" s="1">
        <v>42562</v>
      </c>
      <c r="R32" s="2">
        <v>0.56696759259259266</v>
      </c>
      <c r="U32">
        <v>356.15828900000002</v>
      </c>
      <c r="V32" s="21"/>
      <c r="X32" s="21"/>
      <c r="Y32" s="21"/>
      <c r="Z32" s="21"/>
    </row>
    <row r="33" spans="1:26" x14ac:dyDescent="0.3">
      <c r="A33" s="5">
        <v>28</v>
      </c>
      <c r="B33">
        <v>21</v>
      </c>
      <c r="C33" t="s">
        <v>418</v>
      </c>
      <c r="D33" t="s">
        <v>20</v>
      </c>
      <c r="E33" t="s">
        <v>33</v>
      </c>
      <c r="F33">
        <v>1844264.936741</v>
      </c>
      <c r="G33">
        <v>5595683.0264990004</v>
      </c>
      <c r="H33">
        <f>U33-0.2306</f>
        <v>334.85889400000002</v>
      </c>
      <c r="I33">
        <v>-0.69383399999999995</v>
      </c>
      <c r="J33">
        <v>3.0691820000000001</v>
      </c>
      <c r="K33">
        <v>352.81929000000002</v>
      </c>
      <c r="L33">
        <v>-39.753770000000003</v>
      </c>
      <c r="M33">
        <v>175.85116400000001</v>
      </c>
      <c r="N33">
        <v>352.81934999999999</v>
      </c>
      <c r="O33">
        <v>4.3024E-2</v>
      </c>
      <c r="P33">
        <v>4.2639999999999997E-2</v>
      </c>
      <c r="Q33" s="1">
        <v>42562</v>
      </c>
      <c r="R33" s="2">
        <v>0.54812499999999997</v>
      </c>
      <c r="U33">
        <v>335.089494</v>
      </c>
      <c r="V33" s="21"/>
      <c r="Y33" s="21"/>
      <c r="Z33" s="21"/>
    </row>
    <row r="34" spans="1:26" x14ac:dyDescent="0.3">
      <c r="A34" s="5">
        <v>29</v>
      </c>
      <c r="V34" s="21"/>
    </row>
    <row r="35" spans="1:26" x14ac:dyDescent="0.3">
      <c r="A35" s="5" t="s">
        <v>26</v>
      </c>
      <c r="B35">
        <v>13</v>
      </c>
      <c r="C35" t="s">
        <v>26</v>
      </c>
      <c r="D35" t="s">
        <v>20</v>
      </c>
      <c r="E35" t="s">
        <v>33</v>
      </c>
      <c r="F35">
        <v>1844715.2336200001</v>
      </c>
      <c r="G35">
        <v>5595571.1937300004</v>
      </c>
      <c r="H35">
        <f>U35-0.2306</f>
        <v>340.31077700000003</v>
      </c>
      <c r="I35">
        <v>-0.69384900000000005</v>
      </c>
      <c r="J35">
        <v>3.0692740000000001</v>
      </c>
      <c r="K35">
        <v>358.28135500000002</v>
      </c>
      <c r="L35">
        <v>-39.754646999999999</v>
      </c>
      <c r="M35">
        <v>175.85645500000001</v>
      </c>
      <c r="N35">
        <v>358.28141399999998</v>
      </c>
      <c r="O35">
        <v>1.1050000000000001E-2</v>
      </c>
      <c r="P35">
        <v>1.5664000000000001E-2</v>
      </c>
      <c r="Q35" s="1">
        <v>42562</v>
      </c>
      <c r="R35" s="2">
        <v>0.48729166666666668</v>
      </c>
      <c r="U35">
        <v>340.54137700000001</v>
      </c>
      <c r="V35" s="21"/>
    </row>
    <row r="36" spans="1:26" x14ac:dyDescent="0.3">
      <c r="V36" s="21"/>
    </row>
    <row r="37" spans="1:26" x14ac:dyDescent="0.3">
      <c r="B37">
        <v>30</v>
      </c>
      <c r="C37" t="s">
        <v>532</v>
      </c>
      <c r="D37" t="s">
        <v>20</v>
      </c>
      <c r="E37" t="s">
        <v>33</v>
      </c>
      <c r="F37">
        <v>1844327.147348</v>
      </c>
      <c r="G37">
        <v>5596603.2838880001</v>
      </c>
      <c r="H37">
        <f>U37-0.2306</f>
        <v>430.46018100000003</v>
      </c>
      <c r="I37">
        <v>-0.693689</v>
      </c>
      <c r="J37">
        <v>3.069188</v>
      </c>
      <c r="K37">
        <v>448.51255200000003</v>
      </c>
      <c r="L37">
        <v>-39.745471000000002</v>
      </c>
      <c r="M37">
        <v>175.85154700000001</v>
      </c>
      <c r="N37">
        <v>448.51261199999999</v>
      </c>
      <c r="O37">
        <v>1.1723000000000001E-2</v>
      </c>
      <c r="P37">
        <v>1.4485E-2</v>
      </c>
      <c r="Q37" s="1">
        <v>42562</v>
      </c>
      <c r="R37" s="2">
        <v>0.66912037037037031</v>
      </c>
      <c r="U37">
        <v>430.69078100000002</v>
      </c>
      <c r="V37" s="21"/>
    </row>
    <row r="38" spans="1:26" x14ac:dyDescent="0.3">
      <c r="V38" s="21"/>
    </row>
    <row r="39" spans="1:26" x14ac:dyDescent="0.3">
      <c r="V39" s="21"/>
    </row>
    <row r="40" spans="1:26" x14ac:dyDescent="0.3">
      <c r="O40" s="21">
        <f>MAX(O3:O37)</f>
        <v>4.3024E-2</v>
      </c>
      <c r="P40" s="21">
        <f>MAX(P3:P37)</f>
        <v>4.2639999999999997E-2</v>
      </c>
      <c r="V40" s="21"/>
    </row>
    <row r="41" spans="1:26" x14ac:dyDescent="0.3">
      <c r="O41" s="21">
        <f>AVERAGE(O3:O37)</f>
        <v>2.1158870967741931E-2</v>
      </c>
      <c r="P41" s="21">
        <f>AVERAGE(P3:P37)</f>
        <v>2.3414225806451611E-2</v>
      </c>
      <c r="V41" s="21"/>
    </row>
    <row r="42" spans="1:26" x14ac:dyDescent="0.3">
      <c r="O42" s="21">
        <f>_xlfn.STDEV.S(O3:O37)</f>
        <v>8.1555870164443621E-3</v>
      </c>
      <c r="P42" s="21">
        <f>_xlfn.STDEV.S(P3:P37)</f>
        <v>7.4401856549850326E-3</v>
      </c>
      <c r="V42" s="21"/>
    </row>
    <row r="43" spans="1:26" x14ac:dyDescent="0.3">
      <c r="V43" s="21"/>
    </row>
    <row r="44" spans="1:26" x14ac:dyDescent="0.3">
      <c r="V44" s="21"/>
    </row>
    <row r="45" spans="1:26" x14ac:dyDescent="0.3">
      <c r="V45" s="21"/>
    </row>
    <row r="46" spans="1:26" x14ac:dyDescent="0.3">
      <c r="V46" s="21"/>
    </row>
    <row r="47" spans="1:26" x14ac:dyDescent="0.3">
      <c r="V47" s="21"/>
    </row>
    <row r="48" spans="1:26" x14ac:dyDescent="0.3">
      <c r="V48" s="21"/>
    </row>
    <row r="49" spans="2:22" x14ac:dyDescent="0.3">
      <c r="V49" s="21"/>
    </row>
    <row r="50" spans="2:22" x14ac:dyDescent="0.3">
      <c r="V50" s="21"/>
    </row>
    <row r="51" spans="2:22" x14ac:dyDescent="0.3">
      <c r="V51" s="21"/>
    </row>
    <row r="52" spans="2:22" x14ac:dyDescent="0.3">
      <c r="V52" s="21"/>
    </row>
    <row r="53" spans="2:22" x14ac:dyDescent="0.3">
      <c r="V53" s="21"/>
    </row>
    <row r="54" spans="2:22" x14ac:dyDescent="0.3">
      <c r="V54" s="21"/>
    </row>
    <row r="55" spans="2:22" x14ac:dyDescent="0.3">
      <c r="V55" s="21"/>
    </row>
    <row r="56" spans="2:22" x14ac:dyDescent="0.3">
      <c r="V56" s="21"/>
    </row>
    <row r="57" spans="2:22" x14ac:dyDescent="0.3">
      <c r="R57" t="s">
        <v>19</v>
      </c>
      <c r="V57" s="21"/>
    </row>
    <row r="58" spans="2:22" x14ac:dyDescent="0.3">
      <c r="O58">
        <f>MAX(O3:O32)</f>
        <v>4.1277000000000001E-2</v>
      </c>
      <c r="P58">
        <f>MAX(P3:P32)</f>
        <v>3.9567999999999999E-2</v>
      </c>
      <c r="R58" t="s">
        <v>19</v>
      </c>
      <c r="V58" s="21"/>
    </row>
    <row r="59" spans="2:22" x14ac:dyDescent="0.3">
      <c r="D59" t="s">
        <v>472</v>
      </c>
      <c r="E59">
        <v>2</v>
      </c>
      <c r="F59">
        <f>F14-F15</f>
        <v>148.27367500006221</v>
      </c>
      <c r="G59">
        <f>G14-G15</f>
        <v>-38.78963700029999</v>
      </c>
      <c r="H59">
        <f>H14-H15</f>
        <v>-4.7697029999999927</v>
      </c>
      <c r="O59">
        <f>AVERAGE(O3:O32)</f>
        <v>2.1075999999999994E-2</v>
      </c>
      <c r="P59">
        <f>AVERAGE(P3:P32)</f>
        <v>2.3323285714285713E-2</v>
      </c>
      <c r="R59" t="s">
        <v>19</v>
      </c>
    </row>
    <row r="60" spans="2:22" x14ac:dyDescent="0.3">
      <c r="O60">
        <f>_xlfn.STDEV.S(O3:O32)</f>
        <v>7.0076859761793618E-3</v>
      </c>
      <c r="P60">
        <f>_xlfn.STDEV.S(P3:P32)</f>
        <v>6.5292273030277534E-3</v>
      </c>
    </row>
    <row r="62" spans="2:22" x14ac:dyDescent="0.3">
      <c r="B62">
        <v>2</v>
      </c>
      <c r="C62" t="s">
        <v>403</v>
      </c>
      <c r="D62" t="s">
        <v>20</v>
      </c>
      <c r="E62" t="s">
        <v>19</v>
      </c>
      <c r="F62">
        <v>1844208.4028109999</v>
      </c>
      <c r="G62">
        <v>5595887.1891249996</v>
      </c>
      <c r="H62">
        <f t="shared" ref="H62:H82" si="1">U62-0.2306</f>
        <v>382.82211100000001</v>
      </c>
      <c r="I62">
        <v>-0.69380200000000003</v>
      </c>
      <c r="J62">
        <v>3.069169</v>
      </c>
      <c r="K62">
        <v>400.79934300000002</v>
      </c>
      <c r="L62">
        <v>-39.751949000000003</v>
      </c>
      <c r="M62">
        <v>175.85042899999999</v>
      </c>
      <c r="N62">
        <v>400.79940199999999</v>
      </c>
      <c r="O62">
        <v>9.9769999999999998E-3</v>
      </c>
      <c r="P62">
        <v>1.0659999999999999E-2</v>
      </c>
      <c r="Q62" s="1">
        <v>42562</v>
      </c>
      <c r="R62" s="2">
        <v>0.39724537037037039</v>
      </c>
      <c r="U62">
        <v>383.05271099999999</v>
      </c>
    </row>
    <row r="63" spans="2:22" x14ac:dyDescent="0.3">
      <c r="B63">
        <v>4</v>
      </c>
      <c r="C63" t="s">
        <v>405</v>
      </c>
      <c r="D63" t="s">
        <v>20</v>
      </c>
      <c r="E63" t="s">
        <v>19</v>
      </c>
      <c r="F63">
        <v>1844359.323473</v>
      </c>
      <c r="G63">
        <v>5595876.0379450005</v>
      </c>
      <c r="H63">
        <f t="shared" si="1"/>
        <v>383.11591100000004</v>
      </c>
      <c r="I63">
        <v>-0.69380299999999995</v>
      </c>
      <c r="J63">
        <v>3.0691999999999999</v>
      </c>
      <c r="K63">
        <v>401.09895599999999</v>
      </c>
      <c r="L63">
        <v>-39.752006000000002</v>
      </c>
      <c r="M63">
        <v>175.852192</v>
      </c>
      <c r="N63">
        <v>401.09901500000001</v>
      </c>
      <c r="O63">
        <v>1.1512E-2</v>
      </c>
      <c r="P63">
        <v>1.1154000000000001E-2</v>
      </c>
      <c r="Q63" s="1">
        <v>42562</v>
      </c>
      <c r="R63" s="2">
        <v>0.40890046296296295</v>
      </c>
      <c r="U63">
        <v>383.34651100000002</v>
      </c>
    </row>
    <row r="64" spans="2:22" x14ac:dyDescent="0.3">
      <c r="B64">
        <v>7</v>
      </c>
      <c r="C64" t="s">
        <v>408</v>
      </c>
      <c r="D64" t="s">
        <v>20</v>
      </c>
      <c r="E64" t="s">
        <v>19</v>
      </c>
      <c r="F64">
        <v>1844513.1436749999</v>
      </c>
      <c r="G64">
        <v>5595905.7037829999</v>
      </c>
      <c r="H64">
        <f t="shared" si="1"/>
        <v>372.708617</v>
      </c>
      <c r="I64">
        <v>-0.69379800000000003</v>
      </c>
      <c r="J64">
        <v>3.0692309999999998</v>
      </c>
      <c r="K64">
        <v>390.70146999999997</v>
      </c>
      <c r="L64">
        <v>-39.751694999999998</v>
      </c>
      <c r="M64">
        <v>175.85397499999999</v>
      </c>
      <c r="N64">
        <v>390.70152899999999</v>
      </c>
      <c r="O64">
        <v>1.2359E-2</v>
      </c>
      <c r="P64">
        <v>1.2121E-2</v>
      </c>
      <c r="Q64" s="1">
        <v>42562</v>
      </c>
      <c r="R64" s="2">
        <v>0.42729166666666668</v>
      </c>
      <c r="U64">
        <v>372.93921699999999</v>
      </c>
    </row>
    <row r="65" spans="2:21" x14ac:dyDescent="0.3">
      <c r="B65">
        <v>9</v>
      </c>
      <c r="C65" t="s">
        <v>410</v>
      </c>
      <c r="D65" t="s">
        <v>20</v>
      </c>
      <c r="E65" t="s">
        <v>19</v>
      </c>
      <c r="F65">
        <v>1844633.748202</v>
      </c>
      <c r="G65">
        <v>5595884.7460470004</v>
      </c>
      <c r="H65">
        <f t="shared" si="1"/>
        <v>379.39900299999999</v>
      </c>
      <c r="I65">
        <v>-0.693801</v>
      </c>
      <c r="J65">
        <v>3.0692560000000002</v>
      </c>
      <c r="K65">
        <v>397.39536099999998</v>
      </c>
      <c r="L65">
        <v>-39.751849</v>
      </c>
      <c r="M65">
        <v>175.855388</v>
      </c>
      <c r="N65">
        <v>397.39542</v>
      </c>
      <c r="O65">
        <v>1.6437E-2</v>
      </c>
      <c r="P65">
        <v>1.9222E-2</v>
      </c>
      <c r="Q65" s="1">
        <v>42562</v>
      </c>
      <c r="R65" s="2">
        <v>0.43958333333333338</v>
      </c>
      <c r="U65">
        <v>379.62960299999997</v>
      </c>
    </row>
    <row r="66" spans="2:21" x14ac:dyDescent="0.3">
      <c r="B66">
        <v>14</v>
      </c>
      <c r="C66" t="s">
        <v>414</v>
      </c>
      <c r="D66" t="s">
        <v>20</v>
      </c>
      <c r="E66" t="s">
        <v>19</v>
      </c>
      <c r="F66">
        <v>1844702.0739480001</v>
      </c>
      <c r="G66">
        <v>5595690.7445149999</v>
      </c>
      <c r="H66">
        <f t="shared" si="1"/>
        <v>363.71810900000003</v>
      </c>
      <c r="I66">
        <v>-0.69383099999999998</v>
      </c>
      <c r="J66">
        <v>3.0692710000000001</v>
      </c>
      <c r="K66">
        <v>381.69932399999999</v>
      </c>
      <c r="L66">
        <v>-39.753574999999998</v>
      </c>
      <c r="M66">
        <v>175.856257</v>
      </c>
      <c r="N66">
        <v>381.69938300000001</v>
      </c>
      <c r="O66">
        <v>1.4062E-2</v>
      </c>
      <c r="P66">
        <v>1.9379E-2</v>
      </c>
      <c r="Q66" s="1">
        <v>42562</v>
      </c>
      <c r="R66" s="2">
        <v>0.49291666666666667</v>
      </c>
      <c r="U66">
        <v>363.94870900000001</v>
      </c>
    </row>
    <row r="67" spans="2:21" x14ac:dyDescent="0.3">
      <c r="B67">
        <v>15</v>
      </c>
      <c r="C67" t="s">
        <v>415</v>
      </c>
      <c r="D67" t="s">
        <v>20</v>
      </c>
      <c r="E67" t="s">
        <v>19</v>
      </c>
      <c r="F67">
        <v>1844769.6530579999</v>
      </c>
      <c r="G67">
        <v>5595615.029995</v>
      </c>
      <c r="H67">
        <f t="shared" si="1"/>
        <v>338.10994200000005</v>
      </c>
      <c r="I67">
        <v>-0.69384199999999996</v>
      </c>
      <c r="J67">
        <v>3.0692849999999998</v>
      </c>
      <c r="K67">
        <v>356.08714900000001</v>
      </c>
      <c r="L67">
        <v>-39.754237000000003</v>
      </c>
      <c r="M67">
        <v>175.85707300000001</v>
      </c>
      <c r="N67">
        <v>356.08720899999997</v>
      </c>
      <c r="O67">
        <v>3.4866000000000001E-2</v>
      </c>
      <c r="P67">
        <v>6.1360999999999999E-2</v>
      </c>
      <c r="Q67" s="1">
        <v>42562</v>
      </c>
      <c r="R67" s="2">
        <v>0.49814814814814817</v>
      </c>
      <c r="U67">
        <v>338.34054200000003</v>
      </c>
    </row>
    <row r="68" spans="2:21" x14ac:dyDescent="0.3">
      <c r="B68">
        <v>28</v>
      </c>
      <c r="C68" t="s">
        <v>424</v>
      </c>
      <c r="D68" t="s">
        <v>20</v>
      </c>
      <c r="E68" t="s">
        <v>19</v>
      </c>
      <c r="F68">
        <v>1844378.9179779999</v>
      </c>
      <c r="G68">
        <v>5595397.6237359997</v>
      </c>
      <c r="H68">
        <f t="shared" si="1"/>
        <v>312.138552</v>
      </c>
      <c r="I68">
        <v>-0.69387799999999999</v>
      </c>
      <c r="J68">
        <v>3.069207</v>
      </c>
      <c r="K68">
        <v>330.07713999999999</v>
      </c>
      <c r="L68">
        <v>-39.756304999999998</v>
      </c>
      <c r="M68">
        <v>175.852599</v>
      </c>
      <c r="N68">
        <v>330.07719900000001</v>
      </c>
      <c r="O68">
        <v>1.9157E-2</v>
      </c>
      <c r="P68">
        <v>2.1083000000000001E-2</v>
      </c>
      <c r="Q68" s="1">
        <v>42562</v>
      </c>
      <c r="R68" s="2">
        <v>0.57408564814814811</v>
      </c>
      <c r="U68">
        <v>312.36915199999999</v>
      </c>
    </row>
    <row r="69" spans="2:21" x14ac:dyDescent="0.3">
      <c r="B69">
        <v>18</v>
      </c>
      <c r="C69">
        <v>84</v>
      </c>
      <c r="D69" t="s">
        <v>20</v>
      </c>
      <c r="E69" t="s">
        <v>37</v>
      </c>
      <c r="F69">
        <v>1844459.6830539999</v>
      </c>
      <c r="G69">
        <v>5595446.1030820003</v>
      </c>
      <c r="H69">
        <f t="shared" si="1"/>
        <v>300.98150700000002</v>
      </c>
      <c r="I69">
        <v>-0.69386999999999999</v>
      </c>
      <c r="J69">
        <v>3.069223</v>
      </c>
      <c r="K69">
        <v>318.92844600000001</v>
      </c>
      <c r="L69">
        <v>-39.755845999999998</v>
      </c>
      <c r="M69">
        <v>175.853522</v>
      </c>
      <c r="N69">
        <v>318.92850499999997</v>
      </c>
      <c r="O69">
        <v>1.6775999999999999E-2</v>
      </c>
      <c r="P69">
        <v>1.5004E-2</v>
      </c>
      <c r="Q69" s="1">
        <v>42562</v>
      </c>
      <c r="R69" s="2">
        <v>0.53684027777777776</v>
      </c>
      <c r="U69">
        <v>301.212107</v>
      </c>
    </row>
    <row r="70" spans="2:21" x14ac:dyDescent="0.3">
      <c r="B70">
        <v>19</v>
      </c>
      <c r="C70">
        <v>86</v>
      </c>
      <c r="D70" t="s">
        <v>20</v>
      </c>
      <c r="E70" t="s">
        <v>37</v>
      </c>
      <c r="F70">
        <v>1844473.5582709999</v>
      </c>
      <c r="G70">
        <v>5595537.4454600001</v>
      </c>
      <c r="H70">
        <f t="shared" si="1"/>
        <v>310.27754800000002</v>
      </c>
      <c r="I70">
        <v>-0.69385600000000003</v>
      </c>
      <c r="J70">
        <v>3.0692249999999999</v>
      </c>
      <c r="K70">
        <v>328.233768</v>
      </c>
      <c r="L70">
        <v>-39.755020000000002</v>
      </c>
      <c r="M70">
        <v>175.85364999999999</v>
      </c>
      <c r="N70">
        <v>328.23382800000002</v>
      </c>
      <c r="O70">
        <v>2.5444000000000001E-2</v>
      </c>
      <c r="P70">
        <v>2.3507E-2</v>
      </c>
      <c r="Q70" s="1">
        <v>42562</v>
      </c>
      <c r="R70" s="2">
        <v>0.5398263888888889</v>
      </c>
      <c r="U70">
        <v>310.50814800000001</v>
      </c>
    </row>
    <row r="71" spans="2:21" x14ac:dyDescent="0.3">
      <c r="B71">
        <v>20</v>
      </c>
      <c r="C71">
        <v>66</v>
      </c>
      <c r="D71" t="s">
        <v>20</v>
      </c>
      <c r="E71" t="s">
        <v>37</v>
      </c>
      <c r="F71">
        <v>1844327.250648</v>
      </c>
      <c r="G71">
        <v>5595617.941602</v>
      </c>
      <c r="H71">
        <f t="shared" si="1"/>
        <v>326.52057200000002</v>
      </c>
      <c r="I71">
        <v>-0.69384400000000002</v>
      </c>
      <c r="J71">
        <v>3.0691950000000001</v>
      </c>
      <c r="K71">
        <v>344.47765700000002</v>
      </c>
      <c r="L71">
        <v>-39.754337999999997</v>
      </c>
      <c r="M71">
        <v>175.85191399999999</v>
      </c>
      <c r="N71">
        <v>344.47771599999999</v>
      </c>
      <c r="O71">
        <v>3.2945000000000002E-2</v>
      </c>
      <c r="P71">
        <v>2.9780999999999998E-2</v>
      </c>
      <c r="Q71" s="1">
        <v>42562</v>
      </c>
      <c r="R71" s="2">
        <v>0.54400462962962959</v>
      </c>
      <c r="U71">
        <v>326.751172</v>
      </c>
    </row>
    <row r="72" spans="2:21" x14ac:dyDescent="0.3">
      <c r="B72">
        <v>27</v>
      </c>
      <c r="C72">
        <v>89</v>
      </c>
      <c r="D72" t="s">
        <v>20</v>
      </c>
      <c r="E72" t="s">
        <v>37</v>
      </c>
      <c r="F72">
        <v>1844255.460898</v>
      </c>
      <c r="G72">
        <v>5595507.0219620001</v>
      </c>
      <c r="H72">
        <f t="shared" si="1"/>
        <v>328.19555600000001</v>
      </c>
      <c r="I72">
        <v>-0.69386199999999998</v>
      </c>
      <c r="J72">
        <v>3.0691809999999999</v>
      </c>
      <c r="K72">
        <v>346.13878499999998</v>
      </c>
      <c r="L72">
        <v>-39.755355999999999</v>
      </c>
      <c r="M72">
        <v>175.85111800000001</v>
      </c>
      <c r="N72">
        <v>346.13884400000001</v>
      </c>
      <c r="O72">
        <v>3.6101000000000001E-2</v>
      </c>
      <c r="P72">
        <v>4.5406000000000002E-2</v>
      </c>
      <c r="Q72" s="1">
        <v>42562</v>
      </c>
      <c r="R72" s="2">
        <v>0.56953703703703706</v>
      </c>
      <c r="U72">
        <v>328.42615599999999</v>
      </c>
    </row>
    <row r="73" spans="2:21" x14ac:dyDescent="0.3">
      <c r="B73">
        <v>32</v>
      </c>
      <c r="C73">
        <v>74</v>
      </c>
      <c r="D73" t="s">
        <v>20</v>
      </c>
      <c r="E73" t="s">
        <v>37</v>
      </c>
      <c r="F73">
        <v>1844445.4352500001</v>
      </c>
      <c r="G73">
        <v>5596727.7713919999</v>
      </c>
      <c r="H73">
        <f t="shared" si="1"/>
        <v>429.53462999999999</v>
      </c>
      <c r="I73">
        <v>-0.69366899999999998</v>
      </c>
      <c r="J73">
        <v>3.0692119999999998</v>
      </c>
      <c r="K73">
        <v>447.60450900000001</v>
      </c>
      <c r="L73">
        <v>-39.744315999999998</v>
      </c>
      <c r="M73">
        <v>175.85288</v>
      </c>
      <c r="N73">
        <v>447.60456799999997</v>
      </c>
      <c r="O73">
        <v>1.7902999999999999E-2</v>
      </c>
      <c r="P73">
        <v>2.2301999999999999E-2</v>
      </c>
      <c r="Q73" s="1">
        <v>42562</v>
      </c>
      <c r="R73" s="2">
        <v>0.40094907407407404</v>
      </c>
      <c r="U73">
        <v>429.76522999999997</v>
      </c>
    </row>
    <row r="74" spans="2:21" x14ac:dyDescent="0.3">
      <c r="B74">
        <v>34</v>
      </c>
      <c r="C74">
        <v>95</v>
      </c>
      <c r="D74" t="s">
        <v>20</v>
      </c>
      <c r="E74" t="s">
        <v>37</v>
      </c>
      <c r="F74">
        <v>1844726.1212200001</v>
      </c>
      <c r="G74">
        <v>5596620.4786019996</v>
      </c>
      <c r="H74">
        <f t="shared" si="1"/>
        <v>438.49182400000001</v>
      </c>
      <c r="I74">
        <v>-0.693685</v>
      </c>
      <c r="J74">
        <v>3.0692699999999999</v>
      </c>
      <c r="K74">
        <v>456.56365799999998</v>
      </c>
      <c r="L74">
        <v>-39.745201000000002</v>
      </c>
      <c r="M74">
        <v>175.85619199999999</v>
      </c>
      <c r="N74">
        <v>456.563717</v>
      </c>
      <c r="O74">
        <v>2.4379999999999999E-2</v>
      </c>
      <c r="P74">
        <v>2.8597999999999998E-2</v>
      </c>
      <c r="Q74" s="1">
        <v>42562</v>
      </c>
      <c r="R74" s="2">
        <v>0.41266203703703702</v>
      </c>
      <c r="U74">
        <v>438.72242399999999</v>
      </c>
    </row>
    <row r="75" spans="2:21" x14ac:dyDescent="0.3">
      <c r="B75">
        <v>36</v>
      </c>
      <c r="C75">
        <v>93</v>
      </c>
      <c r="D75" t="s">
        <v>20</v>
      </c>
      <c r="E75" t="s">
        <v>37</v>
      </c>
      <c r="F75">
        <v>1844822.2069659999</v>
      </c>
      <c r="G75">
        <v>5596431.6658279998</v>
      </c>
      <c r="H75">
        <f t="shared" si="1"/>
        <v>431.84945900000002</v>
      </c>
      <c r="I75">
        <v>-0.69371400000000005</v>
      </c>
      <c r="J75">
        <v>3.0692900000000001</v>
      </c>
      <c r="K75">
        <v>449.90709600000002</v>
      </c>
      <c r="L75">
        <v>-39.746873000000001</v>
      </c>
      <c r="M75">
        <v>175.857382</v>
      </c>
      <c r="N75">
        <v>449.90715499999999</v>
      </c>
      <c r="O75">
        <v>2.9968999999999999E-2</v>
      </c>
      <c r="P75">
        <v>3.2562000000000001E-2</v>
      </c>
      <c r="Q75" s="1">
        <v>42562</v>
      </c>
      <c r="R75" s="2">
        <v>0.42377314814814815</v>
      </c>
      <c r="U75">
        <v>432.08005900000001</v>
      </c>
    </row>
    <row r="76" spans="2:21" x14ac:dyDescent="0.3">
      <c r="B76">
        <v>39</v>
      </c>
      <c r="C76" s="6">
        <v>43652</v>
      </c>
      <c r="D76" t="s">
        <v>20</v>
      </c>
      <c r="E76" t="s">
        <v>37</v>
      </c>
      <c r="F76">
        <v>1844602.881823</v>
      </c>
      <c r="G76">
        <v>5596344.9633759996</v>
      </c>
      <c r="H76">
        <f t="shared" si="1"/>
        <v>411.64766800000001</v>
      </c>
      <c r="I76">
        <v>-0.69372900000000004</v>
      </c>
      <c r="J76">
        <v>3.0692460000000001</v>
      </c>
      <c r="K76">
        <v>429.68698599999999</v>
      </c>
      <c r="L76">
        <v>-39.747715999999997</v>
      </c>
      <c r="M76">
        <v>175.85485800000001</v>
      </c>
      <c r="N76">
        <v>429.68704600000001</v>
      </c>
      <c r="O76">
        <v>1.9008000000000001E-2</v>
      </c>
      <c r="P76">
        <v>2.6606999999999999E-2</v>
      </c>
      <c r="Q76" s="1">
        <v>42562</v>
      </c>
      <c r="R76" s="2">
        <v>0.44747685185185188</v>
      </c>
      <c r="U76">
        <v>411.87826799999999</v>
      </c>
    </row>
    <row r="77" spans="2:21" x14ac:dyDescent="0.3">
      <c r="B77">
        <v>40</v>
      </c>
      <c r="C77">
        <v>15</v>
      </c>
      <c r="D77" t="s">
        <v>20</v>
      </c>
      <c r="E77" t="s">
        <v>37</v>
      </c>
      <c r="F77">
        <v>1844577.7123459999</v>
      </c>
      <c r="G77">
        <v>5596425.8509170003</v>
      </c>
      <c r="H77">
        <f t="shared" si="1"/>
        <v>411.38375100000002</v>
      </c>
      <c r="I77">
        <v>-0.693716</v>
      </c>
      <c r="J77">
        <v>3.0692409999999999</v>
      </c>
      <c r="K77">
        <v>429.42987699999998</v>
      </c>
      <c r="L77">
        <v>-39.746994999999998</v>
      </c>
      <c r="M77">
        <v>175.854534</v>
      </c>
      <c r="N77">
        <v>429.429936</v>
      </c>
      <c r="O77">
        <v>1.5051999999999999E-2</v>
      </c>
      <c r="P77">
        <v>2.1323999999999999E-2</v>
      </c>
      <c r="Q77" s="1">
        <v>42562</v>
      </c>
      <c r="R77" s="2">
        <v>0.4519097222222222</v>
      </c>
      <c r="U77">
        <v>411.614351</v>
      </c>
    </row>
    <row r="78" spans="2:21" x14ac:dyDescent="0.3">
      <c r="B78">
        <v>42</v>
      </c>
      <c r="C78">
        <v>99</v>
      </c>
      <c r="D78" t="s">
        <v>20</v>
      </c>
      <c r="E78" t="s">
        <v>37</v>
      </c>
      <c r="F78">
        <v>1844366.6240979999</v>
      </c>
      <c r="G78">
        <v>5596367.2269649999</v>
      </c>
      <c r="H78">
        <f t="shared" si="1"/>
        <v>411.68766700000003</v>
      </c>
      <c r="I78">
        <v>-0.69372599999999995</v>
      </c>
      <c r="J78">
        <v>3.0691980000000001</v>
      </c>
      <c r="K78">
        <v>429.71857799999998</v>
      </c>
      <c r="L78">
        <v>-39.747584000000003</v>
      </c>
      <c r="M78">
        <v>175.85209499999999</v>
      </c>
      <c r="N78">
        <v>429.718637</v>
      </c>
      <c r="O78">
        <v>2.5389999999999999E-2</v>
      </c>
      <c r="P78">
        <v>3.2772999999999997E-2</v>
      </c>
      <c r="Q78" s="1">
        <v>42562</v>
      </c>
      <c r="R78" s="2">
        <v>0.45708333333333334</v>
      </c>
      <c r="U78">
        <v>411.91826700000001</v>
      </c>
    </row>
    <row r="79" spans="2:21" x14ac:dyDescent="0.3">
      <c r="B79">
        <v>44</v>
      </c>
      <c r="C79">
        <v>97</v>
      </c>
      <c r="D79" t="s">
        <v>20</v>
      </c>
      <c r="E79" t="s">
        <v>37</v>
      </c>
      <c r="F79">
        <v>1844288.9238829999</v>
      </c>
      <c r="G79">
        <v>5596464.8172399998</v>
      </c>
      <c r="H79">
        <f t="shared" si="1"/>
        <v>433.58862700000003</v>
      </c>
      <c r="I79">
        <v>-0.69371099999999997</v>
      </c>
      <c r="J79">
        <v>3.0691820000000001</v>
      </c>
      <c r="K79">
        <v>451.62566199999998</v>
      </c>
      <c r="L79">
        <v>-39.746727999999997</v>
      </c>
      <c r="M79">
        <v>175.85115300000001</v>
      </c>
      <c r="N79">
        <v>451.625721</v>
      </c>
      <c r="O79">
        <v>1.4989000000000001E-2</v>
      </c>
      <c r="P79">
        <v>1.9924000000000001E-2</v>
      </c>
      <c r="Q79" s="1">
        <v>42562</v>
      </c>
      <c r="R79" s="2">
        <v>0.46983796296296299</v>
      </c>
      <c r="U79">
        <v>433.81922700000001</v>
      </c>
    </row>
    <row r="80" spans="2:21" x14ac:dyDescent="0.3">
      <c r="B80">
        <v>45</v>
      </c>
      <c r="C80">
        <v>17</v>
      </c>
      <c r="D80" t="s">
        <v>20</v>
      </c>
      <c r="E80" t="s">
        <v>37</v>
      </c>
      <c r="F80">
        <v>1844271.50477</v>
      </c>
      <c r="G80">
        <v>5596253.5242710002</v>
      </c>
      <c r="H80">
        <f t="shared" si="1"/>
        <v>412.43705299999999</v>
      </c>
      <c r="I80">
        <v>-0.69374499999999995</v>
      </c>
      <c r="J80">
        <v>3.0691790000000001</v>
      </c>
      <c r="K80">
        <v>430.45250299999998</v>
      </c>
      <c r="L80">
        <v>-39.748634000000003</v>
      </c>
      <c r="M80">
        <v>175.85102800000001</v>
      </c>
      <c r="N80">
        <v>430.452562</v>
      </c>
      <c r="O80">
        <v>1.7114999999999998E-2</v>
      </c>
      <c r="P80">
        <v>2.1863E-2</v>
      </c>
      <c r="Q80" s="1">
        <v>42562</v>
      </c>
      <c r="R80" s="2">
        <v>0.47746527777777775</v>
      </c>
      <c r="U80">
        <v>412.66765299999997</v>
      </c>
    </row>
    <row r="81" spans="2:21" x14ac:dyDescent="0.3">
      <c r="B81">
        <v>49</v>
      </c>
      <c r="C81">
        <v>96</v>
      </c>
      <c r="D81" t="s">
        <v>20</v>
      </c>
      <c r="E81" t="s">
        <v>37</v>
      </c>
      <c r="F81">
        <v>1844468.0620589999</v>
      </c>
      <c r="G81">
        <v>5596147.0108350003</v>
      </c>
      <c r="H81">
        <f t="shared" si="1"/>
        <v>401.92577199999999</v>
      </c>
      <c r="I81">
        <v>-0.69376000000000004</v>
      </c>
      <c r="J81">
        <v>3.0692200000000001</v>
      </c>
      <c r="K81">
        <v>419.93959799999999</v>
      </c>
      <c r="L81">
        <v>-39.749535999999999</v>
      </c>
      <c r="M81">
        <v>175.85335900000001</v>
      </c>
      <c r="N81">
        <v>419.93965700000001</v>
      </c>
      <c r="O81">
        <v>1.6733000000000001E-2</v>
      </c>
      <c r="P81">
        <v>2.0310999999999999E-2</v>
      </c>
      <c r="Q81" s="1">
        <v>42562</v>
      </c>
      <c r="R81" s="2">
        <v>0.50218750000000001</v>
      </c>
      <c r="U81">
        <v>402.15637199999998</v>
      </c>
    </row>
    <row r="82" spans="2:21" x14ac:dyDescent="0.3">
      <c r="B82">
        <v>50</v>
      </c>
      <c r="C82">
        <v>98</v>
      </c>
      <c r="D82" t="s">
        <v>20</v>
      </c>
      <c r="E82" t="s">
        <v>37</v>
      </c>
      <c r="F82">
        <v>1844716.1561090001</v>
      </c>
      <c r="G82">
        <v>5596035.0564620001</v>
      </c>
      <c r="H82">
        <f t="shared" si="1"/>
        <v>394.95027000000005</v>
      </c>
      <c r="I82">
        <v>-0.69377699999999998</v>
      </c>
      <c r="J82">
        <v>3.0692710000000001</v>
      </c>
      <c r="K82">
        <v>412.964516</v>
      </c>
      <c r="L82">
        <v>-39.750472000000002</v>
      </c>
      <c r="M82">
        <v>175.85629299999999</v>
      </c>
      <c r="N82">
        <v>412.96457600000002</v>
      </c>
      <c r="O82">
        <v>2.3621E-2</v>
      </c>
      <c r="P82">
        <v>2.632E-2</v>
      </c>
      <c r="Q82" s="1">
        <v>42562</v>
      </c>
      <c r="R82" s="2">
        <v>0.50873842592592589</v>
      </c>
      <c r="U82">
        <v>395.18087000000003</v>
      </c>
    </row>
  </sheetData>
  <sortState xmlns:xlrd2="http://schemas.microsoft.com/office/spreadsheetml/2017/richdata2" ref="B6:U35">
    <sortCondition ref="C6:C3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AC43"/>
  <sheetViews>
    <sheetView topLeftCell="A6" zoomScale="85" zoomScaleNormal="85" workbookViewId="0">
      <selection activeCell="A5" sqref="A5:XFD5"/>
    </sheetView>
  </sheetViews>
  <sheetFormatPr defaultRowHeight="14.4" x14ac:dyDescent="0.3"/>
  <sheetData>
    <row r="1" spans="1:27" x14ac:dyDescent="0.3">
      <c r="U1" t="s">
        <v>395</v>
      </c>
    </row>
    <row r="2" spans="1:27" x14ac:dyDescent="0.3">
      <c r="A2" s="5" t="s">
        <v>535</v>
      </c>
      <c r="B2" t="s">
        <v>0</v>
      </c>
      <c r="C2" t="s">
        <v>1</v>
      </c>
      <c r="D2" t="s">
        <v>3</v>
      </c>
      <c r="E2" t="s">
        <v>4</v>
      </c>
      <c r="F2" t="s">
        <v>5</v>
      </c>
      <c r="G2" t="s">
        <v>6</v>
      </c>
      <c r="H2" t="s">
        <v>7</v>
      </c>
      <c r="I2" t="s">
        <v>8</v>
      </c>
      <c r="J2" t="s">
        <v>9</v>
      </c>
      <c r="K2" t="s">
        <v>10</v>
      </c>
      <c r="L2" t="s">
        <v>11</v>
      </c>
      <c r="M2" t="s">
        <v>12</v>
      </c>
      <c r="N2" t="s">
        <v>13</v>
      </c>
      <c r="O2" t="s">
        <v>14</v>
      </c>
      <c r="P2" t="s">
        <v>15</v>
      </c>
      <c r="Q2" t="s">
        <v>16</v>
      </c>
      <c r="R2" t="s">
        <v>17</v>
      </c>
      <c r="U2" t="s">
        <v>5</v>
      </c>
      <c r="V2" t="s">
        <v>6</v>
      </c>
      <c r="W2" t="s">
        <v>7</v>
      </c>
    </row>
    <row r="3" spans="1:27" x14ac:dyDescent="0.3">
      <c r="A3" s="5" t="s">
        <v>18</v>
      </c>
      <c r="B3" s="21"/>
      <c r="C3" s="21"/>
      <c r="D3" s="21"/>
      <c r="E3" s="21"/>
      <c r="F3" s="21"/>
      <c r="G3" s="21"/>
      <c r="H3" s="21"/>
      <c r="I3" s="21"/>
      <c r="J3" s="21"/>
      <c r="K3" s="21"/>
      <c r="L3" s="21"/>
      <c r="M3" s="21"/>
      <c r="N3" s="21"/>
      <c r="O3" s="21"/>
      <c r="P3" s="21"/>
      <c r="Q3" s="21"/>
      <c r="R3" s="21"/>
      <c r="S3" s="21"/>
      <c r="T3" s="21"/>
      <c r="U3" s="21"/>
      <c r="V3" s="21"/>
      <c r="W3" s="21"/>
      <c r="Y3" s="21"/>
    </row>
    <row r="4" spans="1:27" x14ac:dyDescent="0.3">
      <c r="A4" s="5" t="s">
        <v>23</v>
      </c>
      <c r="B4" s="21"/>
      <c r="C4" t="s">
        <v>87</v>
      </c>
      <c r="D4" t="s">
        <v>20</v>
      </c>
      <c r="E4" t="s">
        <v>23</v>
      </c>
      <c r="F4">
        <f>U4-'Notes and corrections'!$H$30</f>
        <v>1844287.3194910001</v>
      </c>
      <c r="G4">
        <f>V4-'Notes and corrections'!$I$30</f>
        <v>5596665.680435501</v>
      </c>
      <c r="H4">
        <f>W4-'Notes and corrections'!$J$30</f>
        <v>432.57983975000002</v>
      </c>
      <c r="I4">
        <v>-0.69367999999999996</v>
      </c>
      <c r="J4">
        <v>3.0691799999999998</v>
      </c>
      <c r="K4">
        <v>450.45401800000002</v>
      </c>
      <c r="L4">
        <v>-39.744920999999998</v>
      </c>
      <c r="M4">
        <v>175.85105899999999</v>
      </c>
      <c r="N4">
        <v>450.45407799999998</v>
      </c>
      <c r="O4">
        <v>1.3694E-2</v>
      </c>
      <c r="P4">
        <v>2.664E-2</v>
      </c>
      <c r="Q4" s="1">
        <v>42446</v>
      </c>
      <c r="R4" s="2">
        <v>0.72047453703703701</v>
      </c>
      <c r="U4">
        <v>1844287.280086</v>
      </c>
      <c r="V4">
        <v>5596665.6762290001</v>
      </c>
      <c r="W4">
        <v>432.627881</v>
      </c>
      <c r="Y4" s="23"/>
      <c r="Z4" s="10"/>
      <c r="AA4" s="10"/>
    </row>
    <row r="5" spans="1:27" s="21" customFormat="1" x14ac:dyDescent="0.3">
      <c r="A5" s="5" t="s">
        <v>551</v>
      </c>
      <c r="Q5" s="1"/>
      <c r="R5" s="2"/>
    </row>
    <row r="6" spans="1:27" x14ac:dyDescent="0.3">
      <c r="A6" s="5">
        <v>1</v>
      </c>
      <c r="B6">
        <v>13</v>
      </c>
      <c r="C6">
        <v>1</v>
      </c>
      <c r="D6" t="s">
        <v>20</v>
      </c>
      <c r="E6" t="s">
        <v>33</v>
      </c>
      <c r="F6">
        <f>U6-'Notes and corrections'!$H$30</f>
        <v>1844611.3897290002</v>
      </c>
      <c r="G6">
        <f>V6-'Notes and corrections'!$I$30</f>
        <v>5596719.8363505006</v>
      </c>
      <c r="H6">
        <f>W6-'Notes and corrections'!$J$30</f>
        <v>438.99927875000003</v>
      </c>
      <c r="I6">
        <v>-0.69367000000000001</v>
      </c>
      <c r="J6">
        <v>3.0692460000000001</v>
      </c>
      <c r="K6">
        <v>456.89319</v>
      </c>
      <c r="L6">
        <v>-39.744340000000001</v>
      </c>
      <c r="M6">
        <v>175.854817</v>
      </c>
      <c r="N6">
        <v>456.89324900000003</v>
      </c>
      <c r="O6">
        <v>1.3698E-2</v>
      </c>
      <c r="P6">
        <v>1.9137000000000001E-2</v>
      </c>
      <c r="Q6" s="1">
        <v>42446</v>
      </c>
      <c r="R6" s="2">
        <v>0.62686342592592592</v>
      </c>
      <c r="U6">
        <v>1844611.350324</v>
      </c>
      <c r="V6">
        <v>5596719.8321439996</v>
      </c>
      <c r="W6">
        <v>439.04732000000001</v>
      </c>
      <c r="Y6" s="10"/>
      <c r="Z6" s="10"/>
      <c r="AA6" s="10"/>
    </row>
    <row r="7" spans="1:27" x14ac:dyDescent="0.3">
      <c r="A7" s="5">
        <v>2</v>
      </c>
      <c r="B7">
        <v>12</v>
      </c>
      <c r="C7">
        <v>2</v>
      </c>
      <c r="D7" t="s">
        <v>20</v>
      </c>
      <c r="E7" t="s">
        <v>33</v>
      </c>
      <c r="F7">
        <f>U7-'Notes and corrections'!$H$30</f>
        <v>1844327.1998040001</v>
      </c>
      <c r="G7">
        <f>V7-'Notes and corrections'!$I$30</f>
        <v>5596603.3499965006</v>
      </c>
      <c r="H7">
        <f>W7-'Notes and corrections'!$J$30</f>
        <v>430.47078675</v>
      </c>
      <c r="I7">
        <v>-0.693689</v>
      </c>
      <c r="J7">
        <v>3.069188</v>
      </c>
      <c r="K7">
        <v>448.34060599999998</v>
      </c>
      <c r="L7">
        <v>-39.745469999999997</v>
      </c>
      <c r="M7">
        <v>175.85154700000001</v>
      </c>
      <c r="N7">
        <v>448.340665</v>
      </c>
      <c r="O7">
        <v>1.3030999999999999E-2</v>
      </c>
      <c r="P7">
        <v>2.3299E-2</v>
      </c>
      <c r="Q7" s="1">
        <v>42446</v>
      </c>
      <c r="R7" s="2">
        <v>0.63361111111111112</v>
      </c>
      <c r="U7">
        <v>1844327.1603989999</v>
      </c>
      <c r="V7">
        <v>5596603.3457899997</v>
      </c>
      <c r="W7">
        <v>430.51882799999998</v>
      </c>
      <c r="Y7" s="10"/>
      <c r="Z7" s="10"/>
      <c r="AA7" s="10"/>
    </row>
    <row r="8" spans="1:27" x14ac:dyDescent="0.3">
      <c r="A8" s="5">
        <v>3</v>
      </c>
      <c r="B8">
        <v>11</v>
      </c>
      <c r="C8">
        <v>3</v>
      </c>
      <c r="D8" t="s">
        <v>20</v>
      </c>
      <c r="E8" t="s">
        <v>33</v>
      </c>
      <c r="F8">
        <f>U8-'Notes and corrections'!$H$30</f>
        <v>1844275.8636070001</v>
      </c>
      <c r="G8">
        <f>V8-'Notes and corrections'!$I$30</f>
        <v>5596483.0740035009</v>
      </c>
      <c r="H8">
        <f>W8-'Notes and corrections'!$J$30</f>
        <v>434.67935575000001</v>
      </c>
      <c r="I8">
        <v>-0.69370799999999999</v>
      </c>
      <c r="J8">
        <v>3.0691790000000001</v>
      </c>
      <c r="K8">
        <v>452.53504199999998</v>
      </c>
      <c r="L8">
        <v>-39.746566999999999</v>
      </c>
      <c r="M8">
        <v>175.85099399999999</v>
      </c>
      <c r="N8">
        <v>452.53510199999999</v>
      </c>
      <c r="O8">
        <v>1.5852000000000002E-2</v>
      </c>
      <c r="P8">
        <v>2.4310999999999999E-2</v>
      </c>
      <c r="Q8" s="1">
        <v>42446</v>
      </c>
      <c r="R8" s="2">
        <v>0.63876157407407408</v>
      </c>
      <c r="U8">
        <v>1844275.8242019999</v>
      </c>
      <c r="V8">
        <v>5596483.0697969999</v>
      </c>
      <c r="W8">
        <v>434.727397</v>
      </c>
      <c r="Y8" s="10"/>
      <c r="Z8" s="10"/>
      <c r="AA8" s="10"/>
    </row>
    <row r="9" spans="1:27" x14ac:dyDescent="0.3">
      <c r="A9" s="5">
        <v>4</v>
      </c>
      <c r="B9">
        <v>10</v>
      </c>
      <c r="C9">
        <v>4</v>
      </c>
      <c r="D9" t="s">
        <v>20</v>
      </c>
      <c r="E9" t="s">
        <v>33</v>
      </c>
      <c r="F9">
        <f>U9-'Notes and corrections'!$H$30</f>
        <v>1844444.4506220003</v>
      </c>
      <c r="G9">
        <f>V9-'Notes and corrections'!$I$30</f>
        <v>5596429.1700725006</v>
      </c>
      <c r="H9">
        <f>W9-'Notes and corrections'!$J$30</f>
        <v>421.89266275</v>
      </c>
      <c r="I9">
        <v>-0.693716</v>
      </c>
      <c r="J9">
        <v>3.069213</v>
      </c>
      <c r="K9">
        <v>439.75058899999999</v>
      </c>
      <c r="L9">
        <v>-39.747003999999997</v>
      </c>
      <c r="M9">
        <v>175.852979</v>
      </c>
      <c r="N9">
        <v>439.75064800000001</v>
      </c>
      <c r="O9">
        <v>1.2059E-2</v>
      </c>
      <c r="P9">
        <v>1.8379E-2</v>
      </c>
      <c r="Q9" s="1">
        <v>42446</v>
      </c>
      <c r="R9" s="2">
        <v>0.64268518518518525</v>
      </c>
      <c r="U9">
        <v>1844444.4112170001</v>
      </c>
      <c r="V9">
        <v>5596429.1658659996</v>
      </c>
      <c r="W9">
        <v>421.94070399999998</v>
      </c>
      <c r="Y9" s="10"/>
      <c r="Z9" s="10"/>
      <c r="AA9" s="10"/>
    </row>
    <row r="10" spans="1:27" x14ac:dyDescent="0.3">
      <c r="A10" s="5">
        <v>5</v>
      </c>
      <c r="B10">
        <v>9</v>
      </c>
      <c r="C10">
        <v>5</v>
      </c>
      <c r="D10" t="s">
        <v>20</v>
      </c>
      <c r="E10" t="s">
        <v>33</v>
      </c>
      <c r="F10">
        <f>U10-'Notes and corrections'!$H$30</f>
        <v>1844577.7104030002</v>
      </c>
      <c r="G10">
        <f>V10-'Notes and corrections'!$I$30</f>
        <v>5596364.8959325012</v>
      </c>
      <c r="H10">
        <f>W10-'Notes and corrections'!$J$30</f>
        <v>414.70200375000002</v>
      </c>
      <c r="I10">
        <v>-0.69372599999999995</v>
      </c>
      <c r="J10">
        <v>3.0692409999999999</v>
      </c>
      <c r="K10">
        <v>432.55958800000002</v>
      </c>
      <c r="L10">
        <v>-39.747543999999998</v>
      </c>
      <c r="M10">
        <v>175.854556</v>
      </c>
      <c r="N10">
        <v>432.55964699999998</v>
      </c>
      <c r="O10">
        <v>1.4363000000000001E-2</v>
      </c>
      <c r="P10">
        <v>2.1663000000000002E-2</v>
      </c>
      <c r="Q10" s="1">
        <v>42446</v>
      </c>
      <c r="R10" s="2">
        <v>0.6446412037037037</v>
      </c>
      <c r="U10">
        <v>1844577.6709980001</v>
      </c>
      <c r="V10">
        <v>5596364.8917260002</v>
      </c>
      <c r="W10">
        <v>414.750045</v>
      </c>
      <c r="Y10" s="10"/>
      <c r="Z10" s="10"/>
      <c r="AA10" s="10"/>
    </row>
    <row r="11" spans="1:27" x14ac:dyDescent="0.3">
      <c r="A11" s="5">
        <v>6</v>
      </c>
      <c r="B11">
        <v>8</v>
      </c>
      <c r="C11">
        <v>6</v>
      </c>
      <c r="D11" t="s">
        <v>20</v>
      </c>
      <c r="E11" t="s">
        <v>33</v>
      </c>
      <c r="F11">
        <f>U11-'Notes and corrections'!$H$30</f>
        <v>1844789.2651050002</v>
      </c>
      <c r="G11">
        <f>V11-'Notes and corrections'!$I$30</f>
        <v>5596420.1554435007</v>
      </c>
      <c r="H11">
        <f>W11-'Notes and corrections'!$J$30</f>
        <v>421.45424875000003</v>
      </c>
      <c r="I11">
        <v>-0.693716</v>
      </c>
      <c r="J11">
        <v>3.0692840000000001</v>
      </c>
      <c r="K11">
        <v>439.32672500000001</v>
      </c>
      <c r="L11">
        <v>-39.746986</v>
      </c>
      <c r="M11">
        <v>175.85700199999999</v>
      </c>
      <c r="N11">
        <v>439.32678399999998</v>
      </c>
      <c r="O11">
        <v>1.5814999999999999E-2</v>
      </c>
      <c r="P11">
        <v>2.2862E-2</v>
      </c>
      <c r="Q11" s="1">
        <v>42446</v>
      </c>
      <c r="R11" s="2">
        <v>0.64931712962962962</v>
      </c>
      <c r="U11">
        <v>1844789.2257000001</v>
      </c>
      <c r="V11">
        <v>5596420.1512369998</v>
      </c>
      <c r="W11">
        <v>421.50229000000002</v>
      </c>
      <c r="Y11" s="10"/>
      <c r="Z11" s="10"/>
      <c r="AA11" s="10"/>
    </row>
    <row r="12" spans="1:27" x14ac:dyDescent="0.3">
      <c r="A12" s="5">
        <v>7</v>
      </c>
      <c r="B12">
        <v>7</v>
      </c>
      <c r="C12">
        <v>7</v>
      </c>
      <c r="D12" t="s">
        <v>20</v>
      </c>
      <c r="E12" t="s">
        <v>33</v>
      </c>
      <c r="F12">
        <f>U12-'Notes and corrections'!$H$30</f>
        <v>1844897.3855620001</v>
      </c>
      <c r="G12">
        <f>V12-'Notes and corrections'!$I$30</f>
        <v>5596315.6147185005</v>
      </c>
      <c r="H12">
        <f>W12-'Notes and corrections'!$J$30</f>
        <v>399.14059875000004</v>
      </c>
      <c r="I12">
        <v>-0.69373200000000002</v>
      </c>
      <c r="J12">
        <v>3.0693060000000001</v>
      </c>
      <c r="K12">
        <v>417.00769400000001</v>
      </c>
      <c r="L12">
        <v>-39.747895999999997</v>
      </c>
      <c r="M12">
        <v>175.85830100000001</v>
      </c>
      <c r="N12">
        <v>417.00775299999998</v>
      </c>
      <c r="O12">
        <v>2.5198999999999999E-2</v>
      </c>
      <c r="P12">
        <v>3.4618999999999997E-2</v>
      </c>
      <c r="Q12" s="1">
        <v>42446</v>
      </c>
      <c r="R12" s="2">
        <v>0.6532175925925926</v>
      </c>
      <c r="U12">
        <v>1844897.3461569999</v>
      </c>
      <c r="V12">
        <v>5596315.6105119996</v>
      </c>
      <c r="W12">
        <v>399.18864000000002</v>
      </c>
      <c r="Y12" s="10"/>
      <c r="Z12" s="10"/>
      <c r="AA12" s="10"/>
    </row>
    <row r="13" spans="1:27" x14ac:dyDescent="0.3">
      <c r="A13" s="5">
        <v>8</v>
      </c>
      <c r="B13">
        <v>6</v>
      </c>
      <c r="C13">
        <v>8</v>
      </c>
      <c r="D13" t="s">
        <v>20</v>
      </c>
      <c r="E13" t="s">
        <v>33</v>
      </c>
      <c r="F13">
        <f>U13-'Notes and corrections'!$H$30</f>
        <v>1844684.9259530001</v>
      </c>
      <c r="G13">
        <f>V13-'Notes and corrections'!$I$30</f>
        <v>5596192.0593305007</v>
      </c>
      <c r="H13">
        <f>W13-'Notes and corrections'!$J$30</f>
        <v>403.04580275000001</v>
      </c>
      <c r="I13">
        <v>-0.69375200000000004</v>
      </c>
      <c r="J13">
        <v>3.069264</v>
      </c>
      <c r="K13">
        <v>420.891257</v>
      </c>
      <c r="L13">
        <v>-39.749068999999999</v>
      </c>
      <c r="M13">
        <v>175.85587000000001</v>
      </c>
      <c r="N13">
        <v>420.89131600000002</v>
      </c>
      <c r="O13">
        <v>2.6246999999999999E-2</v>
      </c>
      <c r="P13">
        <v>3.4225999999999999E-2</v>
      </c>
      <c r="Q13" s="1">
        <v>42446</v>
      </c>
      <c r="R13" s="2">
        <v>0.65842592592592586</v>
      </c>
      <c r="U13">
        <v>1844684.8865479999</v>
      </c>
      <c r="V13">
        <v>5596192.0551239997</v>
      </c>
      <c r="W13">
        <v>403.09384399999999</v>
      </c>
      <c r="Y13" s="10"/>
      <c r="Z13" s="10"/>
      <c r="AA13" s="10"/>
    </row>
    <row r="14" spans="1:27" x14ac:dyDescent="0.3">
      <c r="A14" s="5">
        <v>9</v>
      </c>
      <c r="B14">
        <v>5</v>
      </c>
      <c r="C14">
        <v>9</v>
      </c>
      <c r="D14" t="s">
        <v>20</v>
      </c>
      <c r="E14" t="s">
        <v>33</v>
      </c>
      <c r="F14">
        <f>U14-'Notes and corrections'!$H$30</f>
        <v>1844488.6209970003</v>
      </c>
      <c r="G14">
        <f>V14-'Notes and corrections'!$I$30</f>
        <v>5596190.6527015008</v>
      </c>
      <c r="H14">
        <f>W14-'Notes and corrections'!$J$30</f>
        <v>401.14499275000003</v>
      </c>
      <c r="I14">
        <v>-0.69375299999999995</v>
      </c>
      <c r="J14">
        <v>3.0692240000000002</v>
      </c>
      <c r="K14">
        <v>418.98147</v>
      </c>
      <c r="L14">
        <v>-39.749138000000002</v>
      </c>
      <c r="M14">
        <v>175.85358199999999</v>
      </c>
      <c r="N14">
        <v>418.98152900000002</v>
      </c>
      <c r="O14">
        <v>2.4312E-2</v>
      </c>
      <c r="P14">
        <v>3.0870999999999999E-2</v>
      </c>
      <c r="Q14" s="1">
        <v>42446</v>
      </c>
      <c r="R14" s="2">
        <v>0.66125</v>
      </c>
      <c r="U14">
        <v>1844488.5815920001</v>
      </c>
      <c r="V14">
        <v>5596190.6484949999</v>
      </c>
      <c r="W14">
        <v>401.19303400000001</v>
      </c>
      <c r="Y14" s="10"/>
      <c r="Z14" s="10"/>
      <c r="AA14" s="10"/>
    </row>
    <row r="15" spans="1:27" x14ac:dyDescent="0.3">
      <c r="A15" s="5">
        <v>10</v>
      </c>
      <c r="B15">
        <v>4</v>
      </c>
      <c r="C15">
        <v>10</v>
      </c>
      <c r="D15" t="s">
        <v>20</v>
      </c>
      <c r="E15" t="s">
        <v>33</v>
      </c>
      <c r="F15">
        <f>U15-'Notes and corrections'!$H$30</f>
        <v>1844340.3233420001</v>
      </c>
      <c r="G15">
        <f>V15-'Notes and corrections'!$I$30</f>
        <v>5596229.3727545012</v>
      </c>
      <c r="H15">
        <f>W15-'Notes and corrections'!$J$30</f>
        <v>405.89318675000004</v>
      </c>
      <c r="I15">
        <v>-0.69374800000000003</v>
      </c>
      <c r="J15">
        <v>3.069194</v>
      </c>
      <c r="K15">
        <v>423.72679499999998</v>
      </c>
      <c r="L15">
        <v>-39.748832</v>
      </c>
      <c r="M15">
        <v>175.85183900000001</v>
      </c>
      <c r="N15">
        <v>423.726854</v>
      </c>
      <c r="O15">
        <v>3.0365E-2</v>
      </c>
      <c r="P15">
        <v>3.4667999999999997E-2</v>
      </c>
      <c r="Q15" s="1">
        <v>42446</v>
      </c>
      <c r="R15" s="2">
        <v>0.66369212962962965</v>
      </c>
      <c r="U15">
        <v>1844340.283937</v>
      </c>
      <c r="V15">
        <v>5596229.3685480002</v>
      </c>
      <c r="W15">
        <v>405.94122800000002</v>
      </c>
      <c r="Y15" s="10"/>
      <c r="Z15" s="10"/>
      <c r="AA15" s="10"/>
    </row>
    <row r="16" spans="1:27" x14ac:dyDescent="0.3">
      <c r="A16" s="5">
        <v>11</v>
      </c>
      <c r="B16">
        <v>3</v>
      </c>
      <c r="C16">
        <v>11</v>
      </c>
      <c r="D16" t="s">
        <v>20</v>
      </c>
      <c r="E16" t="s">
        <v>33</v>
      </c>
      <c r="F16">
        <f>U16-'Notes and corrections'!$H$30</f>
        <v>1844394.7310760003</v>
      </c>
      <c r="G16">
        <f>V16-'Notes and corrections'!$I$30</f>
        <v>5596019.1538345013</v>
      </c>
      <c r="H16">
        <f>W16-'Notes and corrections'!$J$30</f>
        <v>390.44332075</v>
      </c>
      <c r="I16">
        <v>-0.69378099999999998</v>
      </c>
      <c r="J16">
        <v>3.0692059999999999</v>
      </c>
      <c r="K16">
        <v>408.258985</v>
      </c>
      <c r="L16">
        <v>-39.750708000000003</v>
      </c>
      <c r="M16">
        <v>175.852552</v>
      </c>
      <c r="N16">
        <v>408.25904400000002</v>
      </c>
      <c r="O16">
        <v>5.8407000000000001E-2</v>
      </c>
      <c r="P16">
        <v>5.9873999999999997E-2</v>
      </c>
      <c r="Q16" s="1">
        <v>42446</v>
      </c>
      <c r="R16" s="2">
        <v>0.67185185185185192</v>
      </c>
      <c r="U16">
        <v>1844394.6916710001</v>
      </c>
      <c r="V16">
        <v>5596019.1496280003</v>
      </c>
      <c r="W16">
        <v>390.49136199999998</v>
      </c>
      <c r="Y16" s="10"/>
      <c r="Z16" s="10"/>
      <c r="AA16" s="10"/>
    </row>
    <row r="17" spans="1:29" x14ac:dyDescent="0.3">
      <c r="A17" s="5">
        <v>12</v>
      </c>
      <c r="B17">
        <v>2</v>
      </c>
      <c r="C17">
        <v>12</v>
      </c>
      <c r="D17" t="s">
        <v>20</v>
      </c>
      <c r="E17" t="s">
        <v>33</v>
      </c>
      <c r="F17">
        <f>U17-'Notes and corrections'!$H$30</f>
        <v>1844569.9423240002</v>
      </c>
      <c r="G17">
        <f>V17-'Notes and corrections'!$I$30</f>
        <v>5596018.9825845007</v>
      </c>
      <c r="H17">
        <f>W17-'Notes and corrections'!$J$30</f>
        <v>398.45518075000001</v>
      </c>
      <c r="I17">
        <v>-0.69377999999999995</v>
      </c>
      <c r="J17">
        <v>3.069242</v>
      </c>
      <c r="K17">
        <v>416.27874800000001</v>
      </c>
      <c r="L17">
        <v>-39.750658999999999</v>
      </c>
      <c r="M17">
        <v>175.85459399999999</v>
      </c>
      <c r="N17">
        <v>416.27880699999997</v>
      </c>
      <c r="O17">
        <v>3.3326000000000001E-2</v>
      </c>
      <c r="P17">
        <v>3.721E-2</v>
      </c>
      <c r="Q17" s="1">
        <v>42446</v>
      </c>
      <c r="R17" s="2">
        <v>0.6783217592592593</v>
      </c>
      <c r="U17">
        <v>1844569.902919</v>
      </c>
      <c r="V17">
        <v>5596018.9783779997</v>
      </c>
      <c r="W17">
        <v>398.50322199999999</v>
      </c>
      <c r="Y17" s="10"/>
      <c r="Z17" s="10"/>
      <c r="AA17" s="10"/>
    </row>
    <row r="18" spans="1:29" x14ac:dyDescent="0.3">
      <c r="A18" s="5">
        <v>13</v>
      </c>
      <c r="B18">
        <v>18</v>
      </c>
      <c r="C18">
        <v>13</v>
      </c>
      <c r="D18" t="s">
        <v>20</v>
      </c>
      <c r="E18" t="s">
        <v>33</v>
      </c>
      <c r="F18">
        <f>U18-'Notes and corrections'!$H$30</f>
        <v>1844676.1467600001</v>
      </c>
      <c r="G18">
        <f>V18-'Notes and corrections'!$I$30</f>
        <v>5595953.8035845011</v>
      </c>
      <c r="H18">
        <f>W18-'Notes and corrections'!$J$30</f>
        <v>392.30840775000001</v>
      </c>
      <c r="I18">
        <v>-0.69379000000000002</v>
      </c>
      <c r="J18">
        <v>3.069264</v>
      </c>
      <c r="K18">
        <v>410.13063499999998</v>
      </c>
      <c r="L18">
        <v>-39.751215000000002</v>
      </c>
      <c r="M18">
        <v>175.85585699999999</v>
      </c>
      <c r="N18">
        <v>410.130695</v>
      </c>
      <c r="O18">
        <v>1.9602999999999999E-2</v>
      </c>
      <c r="P18">
        <v>2.4056999999999999E-2</v>
      </c>
      <c r="Q18" s="1">
        <v>42446</v>
      </c>
      <c r="R18" s="2">
        <v>0.71523148148148152</v>
      </c>
      <c r="U18">
        <v>1844676.107355</v>
      </c>
      <c r="V18">
        <v>5595953.7993780002</v>
      </c>
      <c r="W18">
        <v>392.356449</v>
      </c>
      <c r="Y18" s="10"/>
      <c r="Z18" s="10"/>
      <c r="AA18" s="10"/>
    </row>
    <row r="19" spans="1:29" x14ac:dyDescent="0.3">
      <c r="A19" s="5">
        <v>14</v>
      </c>
      <c r="B19">
        <v>22</v>
      </c>
      <c r="C19">
        <v>14</v>
      </c>
      <c r="D19" t="s">
        <v>20</v>
      </c>
      <c r="E19" t="s">
        <v>33</v>
      </c>
      <c r="F19">
        <f>U19-'Notes and corrections'!$H$30</f>
        <v>1844385.0415570003</v>
      </c>
      <c r="G19">
        <f>V19-'Notes and corrections'!$I$30</f>
        <v>5595882.8798045013</v>
      </c>
      <c r="H19">
        <f>W19-'Notes and corrections'!$J$30</f>
        <v>383.52947875000001</v>
      </c>
      <c r="I19">
        <v>-0.69380200000000003</v>
      </c>
      <c r="J19">
        <v>3.0692050000000002</v>
      </c>
      <c r="K19">
        <v>401.33178199999998</v>
      </c>
      <c r="L19">
        <v>-39.751936999999998</v>
      </c>
      <c r="M19">
        <v>175.85248899999999</v>
      </c>
      <c r="N19">
        <v>401.33184199999999</v>
      </c>
      <c r="O19">
        <v>1.7365999999999999E-2</v>
      </c>
      <c r="P19">
        <v>1.8345E-2</v>
      </c>
      <c r="Q19" s="1">
        <v>42446</v>
      </c>
      <c r="R19" s="2">
        <v>0.68861111111111117</v>
      </c>
      <c r="U19">
        <v>1844385.0021520001</v>
      </c>
      <c r="V19">
        <v>5595882.8755980004</v>
      </c>
      <c r="W19">
        <v>383.57751999999999</v>
      </c>
      <c r="Y19" s="10"/>
      <c r="Z19" s="10"/>
      <c r="AA19" s="10"/>
    </row>
    <row r="20" spans="1:29" x14ac:dyDescent="0.3">
      <c r="A20" s="5">
        <v>15</v>
      </c>
      <c r="B20">
        <v>15</v>
      </c>
      <c r="C20">
        <v>15</v>
      </c>
      <c r="D20" t="s">
        <v>20</v>
      </c>
      <c r="E20" t="s">
        <v>33</v>
      </c>
      <c r="F20">
        <f>U20-'Notes and corrections'!$H$30</f>
        <v>1844189.9246750001</v>
      </c>
      <c r="G20">
        <f>V20-'Notes and corrections'!$I$30</f>
        <v>5596021.7229775013</v>
      </c>
      <c r="H20">
        <f>W20-'Notes and corrections'!$J$30</f>
        <v>396.00011075000003</v>
      </c>
      <c r="I20">
        <v>-0.69378099999999998</v>
      </c>
      <c r="J20">
        <v>3.0691639999999998</v>
      </c>
      <c r="K20">
        <v>413.806758</v>
      </c>
      <c r="L20">
        <v>-39.750743</v>
      </c>
      <c r="M20">
        <v>175.85016300000001</v>
      </c>
      <c r="N20">
        <v>413.80681700000002</v>
      </c>
      <c r="O20">
        <v>2.1572000000000001E-2</v>
      </c>
      <c r="P20">
        <v>3.7109999999999997E-2</v>
      </c>
      <c r="Q20" s="1">
        <v>42446</v>
      </c>
      <c r="R20" s="2">
        <v>0.73736111111111102</v>
      </c>
      <c r="U20">
        <v>1844189.88527</v>
      </c>
      <c r="V20">
        <v>5596021.7187710004</v>
      </c>
      <c r="W20">
        <v>396.04815200000002</v>
      </c>
      <c r="Y20" s="10"/>
      <c r="Z20" s="10"/>
      <c r="AA20" s="10"/>
    </row>
    <row r="21" spans="1:29" x14ac:dyDescent="0.3">
      <c r="A21" s="5">
        <v>16</v>
      </c>
      <c r="B21">
        <v>21</v>
      </c>
      <c r="C21">
        <v>16</v>
      </c>
      <c r="D21" t="s">
        <v>20</v>
      </c>
      <c r="E21" t="s">
        <v>33</v>
      </c>
      <c r="F21">
        <f>U21-'Notes and corrections'!$H$30</f>
        <v>1844346.6678720003</v>
      </c>
      <c r="G21">
        <f>V21-'Notes and corrections'!$I$30</f>
        <v>5595796.3195335008</v>
      </c>
      <c r="H21">
        <f>W21-'Notes and corrections'!$J$30</f>
        <v>356.83207375000001</v>
      </c>
      <c r="I21">
        <v>-0.69381599999999999</v>
      </c>
      <c r="J21">
        <v>3.0691980000000001</v>
      </c>
      <c r="K21">
        <v>374.62441699999999</v>
      </c>
      <c r="L21">
        <v>-39.752727</v>
      </c>
      <c r="M21">
        <v>175.85207399999999</v>
      </c>
      <c r="N21">
        <v>374.62447600000002</v>
      </c>
      <c r="O21">
        <v>1.7458999999999999E-2</v>
      </c>
      <c r="P21">
        <v>1.9994000000000001E-2</v>
      </c>
      <c r="Q21" s="1">
        <v>42446</v>
      </c>
      <c r="R21" s="2">
        <v>0.69653935185185178</v>
      </c>
      <c r="U21">
        <v>1844346.6284670001</v>
      </c>
      <c r="V21">
        <v>5595796.3153269999</v>
      </c>
      <c r="W21">
        <v>356.88011499999999</v>
      </c>
      <c r="Y21" s="10"/>
      <c r="Z21" s="10"/>
      <c r="AA21" s="10"/>
    </row>
    <row r="22" spans="1:29" x14ac:dyDescent="0.3">
      <c r="A22" s="5">
        <v>17</v>
      </c>
      <c r="B22">
        <v>17</v>
      </c>
      <c r="C22">
        <v>17</v>
      </c>
      <c r="D22" t="s">
        <v>20</v>
      </c>
      <c r="E22" t="s">
        <v>33</v>
      </c>
      <c r="F22">
        <f>U22-'Notes and corrections'!$H$30</f>
        <v>1844523.4051150002</v>
      </c>
      <c r="G22">
        <f>V22-'Notes and corrections'!$I$30</f>
        <v>5595824.3333105007</v>
      </c>
      <c r="H22">
        <f>W22-'Notes and corrections'!$J$30</f>
        <v>369.16650375</v>
      </c>
      <c r="I22">
        <v>-0.69381099999999996</v>
      </c>
      <c r="J22">
        <v>3.0692330000000001</v>
      </c>
      <c r="K22">
        <v>386.96957200000003</v>
      </c>
      <c r="L22">
        <v>-39.752423999999998</v>
      </c>
      <c r="M22">
        <v>175.85412400000001</v>
      </c>
      <c r="N22">
        <v>386.96963199999999</v>
      </c>
      <c r="O22">
        <v>2.0580000000000001E-2</v>
      </c>
      <c r="P22">
        <v>2.6057E-2</v>
      </c>
      <c r="Q22" s="1">
        <v>42446</v>
      </c>
      <c r="R22" s="2">
        <v>0.71771990740740732</v>
      </c>
      <c r="U22">
        <v>1844523.36571</v>
      </c>
      <c r="V22">
        <v>5595824.3291039998</v>
      </c>
      <c r="W22">
        <v>369.21454499999999</v>
      </c>
      <c r="Y22" s="10"/>
      <c r="Z22" s="10"/>
      <c r="AA22" s="10"/>
      <c r="AB22" s="21"/>
      <c r="AC22" s="21"/>
    </row>
    <row r="23" spans="1:29" x14ac:dyDescent="0.3">
      <c r="A23" s="5">
        <v>18</v>
      </c>
      <c r="B23">
        <v>19</v>
      </c>
      <c r="C23">
        <v>18</v>
      </c>
      <c r="D23" t="s">
        <v>20</v>
      </c>
      <c r="E23" t="s">
        <v>33</v>
      </c>
      <c r="F23">
        <f>U23-'Notes and corrections'!$H$30</f>
        <v>1844708.0420110002</v>
      </c>
      <c r="G23">
        <f>V23-'Notes and corrections'!$I$30</f>
        <v>5595726.690362501</v>
      </c>
      <c r="H23">
        <f>W23-'Notes and corrections'!$J$30</f>
        <v>376.08150375000002</v>
      </c>
      <c r="I23">
        <v>-0.69382500000000003</v>
      </c>
      <c r="J23">
        <v>3.0692719999999998</v>
      </c>
      <c r="K23">
        <v>393.88381199999998</v>
      </c>
      <c r="L23">
        <v>-39.753250000000001</v>
      </c>
      <c r="M23">
        <v>175.856313</v>
      </c>
      <c r="N23">
        <v>393.883872</v>
      </c>
      <c r="O23">
        <v>2.0407999999999999E-2</v>
      </c>
      <c r="P23">
        <v>2.3279000000000001E-2</v>
      </c>
      <c r="Q23" s="1">
        <v>42446</v>
      </c>
      <c r="R23" s="2">
        <v>0.70968749999999992</v>
      </c>
      <c r="U23">
        <v>1844708.0026060001</v>
      </c>
      <c r="V23">
        <v>5595726.686156</v>
      </c>
      <c r="W23">
        <v>376.12954500000001</v>
      </c>
      <c r="Y23" s="10"/>
      <c r="Z23" s="10"/>
      <c r="AA23" s="10"/>
      <c r="AB23" s="21"/>
      <c r="AC23" s="21"/>
    </row>
    <row r="24" spans="1:29" x14ac:dyDescent="0.3">
      <c r="A24" s="5">
        <v>19</v>
      </c>
      <c r="B24">
        <v>20</v>
      </c>
      <c r="C24">
        <v>19</v>
      </c>
      <c r="D24" t="s">
        <v>20</v>
      </c>
      <c r="E24" t="s">
        <v>33</v>
      </c>
      <c r="F24">
        <f>U24-'Notes and corrections'!$H$30</f>
        <v>1844646.2553790002</v>
      </c>
      <c r="G24">
        <f>V24-'Notes and corrections'!$I$30</f>
        <v>5595689.4412975013</v>
      </c>
      <c r="H24">
        <f>W24-'Notes and corrections'!$J$30</f>
        <v>360.36207275000004</v>
      </c>
      <c r="I24">
        <v>-0.69383099999999998</v>
      </c>
      <c r="J24">
        <v>3.0692590000000002</v>
      </c>
      <c r="K24">
        <v>378.15804000000003</v>
      </c>
      <c r="L24">
        <v>-39.753602999999998</v>
      </c>
      <c r="M24">
        <v>175.85560599999999</v>
      </c>
      <c r="N24">
        <v>378.15809899999999</v>
      </c>
      <c r="O24">
        <v>1.9137999999999999E-2</v>
      </c>
      <c r="P24">
        <v>2.1506000000000001E-2</v>
      </c>
      <c r="Q24" s="1">
        <v>42446</v>
      </c>
      <c r="R24" s="2">
        <v>0.70725694444444442</v>
      </c>
      <c r="U24">
        <v>1844646.215974</v>
      </c>
      <c r="V24">
        <v>5595689.4370910004</v>
      </c>
      <c r="W24">
        <v>360.41011400000002</v>
      </c>
      <c r="Y24" s="10"/>
      <c r="Z24" s="10"/>
      <c r="AA24" s="10"/>
      <c r="AB24" s="21"/>
      <c r="AC24" s="21"/>
    </row>
    <row r="25" spans="1:29" x14ac:dyDescent="0.3">
      <c r="A25" s="5">
        <v>20</v>
      </c>
      <c r="C25">
        <v>20</v>
      </c>
      <c r="D25" t="s">
        <v>20</v>
      </c>
      <c r="E25" t="s">
        <v>33</v>
      </c>
      <c r="F25">
        <f>U25-'Notes and corrections'!$H$30</f>
        <v>1844629.2263400001</v>
      </c>
      <c r="G25">
        <f>V25-'Notes and corrections'!$I$30</f>
        <v>5595617.920922501</v>
      </c>
      <c r="H25">
        <f>W25-'Notes and corrections'!$J$30</f>
        <v>334.69756875000002</v>
      </c>
      <c r="I25">
        <v>-0.69384299999999999</v>
      </c>
      <c r="J25">
        <v>3.0692560000000002</v>
      </c>
      <c r="K25">
        <v>352.48601500000001</v>
      </c>
      <c r="L25">
        <v>-39.754250999999996</v>
      </c>
      <c r="M25">
        <v>175.855435</v>
      </c>
      <c r="N25">
        <v>352.48607399999997</v>
      </c>
      <c r="O25">
        <v>1.3694E-2</v>
      </c>
      <c r="P25">
        <v>2.664E-2</v>
      </c>
      <c r="Q25" s="1">
        <v>42446</v>
      </c>
      <c r="R25" s="2">
        <v>0.72047453703703701</v>
      </c>
      <c r="U25">
        <v>1844629.1869349999</v>
      </c>
      <c r="V25">
        <v>5595617.9167160001</v>
      </c>
      <c r="W25">
        <v>334.74561</v>
      </c>
      <c r="Y25" s="10"/>
      <c r="Z25" s="10"/>
      <c r="AA25" s="10"/>
      <c r="AB25" s="21"/>
      <c r="AC25" s="21"/>
    </row>
    <row r="26" spans="1:29" x14ac:dyDescent="0.3">
      <c r="A26" s="5">
        <v>21</v>
      </c>
      <c r="B26">
        <v>27</v>
      </c>
      <c r="C26">
        <v>21</v>
      </c>
      <c r="D26" t="s">
        <v>20</v>
      </c>
      <c r="E26" t="s">
        <v>33</v>
      </c>
      <c r="F26">
        <f>U26-'Notes and corrections'!$H$30</f>
        <v>1844482.1219030002</v>
      </c>
      <c r="G26">
        <f>V26-'Notes and corrections'!$I$30</f>
        <v>5595564.1382095013</v>
      </c>
      <c r="H26">
        <f>W26-'Notes and corrections'!$J$30</f>
        <v>312.27222675000002</v>
      </c>
      <c r="I26">
        <v>-0.69385200000000002</v>
      </c>
      <c r="J26">
        <v>3.0692270000000001</v>
      </c>
      <c r="K26">
        <v>330.04880700000001</v>
      </c>
      <c r="L26">
        <v>-39.754776999999997</v>
      </c>
      <c r="M26">
        <v>175.85373899999999</v>
      </c>
      <c r="N26">
        <v>330.04886599999998</v>
      </c>
      <c r="O26">
        <v>2.0205999999999998E-2</v>
      </c>
      <c r="P26">
        <v>2.7630999999999999E-2</v>
      </c>
      <c r="Q26" s="1">
        <v>42446</v>
      </c>
      <c r="R26" s="2">
        <v>0.65364583333333337</v>
      </c>
      <c r="U26">
        <v>1844482.082498</v>
      </c>
      <c r="V26">
        <v>5595564.1340030003</v>
      </c>
      <c r="W26">
        <v>312.320268</v>
      </c>
      <c r="Y26" s="10"/>
      <c r="Z26" s="10"/>
      <c r="AA26" s="10"/>
      <c r="AB26" s="21"/>
      <c r="AC26" s="21"/>
    </row>
    <row r="27" spans="1:29" x14ac:dyDescent="0.3">
      <c r="A27" s="5">
        <v>22</v>
      </c>
      <c r="B27">
        <v>28</v>
      </c>
      <c r="C27">
        <v>22</v>
      </c>
      <c r="D27" t="s">
        <v>20</v>
      </c>
      <c r="E27" t="s">
        <v>33</v>
      </c>
      <c r="F27">
        <f>U27-'Notes and corrections'!$H$30</f>
        <v>1844431.9235280002</v>
      </c>
      <c r="G27">
        <f>V27-'Notes and corrections'!$I$30</f>
        <v>5595462.9873195011</v>
      </c>
      <c r="H27">
        <f>W27-'Notes and corrections'!$J$30</f>
        <v>305.42485975</v>
      </c>
      <c r="I27">
        <v>-0.69386800000000004</v>
      </c>
      <c r="J27">
        <v>3.0692170000000001</v>
      </c>
      <c r="K27">
        <v>323.18954400000001</v>
      </c>
      <c r="L27">
        <v>-39.755701999999999</v>
      </c>
      <c r="M27">
        <v>175.85319200000001</v>
      </c>
      <c r="N27">
        <v>323.18960299999998</v>
      </c>
      <c r="O27">
        <v>1.7968000000000001E-2</v>
      </c>
      <c r="P27">
        <v>2.4312E-2</v>
      </c>
      <c r="Q27" s="1">
        <v>42446</v>
      </c>
      <c r="R27" s="2">
        <v>0.64571759259259254</v>
      </c>
      <c r="U27">
        <v>1844431.8841230001</v>
      </c>
      <c r="V27">
        <v>5595462.9831130002</v>
      </c>
      <c r="W27">
        <v>305.47290099999998</v>
      </c>
      <c r="Y27" s="10"/>
      <c r="Z27" s="10"/>
      <c r="AA27" s="10"/>
      <c r="AB27" s="21"/>
      <c r="AC27" s="21"/>
    </row>
    <row r="28" spans="1:29" x14ac:dyDescent="0.3">
      <c r="A28" s="5">
        <v>23</v>
      </c>
      <c r="B28">
        <v>29</v>
      </c>
      <c r="C28">
        <v>23</v>
      </c>
      <c r="D28" t="s">
        <v>20</v>
      </c>
      <c r="E28" t="s">
        <v>33</v>
      </c>
      <c r="F28">
        <f>U28-'Notes and corrections'!$H$30</f>
        <v>1844378.8008300001</v>
      </c>
      <c r="G28">
        <f>V28-'Notes and corrections'!$I$30</f>
        <v>5595386.2032745006</v>
      </c>
      <c r="H28">
        <f>W28-'Notes and corrections'!$J$30</f>
        <v>310.75454575000003</v>
      </c>
      <c r="I28">
        <v>-0.69388000000000005</v>
      </c>
      <c r="J28">
        <v>3.069207</v>
      </c>
      <c r="K28">
        <v>328.50948499999998</v>
      </c>
      <c r="L28">
        <v>-39.756408</v>
      </c>
      <c r="M28">
        <v>175.85260099999999</v>
      </c>
      <c r="N28">
        <v>328.50954400000001</v>
      </c>
      <c r="O28">
        <v>1.4746E-2</v>
      </c>
      <c r="P28">
        <v>2.0031E-2</v>
      </c>
      <c r="Q28" s="1">
        <v>42446</v>
      </c>
      <c r="R28" s="2">
        <v>0.6408449074074074</v>
      </c>
      <c r="U28">
        <v>1844378.7614249999</v>
      </c>
      <c r="V28">
        <v>5595386.1990679996</v>
      </c>
      <c r="W28">
        <v>310.80258700000002</v>
      </c>
      <c r="Y28" s="10"/>
      <c r="Z28" s="10"/>
      <c r="AA28" s="10"/>
      <c r="AB28" s="21"/>
      <c r="AC28" s="21"/>
    </row>
    <row r="29" spans="1:29" s="21" customFormat="1" x14ac:dyDescent="0.3">
      <c r="A29" s="5">
        <v>24</v>
      </c>
      <c r="B29">
        <v>14</v>
      </c>
      <c r="C29">
        <v>24</v>
      </c>
      <c r="D29" t="s">
        <v>20</v>
      </c>
      <c r="E29" t="s">
        <v>33</v>
      </c>
      <c r="F29">
        <f>U29-'Notes and corrections'!$H$30</f>
        <v>1844362.8509050002</v>
      </c>
      <c r="G29">
        <f>V29-'Notes and corrections'!$I$30</f>
        <v>5595626.6615975006</v>
      </c>
      <c r="H29">
        <f>W29-'Notes and corrections'!$J$30</f>
        <v>327.01109575000004</v>
      </c>
      <c r="I29">
        <v>-0.69384299999999999</v>
      </c>
      <c r="J29">
        <v>3.0692020000000002</v>
      </c>
      <c r="K29">
        <v>344.78808900000001</v>
      </c>
      <c r="L29">
        <v>-39.754249000000002</v>
      </c>
      <c r="M29">
        <v>175.85232600000001</v>
      </c>
      <c r="N29">
        <v>344.78814799999998</v>
      </c>
      <c r="O29">
        <v>4.1245999999999998E-2</v>
      </c>
      <c r="P29">
        <v>5.9470000000000002E-2</v>
      </c>
      <c r="Q29" s="1">
        <v>42446</v>
      </c>
      <c r="R29" s="2">
        <v>0.65725694444444438</v>
      </c>
      <c r="S29"/>
      <c r="T29"/>
      <c r="U29">
        <v>1844362.8115000001</v>
      </c>
      <c r="V29">
        <v>5595626.6573909996</v>
      </c>
      <c r="W29">
        <v>327.05913700000002</v>
      </c>
      <c r="Y29" s="10"/>
      <c r="Z29" s="10"/>
      <c r="AA29" s="10"/>
    </row>
    <row r="30" spans="1:29" x14ac:dyDescent="0.3">
      <c r="A30" s="5">
        <v>25</v>
      </c>
      <c r="B30">
        <v>26</v>
      </c>
      <c r="C30">
        <v>25</v>
      </c>
      <c r="D30" t="s">
        <v>20</v>
      </c>
      <c r="E30" t="s">
        <v>33</v>
      </c>
      <c r="F30">
        <f>U30-'Notes and corrections'!$H$30</f>
        <v>1844338.0208120001</v>
      </c>
      <c r="G30">
        <f>V30-'Notes and corrections'!$I$30</f>
        <v>5595537.5070525007</v>
      </c>
      <c r="H30">
        <f>W30-'Notes and corrections'!$J$30</f>
        <v>317.03402275000002</v>
      </c>
      <c r="I30">
        <v>-0.69385699999999995</v>
      </c>
      <c r="J30">
        <v>3.0691980000000001</v>
      </c>
      <c r="K30">
        <v>334.80141200000003</v>
      </c>
      <c r="L30">
        <v>-39.755057999999998</v>
      </c>
      <c r="M30">
        <v>175.852069</v>
      </c>
      <c r="N30">
        <v>334.80147099999999</v>
      </c>
      <c r="O30">
        <v>2.8825E-2</v>
      </c>
      <c r="P30">
        <v>3.7772E-2</v>
      </c>
      <c r="Q30" s="1">
        <v>42446</v>
      </c>
      <c r="R30" s="2">
        <v>0.66028935185185189</v>
      </c>
      <c r="U30">
        <v>1844337.981407</v>
      </c>
      <c r="V30">
        <v>5595537.5028459998</v>
      </c>
      <c r="W30">
        <v>317.082064</v>
      </c>
      <c r="Y30" s="10"/>
      <c r="Z30" s="10"/>
      <c r="AA30" s="10"/>
      <c r="AB30" s="21"/>
      <c r="AC30" s="21"/>
    </row>
    <row r="31" spans="1:29" x14ac:dyDescent="0.3">
      <c r="A31" s="5">
        <v>26</v>
      </c>
      <c r="B31">
        <v>25</v>
      </c>
      <c r="C31">
        <v>26</v>
      </c>
      <c r="D31" t="s">
        <v>20</v>
      </c>
      <c r="E31" t="s">
        <v>33</v>
      </c>
      <c r="F31">
        <f>U31-'Notes and corrections'!$H$30</f>
        <v>1844303.2013010001</v>
      </c>
      <c r="G31">
        <f>V31-'Notes and corrections'!$I$30</f>
        <v>5595520.2188225007</v>
      </c>
      <c r="H31">
        <f>W31-'Notes and corrections'!$J$30</f>
        <v>314.50495175000003</v>
      </c>
      <c r="I31">
        <v>-0.69386000000000003</v>
      </c>
      <c r="J31">
        <v>3.069191</v>
      </c>
      <c r="K31">
        <v>332.26908700000001</v>
      </c>
      <c r="L31">
        <v>-39.755223999999998</v>
      </c>
      <c r="M31">
        <v>175.85167000000001</v>
      </c>
      <c r="N31">
        <v>332.26914599999998</v>
      </c>
      <c r="O31">
        <v>2.9139999999999999E-2</v>
      </c>
      <c r="P31">
        <v>4.1928E-2</v>
      </c>
      <c r="Q31" s="1">
        <v>42446</v>
      </c>
      <c r="R31" s="2">
        <v>0.66513888888888884</v>
      </c>
      <c r="U31">
        <v>1844303.1618959999</v>
      </c>
      <c r="V31">
        <v>5595520.2146159997</v>
      </c>
      <c r="W31">
        <v>314.55299300000001</v>
      </c>
      <c r="Y31" s="10"/>
      <c r="Z31" s="10"/>
      <c r="AA31" s="10"/>
      <c r="AB31" s="21"/>
      <c r="AC31" s="21"/>
    </row>
    <row r="32" spans="1:29" x14ac:dyDescent="0.3">
      <c r="A32" s="5">
        <v>27</v>
      </c>
      <c r="B32">
        <v>24</v>
      </c>
      <c r="C32">
        <v>27</v>
      </c>
      <c r="D32" t="s">
        <v>20</v>
      </c>
      <c r="E32" t="s">
        <v>33</v>
      </c>
      <c r="F32">
        <f>U32-'Notes and corrections'!$H$30</f>
        <v>1844185.1591090001</v>
      </c>
      <c r="G32">
        <f>V32-'Notes and corrections'!$I$30</f>
        <v>5595587.5837275013</v>
      </c>
      <c r="H32">
        <f>W32-'Notes and corrections'!$J$30</f>
        <v>355.92598975000004</v>
      </c>
      <c r="I32">
        <v>-0.69384999999999997</v>
      </c>
      <c r="J32">
        <v>3.0691660000000001</v>
      </c>
      <c r="K32">
        <v>373.69106699999998</v>
      </c>
      <c r="L32">
        <v>-39.754652</v>
      </c>
      <c r="M32">
        <v>175.850268</v>
      </c>
      <c r="N32">
        <v>373.691126</v>
      </c>
      <c r="O32">
        <v>2.7833E-2</v>
      </c>
      <c r="P32">
        <v>3.4999000000000002E-2</v>
      </c>
      <c r="Q32" s="1">
        <v>42446</v>
      </c>
      <c r="R32" s="2">
        <v>0.67188657407407415</v>
      </c>
      <c r="U32">
        <v>1844185.119704</v>
      </c>
      <c r="V32">
        <v>5595587.5795210004</v>
      </c>
      <c r="W32">
        <v>355.97403100000002</v>
      </c>
      <c r="Y32" s="10"/>
      <c r="Z32" s="10"/>
      <c r="AA32" s="10"/>
      <c r="AB32" s="21"/>
      <c r="AC32" s="21"/>
    </row>
    <row r="33" spans="1:29" x14ac:dyDescent="0.3">
      <c r="A33" s="5">
        <v>28</v>
      </c>
      <c r="Y33" s="10"/>
      <c r="Z33" s="10"/>
      <c r="AA33" s="10"/>
      <c r="AB33" s="21"/>
      <c r="AC33" s="21"/>
    </row>
    <row r="34" spans="1:29" x14ac:dyDescent="0.3">
      <c r="A34" s="5">
        <v>29</v>
      </c>
      <c r="Y34" s="10"/>
      <c r="Z34" s="10"/>
      <c r="AA34" s="10"/>
      <c r="AB34" s="21"/>
      <c r="AC34" s="21"/>
    </row>
    <row r="35" spans="1:29" x14ac:dyDescent="0.3">
      <c r="A35" s="5" t="s">
        <v>26</v>
      </c>
      <c r="B35" s="21"/>
      <c r="C35" s="21"/>
      <c r="D35" s="21"/>
      <c r="E35" s="21"/>
      <c r="F35" s="21"/>
      <c r="G35" s="21"/>
      <c r="H35" s="21"/>
      <c r="I35" s="21"/>
      <c r="J35" s="21"/>
      <c r="K35" s="21"/>
      <c r="L35" s="21"/>
      <c r="M35" s="21"/>
      <c r="N35" s="21"/>
      <c r="O35" s="21"/>
      <c r="P35" s="21"/>
      <c r="Q35" s="1"/>
      <c r="R35" s="2"/>
      <c r="S35" s="21"/>
      <c r="T35" s="21"/>
      <c r="U35" s="21"/>
      <c r="V35" s="21"/>
      <c r="W35" s="21"/>
      <c r="Y35" s="21"/>
      <c r="AA35" s="21"/>
    </row>
    <row r="36" spans="1:29" x14ac:dyDescent="0.3">
      <c r="B36">
        <v>16</v>
      </c>
      <c r="C36" t="s">
        <v>533</v>
      </c>
      <c r="D36" t="s">
        <v>20</v>
      </c>
      <c r="E36" t="s">
        <v>33</v>
      </c>
      <c r="F36">
        <f>U36-'Notes and corrections'!$H$30</f>
        <v>1844327.1863930002</v>
      </c>
      <c r="G36">
        <f>V36-'Notes and corrections'!$I$30</f>
        <v>5596603.3592065014</v>
      </c>
      <c r="H36">
        <f>W36-'Notes and corrections'!$J$30</f>
        <v>430.48408675000002</v>
      </c>
      <c r="I36">
        <v>-0.693689</v>
      </c>
      <c r="J36">
        <v>3.069188</v>
      </c>
      <c r="K36">
        <v>448.35390599999999</v>
      </c>
      <c r="L36">
        <v>-39.745469999999997</v>
      </c>
      <c r="M36">
        <v>175.85154700000001</v>
      </c>
      <c r="N36">
        <v>448.35396600000001</v>
      </c>
      <c r="O36">
        <v>1.6957E-2</v>
      </c>
      <c r="P36">
        <v>2.98E-2</v>
      </c>
      <c r="Q36" s="1">
        <v>42446</v>
      </c>
      <c r="R36" s="2">
        <v>0.74326388888888895</v>
      </c>
      <c r="U36">
        <v>1844327.146988</v>
      </c>
      <c r="V36">
        <v>5596603.3550000004</v>
      </c>
      <c r="W36">
        <v>430.532128</v>
      </c>
      <c r="Y36" s="21"/>
      <c r="AA36" s="21"/>
    </row>
    <row r="37" spans="1:29" x14ac:dyDescent="0.3">
      <c r="B37">
        <v>1</v>
      </c>
      <c r="C37" t="s">
        <v>88</v>
      </c>
      <c r="D37" t="s">
        <v>20</v>
      </c>
      <c r="E37" t="s">
        <v>33</v>
      </c>
      <c r="F37">
        <f>U37-'Notes and corrections'!$H$30</f>
        <v>1844629.2015370002</v>
      </c>
      <c r="G37">
        <f>V37-'Notes and corrections'!$I$30</f>
        <v>5595617.9288905011</v>
      </c>
      <c r="H37">
        <f>W37-'Notes and corrections'!$J$30</f>
        <v>334.70491475</v>
      </c>
      <c r="I37">
        <v>-0.69384299999999999</v>
      </c>
      <c r="J37">
        <v>3.0692560000000002</v>
      </c>
      <c r="K37">
        <v>352.49336</v>
      </c>
      <c r="L37">
        <v>-39.754250999999996</v>
      </c>
      <c r="M37">
        <v>175.855434</v>
      </c>
      <c r="N37">
        <v>352.49342000000001</v>
      </c>
      <c r="O37">
        <v>2.8718E-2</v>
      </c>
      <c r="P37">
        <v>3.9549000000000001E-2</v>
      </c>
      <c r="Q37" s="1">
        <v>42446</v>
      </c>
      <c r="R37" s="2">
        <v>0.72366898148148151</v>
      </c>
      <c r="U37">
        <v>1844629.1621320001</v>
      </c>
      <c r="V37">
        <v>5595617.9246840002</v>
      </c>
      <c r="W37">
        <v>334.75295599999998</v>
      </c>
    </row>
    <row r="40" spans="1:29" x14ac:dyDescent="0.3">
      <c r="D40" t="s">
        <v>473</v>
      </c>
      <c r="E40">
        <v>2</v>
      </c>
      <c r="F40">
        <f>F7-F36</f>
        <v>1.3410999905318022E-2</v>
      </c>
      <c r="G40" s="21">
        <f t="shared" ref="G40:H40" si="0">G7-G36</f>
        <v>-9.2100007459521294E-3</v>
      </c>
      <c r="H40" s="21">
        <f t="shared" si="0"/>
        <v>-1.3300000000015189E-2</v>
      </c>
    </row>
    <row r="41" spans="1:29" x14ac:dyDescent="0.3">
      <c r="E41">
        <v>23</v>
      </c>
      <c r="F41">
        <f>F37-F25</f>
        <v>-2.4802999803796411E-2</v>
      </c>
      <c r="G41" s="21">
        <f>G37-G25</f>
        <v>7.9680001363158226E-3</v>
      </c>
      <c r="H41" s="21">
        <f>H37-H25</f>
        <v>7.3459999999840875E-3</v>
      </c>
      <c r="O41">
        <f>MAX(O3:O38)</f>
        <v>5.8407000000000001E-2</v>
      </c>
      <c r="P41" s="21">
        <f>MAX(P3:P38)</f>
        <v>5.9873999999999997E-2</v>
      </c>
    </row>
    <row r="42" spans="1:29" x14ac:dyDescent="0.3">
      <c r="O42">
        <f>AVERAGE(O3:O38)</f>
        <v>2.2394233333333329E-2</v>
      </c>
      <c r="P42" s="21">
        <f>AVERAGE(P3:P38)</f>
        <v>3.0007966666666674E-2</v>
      </c>
    </row>
    <row r="43" spans="1:29" x14ac:dyDescent="0.3">
      <c r="O43">
        <f>_xlfn.STDEV.S(O3:O38)</f>
        <v>9.7885165643158255E-3</v>
      </c>
      <c r="P43" s="21">
        <f>_xlfn.STDEV.S(P3:P38)</f>
        <v>1.060084087583207E-2</v>
      </c>
    </row>
  </sheetData>
  <sortState xmlns:xlrd2="http://schemas.microsoft.com/office/spreadsheetml/2017/richdata2" ref="B3:W37">
    <sortCondition ref="C6:C37"/>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AD42"/>
  <sheetViews>
    <sheetView topLeftCell="A14" workbookViewId="0">
      <selection activeCell="B29" sqref="B29:Z29"/>
    </sheetView>
  </sheetViews>
  <sheetFormatPr defaultRowHeight="14.4" x14ac:dyDescent="0.3"/>
  <cols>
    <col min="1" max="1" width="9.109375" style="21"/>
    <col min="8" max="8" width="9.88671875" customWidth="1"/>
    <col min="13" max="14" width="9.109375" style="21"/>
    <col min="17" max="17" width="11.109375" customWidth="1"/>
    <col min="18" max="18" width="10.6640625" customWidth="1"/>
    <col min="22" max="22" width="9.109375" style="21"/>
    <col min="28" max="29" width="12.33203125" bestFit="1" customWidth="1"/>
    <col min="30" max="30" width="9.33203125" bestFit="1" customWidth="1"/>
  </cols>
  <sheetData>
    <row r="1" spans="1:30" x14ac:dyDescent="0.3">
      <c r="X1" t="s">
        <v>395</v>
      </c>
    </row>
    <row r="2" spans="1:30" x14ac:dyDescent="0.3">
      <c r="A2" s="5" t="s">
        <v>535</v>
      </c>
      <c r="B2" t="s">
        <v>0</v>
      </c>
      <c r="C2" t="s">
        <v>1</v>
      </c>
      <c r="D2" t="s">
        <v>2</v>
      </c>
      <c r="E2" t="s">
        <v>89</v>
      </c>
      <c r="F2" t="s">
        <v>5</v>
      </c>
      <c r="G2" t="s">
        <v>6</v>
      </c>
      <c r="H2" t="s">
        <v>7</v>
      </c>
      <c r="I2" t="s">
        <v>90</v>
      </c>
      <c r="J2" t="s">
        <v>91</v>
      </c>
      <c r="K2" t="s">
        <v>92</v>
      </c>
      <c r="L2" t="s">
        <v>93</v>
      </c>
      <c r="O2" t="s">
        <v>96</v>
      </c>
      <c r="P2" t="s">
        <v>97</v>
      </c>
      <c r="Q2" t="s">
        <v>94</v>
      </c>
      <c r="R2" t="s">
        <v>95</v>
      </c>
      <c r="S2" t="s">
        <v>98</v>
      </c>
      <c r="X2" t="s">
        <v>5</v>
      </c>
      <c r="Y2" t="s">
        <v>6</v>
      </c>
      <c r="Z2" t="s">
        <v>7</v>
      </c>
    </row>
    <row r="3" spans="1:30" x14ac:dyDescent="0.3">
      <c r="A3" s="5" t="s">
        <v>18</v>
      </c>
      <c r="B3" s="21"/>
      <c r="C3" s="21"/>
      <c r="D3" s="21"/>
      <c r="E3" s="21"/>
      <c r="F3" s="21"/>
      <c r="G3" s="21"/>
      <c r="H3" s="21"/>
      <c r="I3" s="21"/>
      <c r="J3" s="21"/>
      <c r="K3" s="21"/>
      <c r="L3" s="21"/>
      <c r="O3" s="21"/>
      <c r="P3" s="21"/>
      <c r="Q3" s="21"/>
      <c r="R3" s="21"/>
      <c r="S3" s="21"/>
      <c r="W3" s="21"/>
      <c r="X3" s="21"/>
      <c r="Y3" s="21"/>
      <c r="Z3" s="21"/>
    </row>
    <row r="4" spans="1:30" x14ac:dyDescent="0.3">
      <c r="A4" s="5" t="s">
        <v>23</v>
      </c>
      <c r="B4">
        <v>7</v>
      </c>
      <c r="C4" t="s">
        <v>117</v>
      </c>
      <c r="D4" t="s">
        <v>19</v>
      </c>
      <c r="E4" t="s">
        <v>23</v>
      </c>
      <c r="F4">
        <f>X4+'Notes and corrections'!H$42</f>
        <v>1844287.3096960001</v>
      </c>
      <c r="G4">
        <f>Y4+'Notes and corrections'!I$42</f>
        <v>5596665.6874965001</v>
      </c>
      <c r="H4">
        <f>Z4+'Notes and corrections'!J$42</f>
        <v>432.61057225000002</v>
      </c>
      <c r="I4" t="s">
        <v>118</v>
      </c>
      <c r="J4" t="s">
        <v>119</v>
      </c>
      <c r="K4">
        <v>450.45499999999998</v>
      </c>
      <c r="L4">
        <v>1.657</v>
      </c>
      <c r="O4">
        <v>1.0999999999999999E-2</v>
      </c>
      <c r="P4">
        <v>1.9E-2</v>
      </c>
      <c r="Q4" s="1">
        <v>42345</v>
      </c>
      <c r="R4" s="1">
        <v>42345</v>
      </c>
      <c r="S4">
        <v>3.0000000000000001E-3</v>
      </c>
      <c r="X4">
        <v>1844287.28</v>
      </c>
      <c r="Y4">
        <v>5596665.676</v>
      </c>
      <c r="Z4">
        <v>432.62799999999999</v>
      </c>
      <c r="AB4" s="23"/>
      <c r="AC4" s="23"/>
      <c r="AD4" s="23"/>
    </row>
    <row r="5" spans="1:30" s="21" customFormat="1" x14ac:dyDescent="0.3">
      <c r="A5" s="5" t="s">
        <v>551</v>
      </c>
      <c r="Q5" s="1"/>
      <c r="R5" s="2"/>
    </row>
    <row r="6" spans="1:30" x14ac:dyDescent="0.3">
      <c r="A6" s="5">
        <v>1</v>
      </c>
      <c r="B6">
        <v>30</v>
      </c>
      <c r="C6">
        <v>1</v>
      </c>
      <c r="D6" t="s">
        <v>19</v>
      </c>
      <c r="E6" t="s">
        <v>33</v>
      </c>
      <c r="F6">
        <f>X6+'Notes and corrections'!H$42</f>
        <v>1844611.360696</v>
      </c>
      <c r="G6">
        <f>Y6+'Notes and corrections'!I$42</f>
        <v>5596719.8444964997</v>
      </c>
      <c r="H6">
        <f>Z6+'Notes and corrections'!J$42</f>
        <v>439.03857225000002</v>
      </c>
      <c r="I6" t="s">
        <v>164</v>
      </c>
      <c r="J6" t="s">
        <v>165</v>
      </c>
      <c r="K6">
        <v>456.90199999999999</v>
      </c>
      <c r="L6">
        <v>1.98</v>
      </c>
      <c r="O6">
        <v>7.0000000000000001E-3</v>
      </c>
      <c r="P6">
        <v>1.2E-2</v>
      </c>
      <c r="Q6" s="1">
        <v>42345</v>
      </c>
      <c r="R6" s="1">
        <v>42345</v>
      </c>
      <c r="S6">
        <v>2E-3</v>
      </c>
      <c r="X6">
        <v>1844611.331</v>
      </c>
      <c r="Y6">
        <v>5596719.8329999996</v>
      </c>
      <c r="Z6">
        <v>439.05599999999998</v>
      </c>
      <c r="AB6" s="23"/>
      <c r="AC6" s="23"/>
      <c r="AD6" s="23"/>
    </row>
    <row r="7" spans="1:30" x14ac:dyDescent="0.3">
      <c r="A7" s="5">
        <v>2</v>
      </c>
      <c r="B7">
        <v>29</v>
      </c>
      <c r="C7">
        <v>2</v>
      </c>
      <c r="D7" t="s">
        <v>19</v>
      </c>
      <c r="E7" t="s">
        <v>33</v>
      </c>
      <c r="F7">
        <f>X7+'Notes and corrections'!H$42</f>
        <v>1844327.1526959999</v>
      </c>
      <c r="G7">
        <f>Y7+'Notes and corrections'!I$42</f>
        <v>5596603.3414965002</v>
      </c>
      <c r="H7">
        <f>Z7+'Notes and corrections'!J$42</f>
        <v>430.50057225</v>
      </c>
      <c r="I7" t="s">
        <v>162</v>
      </c>
      <c r="J7" t="s">
        <v>163</v>
      </c>
      <c r="K7">
        <v>448.34</v>
      </c>
      <c r="L7">
        <v>1.98</v>
      </c>
      <c r="O7">
        <v>8.9999999999999993E-3</v>
      </c>
      <c r="P7">
        <v>1.4999999999999999E-2</v>
      </c>
      <c r="Q7" s="1">
        <v>42345</v>
      </c>
      <c r="R7" s="1">
        <v>42345</v>
      </c>
      <c r="S7">
        <v>3.0000000000000001E-3</v>
      </c>
      <c r="X7">
        <v>1844327.1229999999</v>
      </c>
      <c r="Y7">
        <v>5596603.3300000001</v>
      </c>
      <c r="Z7">
        <v>430.51799999999997</v>
      </c>
      <c r="AB7" s="23"/>
      <c r="AC7" s="23"/>
      <c r="AD7" s="23"/>
    </row>
    <row r="8" spans="1:30" x14ac:dyDescent="0.3">
      <c r="A8" s="5">
        <v>3</v>
      </c>
      <c r="B8">
        <v>28</v>
      </c>
      <c r="C8">
        <v>3</v>
      </c>
      <c r="D8" t="s">
        <v>19</v>
      </c>
      <c r="E8" t="s">
        <v>33</v>
      </c>
      <c r="F8">
        <f>X8+'Notes and corrections'!H$42</f>
        <v>1844275.8296960001</v>
      </c>
      <c r="G8">
        <f>Y8+'Notes and corrections'!I$42</f>
        <v>5596483.0624965001</v>
      </c>
      <c r="H8">
        <f>Z8+'Notes and corrections'!J$42</f>
        <v>434.73157225000006</v>
      </c>
      <c r="I8" t="s">
        <v>160</v>
      </c>
      <c r="J8" t="s">
        <v>161</v>
      </c>
      <c r="K8">
        <v>452.55700000000002</v>
      </c>
      <c r="L8">
        <v>1.98</v>
      </c>
      <c r="O8">
        <v>5.0000000000000001E-3</v>
      </c>
      <c r="P8">
        <v>0.01</v>
      </c>
      <c r="Q8" s="1">
        <v>42345</v>
      </c>
      <c r="R8" s="1">
        <v>42345</v>
      </c>
      <c r="S8">
        <v>2E-3</v>
      </c>
      <c r="X8">
        <v>1844275.8</v>
      </c>
      <c r="Y8">
        <v>5596483.051</v>
      </c>
      <c r="Z8">
        <v>434.74900000000002</v>
      </c>
      <c r="AB8" s="23"/>
      <c r="AC8" s="23"/>
      <c r="AD8" s="23"/>
    </row>
    <row r="9" spans="1:30" x14ac:dyDescent="0.3">
      <c r="A9" s="5">
        <v>4</v>
      </c>
      <c r="B9">
        <v>27</v>
      </c>
      <c r="C9">
        <v>4</v>
      </c>
      <c r="D9" t="s">
        <v>19</v>
      </c>
      <c r="E9" t="s">
        <v>33</v>
      </c>
      <c r="F9">
        <f>X9+'Notes and corrections'!H$42</f>
        <v>1844444.456696</v>
      </c>
      <c r="G9">
        <f>Y9+'Notes and corrections'!I$42</f>
        <v>5596429.1804964999</v>
      </c>
      <c r="H9">
        <f>Z9+'Notes and corrections'!J$42</f>
        <v>421.91657225000006</v>
      </c>
      <c r="I9" t="s">
        <v>158</v>
      </c>
      <c r="J9" t="s">
        <v>159</v>
      </c>
      <c r="K9">
        <v>439.74400000000003</v>
      </c>
      <c r="L9">
        <v>1.98</v>
      </c>
      <c r="O9">
        <v>8.0000000000000002E-3</v>
      </c>
      <c r="P9">
        <v>1.4999999999999999E-2</v>
      </c>
      <c r="Q9" s="1">
        <v>42345</v>
      </c>
      <c r="R9" s="1">
        <v>42345</v>
      </c>
      <c r="S9">
        <v>2E-3</v>
      </c>
      <c r="X9">
        <v>1844444.4269999999</v>
      </c>
      <c r="Y9">
        <v>5596429.1689999998</v>
      </c>
      <c r="Z9">
        <v>421.93400000000003</v>
      </c>
      <c r="AB9" s="23"/>
      <c r="AC9" s="23"/>
      <c r="AD9" s="23"/>
    </row>
    <row r="10" spans="1:30" x14ac:dyDescent="0.3">
      <c r="A10" s="5">
        <v>5</v>
      </c>
      <c r="B10">
        <v>26</v>
      </c>
      <c r="C10">
        <v>5</v>
      </c>
      <c r="D10" t="s">
        <v>19</v>
      </c>
      <c r="E10" t="s">
        <v>33</v>
      </c>
      <c r="F10">
        <f>X10+'Notes and corrections'!H$42</f>
        <v>1844577.6776960001</v>
      </c>
      <c r="G10">
        <f>Y10+'Notes and corrections'!I$42</f>
        <v>5596364.9054965004</v>
      </c>
      <c r="H10">
        <f>Z10+'Notes and corrections'!J$42</f>
        <v>414.72557225000003</v>
      </c>
      <c r="I10" t="s">
        <v>156</v>
      </c>
      <c r="J10" t="s">
        <v>157</v>
      </c>
      <c r="K10">
        <v>432.55200000000002</v>
      </c>
      <c r="L10">
        <v>1.98</v>
      </c>
      <c r="O10">
        <v>6.0000000000000001E-3</v>
      </c>
      <c r="P10">
        <v>1.0999999999999999E-2</v>
      </c>
      <c r="Q10" s="1">
        <v>42345</v>
      </c>
      <c r="R10" s="1">
        <v>42345</v>
      </c>
      <c r="S10">
        <v>2E-3</v>
      </c>
      <c r="X10">
        <v>1844577.648</v>
      </c>
      <c r="Y10">
        <v>5596364.8940000003</v>
      </c>
      <c r="Z10">
        <v>414.74299999999999</v>
      </c>
      <c r="AB10" s="23"/>
      <c r="AC10" s="23"/>
      <c r="AD10" s="23"/>
    </row>
    <row r="11" spans="1:30" x14ac:dyDescent="0.3">
      <c r="A11" s="5">
        <v>6</v>
      </c>
      <c r="B11">
        <v>25</v>
      </c>
      <c r="C11">
        <v>6</v>
      </c>
      <c r="D11" t="s">
        <v>19</v>
      </c>
      <c r="E11" t="s">
        <v>33</v>
      </c>
      <c r="F11">
        <f>X11+'Notes and corrections'!H$42</f>
        <v>1844789.2376960001</v>
      </c>
      <c r="G11">
        <f>Y11+'Notes and corrections'!I$42</f>
        <v>5596420.1834965004</v>
      </c>
      <c r="H11">
        <f>Z11+'Notes and corrections'!J$42</f>
        <v>421.45557225000005</v>
      </c>
      <c r="I11" t="s">
        <v>154</v>
      </c>
      <c r="J11" t="s">
        <v>155</v>
      </c>
      <c r="K11">
        <v>439.298</v>
      </c>
      <c r="L11">
        <v>1.98</v>
      </c>
      <c r="O11">
        <v>8.9999999999999993E-3</v>
      </c>
      <c r="P11">
        <v>1.7000000000000001E-2</v>
      </c>
      <c r="Q11" s="1">
        <v>42345</v>
      </c>
      <c r="R11" s="1">
        <v>42345</v>
      </c>
      <c r="S11">
        <v>2E-3</v>
      </c>
      <c r="X11">
        <v>1844789.2080000001</v>
      </c>
      <c r="Y11">
        <v>5596420.1720000003</v>
      </c>
      <c r="Z11">
        <v>421.47300000000001</v>
      </c>
      <c r="AB11" s="23"/>
      <c r="AC11" s="23"/>
      <c r="AD11" s="23"/>
    </row>
    <row r="12" spans="1:30" x14ac:dyDescent="0.3">
      <c r="A12" s="5">
        <v>7</v>
      </c>
      <c r="B12" s="21">
        <v>24</v>
      </c>
      <c r="C12" s="21">
        <v>7</v>
      </c>
      <c r="D12" s="21" t="s">
        <v>19</v>
      </c>
      <c r="E12" s="21" t="s">
        <v>33</v>
      </c>
      <c r="F12" s="21">
        <f>X12+'Notes and corrections'!H$42</f>
        <v>1844897.4066960001</v>
      </c>
      <c r="G12" s="21">
        <f>Y12+'Notes and corrections'!I$42</f>
        <v>5596315.6334965006</v>
      </c>
      <c r="H12" s="21">
        <f>Z12+'Notes and corrections'!J$42</f>
        <v>399.12457225000003</v>
      </c>
      <c r="I12" s="21" t="s">
        <v>152</v>
      </c>
      <c r="J12" s="21" t="s">
        <v>153</v>
      </c>
      <c r="K12" s="21">
        <v>416.96100000000001</v>
      </c>
      <c r="L12" s="21">
        <v>1.98</v>
      </c>
      <c r="O12" s="21">
        <v>6.0000000000000001E-3</v>
      </c>
      <c r="P12" s="21">
        <v>1.0999999999999999E-2</v>
      </c>
      <c r="Q12" s="1">
        <v>42345</v>
      </c>
      <c r="R12" s="1">
        <v>42345</v>
      </c>
      <c r="S12" s="21">
        <v>2E-3</v>
      </c>
      <c r="X12">
        <v>1844897.3770000001</v>
      </c>
      <c r="Y12">
        <v>5596315.6220000004</v>
      </c>
      <c r="Z12">
        <v>399.142</v>
      </c>
      <c r="AB12" s="23"/>
      <c r="AC12" s="23"/>
      <c r="AD12" s="23"/>
    </row>
    <row r="13" spans="1:30" x14ac:dyDescent="0.3">
      <c r="A13" s="5">
        <v>8</v>
      </c>
      <c r="B13">
        <v>23</v>
      </c>
      <c r="C13">
        <v>8</v>
      </c>
      <c r="D13" t="s">
        <v>19</v>
      </c>
      <c r="E13" t="s">
        <v>33</v>
      </c>
      <c r="F13">
        <f>X13+'Notes and corrections'!H$42</f>
        <v>1844684.9246960001</v>
      </c>
      <c r="G13">
        <f>Y13+'Notes and corrections'!I$42</f>
        <v>5596192.0954964999</v>
      </c>
      <c r="H13">
        <f>Z13+'Notes and corrections'!J$42</f>
        <v>403.05657225000004</v>
      </c>
      <c r="I13" t="s">
        <v>150</v>
      </c>
      <c r="J13" t="s">
        <v>151</v>
      </c>
      <c r="K13">
        <v>420.87099999999998</v>
      </c>
      <c r="L13">
        <v>1.98</v>
      </c>
      <c r="O13">
        <v>6.0000000000000001E-3</v>
      </c>
      <c r="P13">
        <v>0.01</v>
      </c>
      <c r="Q13" s="1">
        <v>42345</v>
      </c>
      <c r="R13" s="1">
        <v>42345</v>
      </c>
      <c r="S13">
        <v>3.0000000000000001E-3</v>
      </c>
      <c r="X13">
        <v>1844684.895</v>
      </c>
      <c r="Y13">
        <v>5596192.0839999998</v>
      </c>
      <c r="Z13">
        <v>403.07400000000001</v>
      </c>
      <c r="AB13" s="23"/>
      <c r="AC13" s="23"/>
      <c r="AD13" s="23"/>
    </row>
    <row r="14" spans="1:30" x14ac:dyDescent="0.3">
      <c r="A14" s="5">
        <v>9</v>
      </c>
      <c r="B14">
        <v>22</v>
      </c>
      <c r="C14">
        <v>9</v>
      </c>
      <c r="D14" t="s">
        <v>19</v>
      </c>
      <c r="E14" t="s">
        <v>33</v>
      </c>
      <c r="F14">
        <f>X14+'Notes and corrections'!H$42</f>
        <v>1844488.5956960001</v>
      </c>
      <c r="G14">
        <f>Y14+'Notes and corrections'!I$42</f>
        <v>5596190.6844965005</v>
      </c>
      <c r="H14">
        <f>Z14+'Notes and corrections'!J$42</f>
        <v>401.18457225000003</v>
      </c>
      <c r="I14" t="s">
        <v>148</v>
      </c>
      <c r="J14" t="s">
        <v>149</v>
      </c>
      <c r="K14">
        <v>418.99099999999999</v>
      </c>
      <c r="L14">
        <v>1.98</v>
      </c>
      <c r="O14">
        <v>5.0000000000000001E-3</v>
      </c>
      <c r="P14">
        <v>0.01</v>
      </c>
      <c r="Q14" s="1">
        <v>42345</v>
      </c>
      <c r="R14" s="1">
        <v>42345</v>
      </c>
      <c r="S14">
        <v>2E-3</v>
      </c>
      <c r="X14">
        <v>1844488.5660000001</v>
      </c>
      <c r="Y14">
        <v>5596190.6730000004</v>
      </c>
      <c r="Z14">
        <v>401.202</v>
      </c>
      <c r="AB14" s="23"/>
      <c r="AC14" s="23"/>
      <c r="AD14" s="23"/>
    </row>
    <row r="15" spans="1:30" x14ac:dyDescent="0.3">
      <c r="A15" s="5">
        <v>10</v>
      </c>
      <c r="B15">
        <v>21</v>
      </c>
      <c r="C15">
        <v>10</v>
      </c>
      <c r="D15" t="s">
        <v>19</v>
      </c>
      <c r="E15" t="s">
        <v>33</v>
      </c>
      <c r="F15">
        <f>X15+'Notes and corrections'!H$42</f>
        <v>1844340.279696</v>
      </c>
      <c r="G15">
        <f>Y15+'Notes and corrections'!I$42</f>
        <v>5596229.3804965001</v>
      </c>
      <c r="H15">
        <f>Z15+'Notes and corrections'!J$42</f>
        <v>405.91157225000001</v>
      </c>
      <c r="I15" t="s">
        <v>146</v>
      </c>
      <c r="J15" t="s">
        <v>147</v>
      </c>
      <c r="K15">
        <v>423.714</v>
      </c>
      <c r="L15">
        <v>1.98</v>
      </c>
      <c r="O15">
        <v>1.2E-2</v>
      </c>
      <c r="P15">
        <v>1.9E-2</v>
      </c>
      <c r="Q15" s="1">
        <v>42345</v>
      </c>
      <c r="R15" s="1">
        <v>42345</v>
      </c>
      <c r="S15">
        <v>4.0000000000000001E-3</v>
      </c>
      <c r="X15">
        <v>1844340.25</v>
      </c>
      <c r="Y15">
        <v>5596229.3689999999</v>
      </c>
      <c r="Z15">
        <v>405.92899999999997</v>
      </c>
      <c r="AB15" s="23"/>
      <c r="AC15" s="23"/>
      <c r="AD15" s="23"/>
    </row>
    <row r="16" spans="1:30" x14ac:dyDescent="0.3">
      <c r="A16" s="5">
        <v>11</v>
      </c>
      <c r="B16">
        <v>20</v>
      </c>
      <c r="C16">
        <v>11</v>
      </c>
      <c r="D16" t="s">
        <v>19</v>
      </c>
      <c r="E16" t="s">
        <v>33</v>
      </c>
      <c r="F16">
        <f>X16+'Notes and corrections'!H$42</f>
        <v>1844394.6946960001</v>
      </c>
      <c r="G16">
        <f>Y16+'Notes and corrections'!I$42</f>
        <v>5596019.2724965001</v>
      </c>
      <c r="H16">
        <f>Z16+'Notes and corrections'!J$42</f>
        <v>390.42657225000005</v>
      </c>
      <c r="I16" t="s">
        <v>144</v>
      </c>
      <c r="J16" t="s">
        <v>145</v>
      </c>
      <c r="K16">
        <v>408.21100000000001</v>
      </c>
      <c r="L16">
        <v>1.98</v>
      </c>
      <c r="O16">
        <v>1.2999999999999999E-2</v>
      </c>
      <c r="P16">
        <v>0.02</v>
      </c>
      <c r="Q16" s="1">
        <v>42345</v>
      </c>
      <c r="R16" s="1">
        <v>42345</v>
      </c>
      <c r="S16">
        <v>5.0000000000000001E-3</v>
      </c>
      <c r="X16">
        <v>1844394.665</v>
      </c>
      <c r="Y16">
        <v>5596019.2609999999</v>
      </c>
      <c r="Z16">
        <v>390.44400000000002</v>
      </c>
      <c r="AB16" s="23"/>
      <c r="AC16" s="23"/>
      <c r="AD16" s="23"/>
    </row>
    <row r="17" spans="1:30" x14ac:dyDescent="0.3">
      <c r="A17" s="5">
        <v>12</v>
      </c>
      <c r="B17">
        <v>19</v>
      </c>
      <c r="C17">
        <v>12</v>
      </c>
      <c r="D17" t="s">
        <v>19</v>
      </c>
      <c r="E17" t="s">
        <v>33</v>
      </c>
      <c r="F17">
        <f>X17+'Notes and corrections'!H$42</f>
        <v>1844569.9686960001</v>
      </c>
      <c r="G17">
        <f>Y17+'Notes and corrections'!I$42</f>
        <v>5596019.0864965003</v>
      </c>
      <c r="H17">
        <f>Z17+'Notes and corrections'!J$42</f>
        <v>398.52157225000002</v>
      </c>
      <c r="I17" t="s">
        <v>142</v>
      </c>
      <c r="J17" t="s">
        <v>143</v>
      </c>
      <c r="K17">
        <v>416.31400000000002</v>
      </c>
      <c r="L17">
        <v>1.98</v>
      </c>
      <c r="O17">
        <v>6.0000000000000001E-3</v>
      </c>
      <c r="P17">
        <v>0.01</v>
      </c>
      <c r="Q17" s="1">
        <v>42345</v>
      </c>
      <c r="R17" s="1">
        <v>42345</v>
      </c>
      <c r="S17">
        <v>4.0000000000000001E-3</v>
      </c>
      <c r="X17">
        <v>1844569.939</v>
      </c>
      <c r="Y17">
        <v>5596019.0750000002</v>
      </c>
      <c r="Z17">
        <v>398.53899999999999</v>
      </c>
      <c r="AB17" s="23"/>
      <c r="AC17" s="23"/>
      <c r="AD17" s="23"/>
    </row>
    <row r="18" spans="1:30" x14ac:dyDescent="0.3">
      <c r="A18" s="5">
        <v>13</v>
      </c>
      <c r="B18">
        <v>18</v>
      </c>
      <c r="C18">
        <v>13</v>
      </c>
      <c r="D18" t="s">
        <v>19</v>
      </c>
      <c r="E18" t="s">
        <v>33</v>
      </c>
      <c r="F18">
        <f>X18+'Notes and corrections'!H$42</f>
        <v>1844676.137696</v>
      </c>
      <c r="G18">
        <f>Y18+'Notes and corrections'!I$42</f>
        <v>5595953.8624964999</v>
      </c>
      <c r="H18">
        <f>Z18+'Notes and corrections'!J$42</f>
        <v>392.34157225000001</v>
      </c>
      <c r="I18" t="s">
        <v>140</v>
      </c>
      <c r="J18" t="s">
        <v>141</v>
      </c>
      <c r="K18">
        <v>410.13299999999998</v>
      </c>
      <c r="L18">
        <v>1.98</v>
      </c>
      <c r="O18">
        <v>6.0000000000000001E-3</v>
      </c>
      <c r="P18">
        <v>0.01</v>
      </c>
      <c r="Q18" s="1">
        <v>42345</v>
      </c>
      <c r="R18" s="1">
        <v>42345</v>
      </c>
      <c r="S18">
        <v>5.0000000000000001E-3</v>
      </c>
      <c r="X18">
        <v>1844676.108</v>
      </c>
      <c r="Y18">
        <v>5595953.8509999998</v>
      </c>
      <c r="Z18">
        <v>392.35899999999998</v>
      </c>
      <c r="AB18" s="23"/>
      <c r="AC18" s="23"/>
      <c r="AD18" s="23"/>
    </row>
    <row r="19" spans="1:30" x14ac:dyDescent="0.3">
      <c r="A19" s="5">
        <v>14</v>
      </c>
      <c r="B19">
        <v>16</v>
      </c>
      <c r="C19">
        <v>14</v>
      </c>
      <c r="D19" t="s">
        <v>19</v>
      </c>
      <c r="E19" t="s">
        <v>33</v>
      </c>
      <c r="F19">
        <f>X19+'Notes and corrections'!H$42</f>
        <v>1844384.9476960001</v>
      </c>
      <c r="G19">
        <f>Y19+'Notes and corrections'!I$42</f>
        <v>5595883.1974964999</v>
      </c>
      <c r="H19">
        <f>Z19+'Notes and corrections'!J$42</f>
        <v>383.59757225000004</v>
      </c>
      <c r="I19" t="s">
        <v>136</v>
      </c>
      <c r="J19" t="s">
        <v>137</v>
      </c>
      <c r="K19">
        <v>401.37</v>
      </c>
      <c r="L19">
        <v>1.98</v>
      </c>
      <c r="O19">
        <v>5.0000000000000001E-3</v>
      </c>
      <c r="P19">
        <v>8.9999999999999993E-3</v>
      </c>
      <c r="Q19" s="1">
        <v>42345</v>
      </c>
      <c r="R19" s="1">
        <v>42345</v>
      </c>
      <c r="S19">
        <v>2E-3</v>
      </c>
      <c r="X19">
        <v>1844384.9180000001</v>
      </c>
      <c r="Y19">
        <v>5595883.1859999998</v>
      </c>
      <c r="Z19">
        <v>383.61500000000001</v>
      </c>
      <c r="AB19" s="23"/>
      <c r="AC19" s="23"/>
      <c r="AD19" s="23"/>
    </row>
    <row r="20" spans="1:30" x14ac:dyDescent="0.3">
      <c r="A20" s="5">
        <v>15</v>
      </c>
      <c r="B20">
        <v>9</v>
      </c>
      <c r="C20">
        <v>15</v>
      </c>
      <c r="D20" t="s">
        <v>19</v>
      </c>
      <c r="E20" t="s">
        <v>33</v>
      </c>
      <c r="F20">
        <f>X20+'Notes and corrections'!H$42</f>
        <v>1844189.9066960001</v>
      </c>
      <c r="G20">
        <f>Y20+'Notes and corrections'!I$42</f>
        <v>5596021.7414965006</v>
      </c>
      <c r="H20">
        <f>Z20+'Notes and corrections'!J$42</f>
        <v>396.02757225000005</v>
      </c>
      <c r="I20" t="s">
        <v>122</v>
      </c>
      <c r="J20" t="s">
        <v>123</v>
      </c>
      <c r="K20">
        <v>413.80399999999997</v>
      </c>
      <c r="L20">
        <v>1.98</v>
      </c>
      <c r="O20">
        <v>7.0000000000000001E-3</v>
      </c>
      <c r="P20">
        <v>8.9999999999999993E-3</v>
      </c>
      <c r="Q20" s="1">
        <v>42345</v>
      </c>
      <c r="R20" s="1">
        <v>42345</v>
      </c>
      <c r="S20">
        <v>3.0000000000000001E-3</v>
      </c>
      <c r="X20">
        <v>1844189.8770000001</v>
      </c>
      <c r="Y20">
        <v>5596021.7300000004</v>
      </c>
      <c r="Z20">
        <v>396.04500000000002</v>
      </c>
      <c r="AB20" s="23"/>
      <c r="AC20" s="23"/>
      <c r="AD20" s="23"/>
    </row>
    <row r="21" spans="1:30" x14ac:dyDescent="0.3">
      <c r="A21" s="5">
        <v>16</v>
      </c>
      <c r="B21">
        <v>6</v>
      </c>
      <c r="C21">
        <v>16</v>
      </c>
      <c r="D21" t="s">
        <v>19</v>
      </c>
      <c r="E21" t="s">
        <v>33</v>
      </c>
      <c r="F21">
        <f>X21+'Notes and corrections'!H$42</f>
        <v>1844346.6026960001</v>
      </c>
      <c r="G21">
        <f>Y21+'Notes and corrections'!I$42</f>
        <v>5595797.2154965</v>
      </c>
      <c r="H21">
        <f>Z21+'Notes and corrections'!J$42</f>
        <v>357.67857225000006</v>
      </c>
      <c r="I21" t="s">
        <v>115</v>
      </c>
      <c r="J21" t="s">
        <v>116</v>
      </c>
      <c r="K21">
        <v>375.44099999999997</v>
      </c>
      <c r="L21">
        <v>1.98</v>
      </c>
      <c r="O21">
        <v>4.0000000000000001E-3</v>
      </c>
      <c r="P21">
        <v>0.01</v>
      </c>
      <c r="Q21" s="1">
        <v>42345</v>
      </c>
      <c r="R21" s="1">
        <v>42345</v>
      </c>
      <c r="S21">
        <v>1.0999999999999999E-2</v>
      </c>
      <c r="X21">
        <v>1844346.5730000001</v>
      </c>
      <c r="Y21">
        <v>5595797.2039999999</v>
      </c>
      <c r="Z21">
        <v>357.69600000000003</v>
      </c>
      <c r="AB21" s="23"/>
      <c r="AC21" s="23"/>
      <c r="AD21" s="23"/>
    </row>
    <row r="22" spans="1:30" x14ac:dyDescent="0.3">
      <c r="A22" s="5">
        <v>17</v>
      </c>
      <c r="B22">
        <v>17</v>
      </c>
      <c r="C22">
        <v>17</v>
      </c>
      <c r="D22" t="s">
        <v>19</v>
      </c>
      <c r="E22" t="s">
        <v>33</v>
      </c>
      <c r="F22">
        <f>X22+'Notes and corrections'!H$42</f>
        <v>1844523.3976960001</v>
      </c>
      <c r="G22">
        <f>Y22+'Notes and corrections'!I$42</f>
        <v>5595824.9354964998</v>
      </c>
      <c r="H22">
        <f>Z22+'Notes and corrections'!J$42</f>
        <v>369.28857225000002</v>
      </c>
      <c r="I22" t="s">
        <v>138</v>
      </c>
      <c r="J22" t="s">
        <v>139</v>
      </c>
      <c r="K22">
        <v>387.06099999999998</v>
      </c>
      <c r="L22">
        <v>1.98</v>
      </c>
      <c r="O22">
        <v>6.0000000000000001E-3</v>
      </c>
      <c r="P22">
        <v>1.0999999999999999E-2</v>
      </c>
      <c r="Q22" s="1">
        <v>42345</v>
      </c>
      <c r="R22" s="1">
        <v>42345</v>
      </c>
      <c r="S22">
        <v>2E-3</v>
      </c>
      <c r="X22">
        <v>1844523.368</v>
      </c>
      <c r="Y22">
        <v>5595824.9239999996</v>
      </c>
      <c r="Z22">
        <v>369.30599999999998</v>
      </c>
      <c r="AB22" s="23"/>
      <c r="AC22" s="23"/>
      <c r="AD22" s="23"/>
    </row>
    <row r="23" spans="1:30" x14ac:dyDescent="0.3">
      <c r="A23" s="5">
        <v>18</v>
      </c>
      <c r="B23">
        <v>15</v>
      </c>
      <c r="C23">
        <v>18</v>
      </c>
      <c r="D23" t="s">
        <v>19</v>
      </c>
      <c r="E23" t="s">
        <v>33</v>
      </c>
      <c r="F23">
        <f>X23+'Notes and corrections'!H$42</f>
        <v>1844708.043696</v>
      </c>
      <c r="G23">
        <f>Y23+'Notes and corrections'!I$42</f>
        <v>5595726.7234965004</v>
      </c>
      <c r="H23">
        <f>Z23+'Notes and corrections'!J$42</f>
        <v>376.12657225000004</v>
      </c>
      <c r="I23" t="s">
        <v>134</v>
      </c>
      <c r="J23" t="s">
        <v>135</v>
      </c>
      <c r="K23">
        <v>393.89800000000002</v>
      </c>
      <c r="L23">
        <v>1.98</v>
      </c>
      <c r="O23">
        <v>7.0000000000000001E-3</v>
      </c>
      <c r="P23">
        <v>1.0999999999999999E-2</v>
      </c>
      <c r="Q23" s="1">
        <v>42345</v>
      </c>
      <c r="R23" s="1">
        <v>42345</v>
      </c>
      <c r="S23">
        <v>4.0000000000000001E-3</v>
      </c>
      <c r="X23">
        <v>1844708.014</v>
      </c>
      <c r="Y23">
        <v>5595726.7120000003</v>
      </c>
      <c r="Z23">
        <v>376.14400000000001</v>
      </c>
      <c r="AB23" s="23"/>
      <c r="AC23" s="23"/>
      <c r="AD23" s="23"/>
    </row>
    <row r="24" spans="1:30" x14ac:dyDescent="0.3">
      <c r="A24" s="5">
        <v>19</v>
      </c>
      <c r="B24" s="21">
        <v>14</v>
      </c>
      <c r="C24" s="21">
        <v>19</v>
      </c>
      <c r="D24" s="21" t="s">
        <v>19</v>
      </c>
      <c r="E24" s="21" t="s">
        <v>33</v>
      </c>
      <c r="F24" s="21">
        <f>X24+'Notes and corrections'!H$42</f>
        <v>1844646.4096959999</v>
      </c>
      <c r="G24" s="21">
        <f>Y24+'Notes and corrections'!I$42</f>
        <v>5595689.6344964998</v>
      </c>
      <c r="H24" s="21">
        <f>Z24+'Notes and corrections'!J$42</f>
        <v>360.47857225000001</v>
      </c>
      <c r="I24" s="21" t="s">
        <v>132</v>
      </c>
      <c r="J24" s="21" t="s">
        <v>133</v>
      </c>
      <c r="K24" s="21">
        <v>378.24400000000003</v>
      </c>
      <c r="L24" s="21">
        <v>1.98</v>
      </c>
      <c r="O24" s="21">
        <v>0.01</v>
      </c>
      <c r="P24" s="21">
        <v>1.7000000000000001E-2</v>
      </c>
      <c r="Q24" s="1">
        <v>42345</v>
      </c>
      <c r="R24" s="1">
        <v>42345</v>
      </c>
      <c r="S24" s="21">
        <v>4.0000000000000001E-3</v>
      </c>
      <c r="X24">
        <v>1844646.38</v>
      </c>
      <c r="Y24">
        <v>5595689.6229999997</v>
      </c>
      <c r="Z24">
        <v>360.49599999999998</v>
      </c>
      <c r="AB24" s="23"/>
      <c r="AC24" s="23"/>
      <c r="AD24" s="23"/>
    </row>
    <row r="25" spans="1:30" x14ac:dyDescent="0.3">
      <c r="A25" s="5">
        <v>20</v>
      </c>
      <c r="B25">
        <v>12</v>
      </c>
      <c r="C25">
        <v>23</v>
      </c>
      <c r="D25" t="s">
        <v>19</v>
      </c>
      <c r="E25" t="s">
        <v>33</v>
      </c>
      <c r="F25">
        <f>X25+'Notes and corrections'!H$42</f>
        <v>1844629.188696</v>
      </c>
      <c r="G25">
        <f>Y25+'Notes and corrections'!I$42</f>
        <v>5595618.3024965003</v>
      </c>
      <c r="H25">
        <f>Z25+'Notes and corrections'!J$42</f>
        <v>334.88957225000001</v>
      </c>
      <c r="I25" t="s">
        <v>128</v>
      </c>
      <c r="J25" t="s">
        <v>129</v>
      </c>
      <c r="K25">
        <v>352.64699999999999</v>
      </c>
      <c r="L25">
        <v>1.98</v>
      </c>
      <c r="O25">
        <v>1.0999999999999999E-2</v>
      </c>
      <c r="P25">
        <v>1.9E-2</v>
      </c>
      <c r="Q25" s="1">
        <v>42345</v>
      </c>
      <c r="R25" s="1">
        <v>42345</v>
      </c>
      <c r="S25">
        <v>6.0000000000000001E-3</v>
      </c>
      <c r="X25">
        <v>1844629.159</v>
      </c>
      <c r="Y25">
        <v>5595618.2910000002</v>
      </c>
      <c r="Z25">
        <v>334.90699999999998</v>
      </c>
      <c r="AB25" s="23"/>
      <c r="AC25" s="23"/>
      <c r="AD25" s="23"/>
    </row>
    <row r="26" spans="1:30" x14ac:dyDescent="0.3">
      <c r="A26" s="5">
        <v>21</v>
      </c>
      <c r="B26">
        <v>0</v>
      </c>
      <c r="C26">
        <v>22</v>
      </c>
      <c r="D26" t="s">
        <v>19</v>
      </c>
      <c r="E26" t="s">
        <v>33</v>
      </c>
      <c r="F26">
        <f>X26+'Notes and corrections'!H$42</f>
        <v>1844483.2176960001</v>
      </c>
      <c r="G26">
        <f>Y26+'Notes and corrections'!I$42</f>
        <v>5595564.5834964998</v>
      </c>
      <c r="H26">
        <f>Z26+'Notes and corrections'!J$42</f>
        <v>313.09257225000005</v>
      </c>
      <c r="I26" t="s">
        <v>105</v>
      </c>
      <c r="J26" t="s">
        <v>106</v>
      </c>
      <c r="K26">
        <v>330.83800000000002</v>
      </c>
      <c r="L26">
        <v>1.98</v>
      </c>
      <c r="O26">
        <v>8.9999999999999993E-3</v>
      </c>
      <c r="P26">
        <v>2.1999999999999999E-2</v>
      </c>
      <c r="Q26" s="1">
        <v>42345</v>
      </c>
      <c r="R26" s="1">
        <v>42345</v>
      </c>
      <c r="S26">
        <v>1.0999999999999999E-2</v>
      </c>
      <c r="X26">
        <v>1844483.1880000001</v>
      </c>
      <c r="Y26">
        <v>5595564.5719999997</v>
      </c>
      <c r="Z26">
        <v>313.11</v>
      </c>
      <c r="AB26" s="23"/>
      <c r="AC26" s="23"/>
      <c r="AD26" s="23"/>
    </row>
    <row r="27" spans="1:30" x14ac:dyDescent="0.3">
      <c r="A27" s="5">
        <v>22</v>
      </c>
      <c r="B27" s="12">
        <v>4</v>
      </c>
      <c r="C27" s="12">
        <v>20</v>
      </c>
      <c r="D27" s="12" t="s">
        <v>19</v>
      </c>
      <c r="E27" s="12" t="s">
        <v>33</v>
      </c>
      <c r="F27" s="12">
        <f>X27+'Notes and corrections'!H$42</f>
        <v>1844431.840696</v>
      </c>
      <c r="G27" s="12">
        <f>Y27+'Notes and corrections'!I$42</f>
        <v>5595463.8124965001</v>
      </c>
      <c r="H27" s="12">
        <f>Z27+'Notes and corrections'!J$42</f>
        <v>306.31757225000001</v>
      </c>
      <c r="I27" s="12" t="s">
        <v>113</v>
      </c>
      <c r="J27" s="12" t="s">
        <v>114</v>
      </c>
      <c r="K27" s="12">
        <v>324.05200000000002</v>
      </c>
      <c r="L27" s="12">
        <v>1.98</v>
      </c>
      <c r="M27" s="12"/>
      <c r="N27" s="12"/>
      <c r="O27" s="12">
        <v>4.4999999999999998E-2</v>
      </c>
      <c r="P27" s="12">
        <v>0.106</v>
      </c>
      <c r="Q27" s="13">
        <v>42345</v>
      </c>
      <c r="R27" s="13">
        <v>42345</v>
      </c>
      <c r="S27" s="12">
        <v>2.8000000000000001E-2</v>
      </c>
      <c r="T27" t="s">
        <v>464</v>
      </c>
      <c r="V27" s="12"/>
      <c r="X27">
        <v>1844431.811</v>
      </c>
      <c r="Y27">
        <v>5595463.801</v>
      </c>
      <c r="Z27">
        <v>306.33499999999998</v>
      </c>
      <c r="AA27" t="s">
        <v>463</v>
      </c>
      <c r="AB27" s="23"/>
      <c r="AC27" s="23"/>
      <c r="AD27" s="23"/>
    </row>
    <row r="28" spans="1:30" x14ac:dyDescent="0.3">
      <c r="A28" s="5">
        <v>23</v>
      </c>
      <c r="B28">
        <v>3</v>
      </c>
      <c r="C28">
        <v>21</v>
      </c>
      <c r="D28" t="s">
        <v>19</v>
      </c>
      <c r="E28" t="s">
        <v>33</v>
      </c>
      <c r="F28">
        <f>X28+'Notes and corrections'!H$42</f>
        <v>1844380.7586960001</v>
      </c>
      <c r="G28">
        <f>Y28+'Notes and corrections'!I$42</f>
        <v>5595385.7834965</v>
      </c>
      <c r="H28">
        <f>Z28+'Notes and corrections'!J$42</f>
        <v>311.88057225000006</v>
      </c>
      <c r="I28" t="s">
        <v>111</v>
      </c>
      <c r="J28" t="s">
        <v>112</v>
      </c>
      <c r="K28">
        <v>329.60500000000002</v>
      </c>
      <c r="L28">
        <v>1.98</v>
      </c>
      <c r="O28">
        <v>2.1000000000000001E-2</v>
      </c>
      <c r="P28">
        <v>4.7E-2</v>
      </c>
      <c r="Q28" s="1">
        <v>42345</v>
      </c>
      <c r="R28" s="1">
        <v>42345</v>
      </c>
      <c r="S28">
        <v>1.7000000000000001E-2</v>
      </c>
      <c r="X28">
        <v>1844380.7290000001</v>
      </c>
      <c r="Y28">
        <v>5595385.7719999999</v>
      </c>
      <c r="Z28">
        <v>311.89800000000002</v>
      </c>
      <c r="AB28" s="23"/>
      <c r="AC28" s="23"/>
      <c r="AD28" s="23"/>
    </row>
    <row r="29" spans="1:30" x14ac:dyDescent="0.3">
      <c r="A29" s="5">
        <v>24</v>
      </c>
      <c r="B29">
        <v>1</v>
      </c>
      <c r="C29">
        <v>28</v>
      </c>
      <c r="D29" t="s">
        <v>19</v>
      </c>
      <c r="E29" t="s">
        <v>33</v>
      </c>
      <c r="F29">
        <f>X29+'Notes and corrections'!H$42</f>
        <v>1844362.6636960001</v>
      </c>
      <c r="G29">
        <f>Y29+'Notes and corrections'!I$42</f>
        <v>5595627.6774965003</v>
      </c>
      <c r="H29">
        <f>Z29+'Notes and corrections'!J$42</f>
        <v>326.97257225000004</v>
      </c>
      <c r="I29" t="s">
        <v>107</v>
      </c>
      <c r="J29" t="s">
        <v>108</v>
      </c>
      <c r="K29">
        <v>344.71899999999999</v>
      </c>
      <c r="L29">
        <v>1.98</v>
      </c>
      <c r="O29">
        <v>4.2999999999999997E-2</v>
      </c>
      <c r="P29">
        <v>7.1999999999999995E-2</v>
      </c>
      <c r="Q29" s="1">
        <v>42345</v>
      </c>
      <c r="R29" s="1">
        <v>42345</v>
      </c>
      <c r="S29">
        <v>6.0000000000000001E-3</v>
      </c>
      <c r="X29">
        <v>1844362.6340000001</v>
      </c>
      <c r="Y29">
        <v>5595627.6660000002</v>
      </c>
      <c r="Z29">
        <v>326.99</v>
      </c>
      <c r="AB29" s="23"/>
      <c r="AC29" s="23"/>
      <c r="AD29" s="23"/>
    </row>
    <row r="30" spans="1:30" x14ac:dyDescent="0.3">
      <c r="A30" s="5">
        <v>25</v>
      </c>
      <c r="B30">
        <v>11</v>
      </c>
      <c r="C30">
        <v>27</v>
      </c>
      <c r="D30" t="s">
        <v>19</v>
      </c>
      <c r="E30" t="s">
        <v>33</v>
      </c>
      <c r="F30">
        <f>X30+'Notes and corrections'!H$42</f>
        <v>1844337.6026960001</v>
      </c>
      <c r="G30">
        <f>Y30+'Notes and corrections'!I$42</f>
        <v>5595538.6364965001</v>
      </c>
      <c r="H30">
        <f>Z30+'Notes and corrections'!J$42</f>
        <v>317.20157225000003</v>
      </c>
      <c r="I30" t="s">
        <v>126</v>
      </c>
      <c r="J30" t="s">
        <v>127</v>
      </c>
      <c r="K30">
        <v>334.93900000000002</v>
      </c>
      <c r="L30">
        <v>1.98</v>
      </c>
      <c r="O30">
        <v>2.5000000000000001E-2</v>
      </c>
      <c r="P30">
        <v>3.5999999999999997E-2</v>
      </c>
      <c r="Q30" s="1">
        <v>42345</v>
      </c>
      <c r="R30" s="1">
        <v>42345</v>
      </c>
      <c r="S30">
        <v>1.2999999999999999E-2</v>
      </c>
      <c r="X30">
        <v>1844337.5730000001</v>
      </c>
      <c r="Y30">
        <v>5595538.625</v>
      </c>
      <c r="Z30">
        <v>317.21899999999999</v>
      </c>
      <c r="AB30" s="23"/>
      <c r="AC30" s="23"/>
      <c r="AD30" s="23"/>
    </row>
    <row r="31" spans="1:30" x14ac:dyDescent="0.3">
      <c r="A31" s="5">
        <v>26</v>
      </c>
      <c r="B31">
        <v>2</v>
      </c>
      <c r="C31">
        <v>26</v>
      </c>
      <c r="D31" t="s">
        <v>19</v>
      </c>
      <c r="E31" t="s">
        <v>33</v>
      </c>
      <c r="F31">
        <f>X31+'Notes and corrections'!H$42</f>
        <v>1844303.2516960001</v>
      </c>
      <c r="G31">
        <f>Y31+'Notes and corrections'!I$42</f>
        <v>5595520.2004965004</v>
      </c>
      <c r="H31">
        <f>Z31+'Notes and corrections'!J$42</f>
        <v>314.39157225000002</v>
      </c>
      <c r="I31" t="s">
        <v>109</v>
      </c>
      <c r="J31" t="s">
        <v>110</v>
      </c>
      <c r="K31">
        <v>332.12599999999998</v>
      </c>
      <c r="L31">
        <v>1.98</v>
      </c>
      <c r="O31">
        <v>8.0000000000000002E-3</v>
      </c>
      <c r="P31">
        <v>1.6E-2</v>
      </c>
      <c r="Q31" s="1">
        <v>42345</v>
      </c>
      <c r="R31" s="1">
        <v>42345</v>
      </c>
      <c r="S31">
        <v>7.0000000000000001E-3</v>
      </c>
      <c r="X31">
        <v>1844303.2220000001</v>
      </c>
      <c r="Y31">
        <v>5595520.1890000002</v>
      </c>
      <c r="Z31">
        <v>314.40899999999999</v>
      </c>
      <c r="AB31" s="23"/>
      <c r="AC31" s="23"/>
      <c r="AD31" s="23"/>
    </row>
    <row r="32" spans="1:30" x14ac:dyDescent="0.3">
      <c r="A32" s="5">
        <v>27</v>
      </c>
      <c r="B32">
        <v>10</v>
      </c>
      <c r="C32">
        <v>25</v>
      </c>
      <c r="D32" t="s">
        <v>19</v>
      </c>
      <c r="E32" t="s">
        <v>33</v>
      </c>
      <c r="F32">
        <f>X32+'Notes and corrections'!H$42</f>
        <v>1844185.161696</v>
      </c>
      <c r="G32">
        <f>Y32+'Notes and corrections'!I$42</f>
        <v>5595587.6174964998</v>
      </c>
      <c r="H32">
        <f>Z32+'Notes and corrections'!J$42</f>
        <v>355.93657225000004</v>
      </c>
      <c r="I32" t="s">
        <v>124</v>
      </c>
      <c r="J32" t="s">
        <v>125</v>
      </c>
      <c r="K32">
        <v>373.67099999999999</v>
      </c>
      <c r="L32">
        <v>1.98</v>
      </c>
      <c r="O32">
        <v>1.4E-2</v>
      </c>
      <c r="P32">
        <v>1.9E-2</v>
      </c>
      <c r="Q32" s="1">
        <v>42345</v>
      </c>
      <c r="R32" s="1">
        <v>42345</v>
      </c>
      <c r="S32">
        <v>8.9999999999999993E-3</v>
      </c>
      <c r="X32">
        <v>1844185.132</v>
      </c>
      <c r="Y32">
        <v>5595587.6059999997</v>
      </c>
      <c r="Z32">
        <v>355.95400000000001</v>
      </c>
      <c r="AB32" s="23"/>
      <c r="AC32" s="23"/>
      <c r="AD32" s="23"/>
    </row>
    <row r="33" spans="1:30" x14ac:dyDescent="0.3">
      <c r="A33" s="5">
        <v>28</v>
      </c>
      <c r="AB33" s="23"/>
      <c r="AC33" s="23"/>
      <c r="AD33" s="23"/>
    </row>
    <row r="34" spans="1:30" x14ac:dyDescent="0.3">
      <c r="A34" s="5">
        <v>29</v>
      </c>
      <c r="B34" s="21"/>
      <c r="C34" s="21"/>
      <c r="D34" s="21"/>
      <c r="E34" s="21"/>
      <c r="F34" s="21"/>
      <c r="G34" s="21"/>
      <c r="H34" s="21"/>
      <c r="I34" s="21"/>
      <c r="J34" s="21"/>
      <c r="K34" s="21"/>
      <c r="L34" s="21"/>
      <c r="O34" s="21"/>
      <c r="P34" s="21"/>
      <c r="Q34" s="1"/>
      <c r="R34" s="1"/>
      <c r="S34" s="21"/>
      <c r="W34" s="21"/>
      <c r="X34" s="21"/>
      <c r="Y34" s="21"/>
      <c r="Z34" s="21"/>
      <c r="AB34" s="23"/>
      <c r="AC34" s="23"/>
      <c r="AD34" s="23"/>
    </row>
    <row r="35" spans="1:30" x14ac:dyDescent="0.3">
      <c r="A35" s="5" t="s">
        <v>26</v>
      </c>
      <c r="B35">
        <v>13</v>
      </c>
      <c r="C35" t="s">
        <v>26</v>
      </c>
      <c r="D35" t="s">
        <v>19</v>
      </c>
      <c r="E35" t="s">
        <v>33</v>
      </c>
      <c r="F35">
        <f>X35+'Notes and corrections'!H$42</f>
        <v>1844715.2516960001</v>
      </c>
      <c r="G35">
        <f>Y35+'Notes and corrections'!I$42</f>
        <v>5595571.2434965</v>
      </c>
      <c r="H35">
        <f>Z35+'Notes and corrections'!J$42</f>
        <v>340.28657225000001</v>
      </c>
      <c r="I35" t="s">
        <v>130</v>
      </c>
      <c r="J35" t="s">
        <v>131</v>
      </c>
      <c r="K35">
        <v>358.04399999999998</v>
      </c>
      <c r="L35">
        <v>1.98</v>
      </c>
      <c r="O35">
        <v>8.0000000000000002E-3</v>
      </c>
      <c r="P35">
        <v>1.4E-2</v>
      </c>
      <c r="Q35" s="1">
        <v>42345</v>
      </c>
      <c r="R35" s="1">
        <v>42345</v>
      </c>
      <c r="S35">
        <v>7.0000000000000001E-3</v>
      </c>
      <c r="X35">
        <v>1844715.2220000001</v>
      </c>
      <c r="Y35">
        <v>5595571.2319999998</v>
      </c>
      <c r="Z35">
        <v>340.30399999999997</v>
      </c>
      <c r="AB35" s="23"/>
      <c r="AC35" s="23"/>
      <c r="AD35" s="23"/>
    </row>
    <row r="36" spans="1:30" x14ac:dyDescent="0.3">
      <c r="B36" s="21"/>
      <c r="C36" s="21"/>
      <c r="D36" s="21"/>
      <c r="E36" s="21"/>
      <c r="F36" s="21"/>
      <c r="G36" s="21"/>
      <c r="H36" s="21"/>
      <c r="I36" s="21"/>
      <c r="J36" s="21"/>
      <c r="K36" s="21"/>
      <c r="L36" s="21"/>
      <c r="O36" s="21"/>
      <c r="P36" s="21"/>
      <c r="Q36" s="1"/>
      <c r="R36" s="1"/>
      <c r="S36" s="21"/>
      <c r="W36" s="21"/>
      <c r="X36" s="21"/>
      <c r="Y36" s="21"/>
      <c r="Z36" s="21"/>
      <c r="AB36" s="23"/>
      <c r="AC36" s="23"/>
      <c r="AD36" s="23"/>
    </row>
    <row r="37" spans="1:30" x14ac:dyDescent="0.3">
      <c r="B37">
        <v>8</v>
      </c>
      <c r="C37" t="s">
        <v>534</v>
      </c>
      <c r="D37" t="s">
        <v>19</v>
      </c>
      <c r="E37" t="s">
        <v>33</v>
      </c>
      <c r="F37">
        <f>X37+'Notes and corrections'!H$42</f>
        <v>1844327.1696959999</v>
      </c>
      <c r="G37">
        <f>Y37+'Notes and corrections'!I$42</f>
        <v>5596603.3484965004</v>
      </c>
      <c r="H37">
        <f>Z37+'Notes and corrections'!J$42</f>
        <v>430.49657225000004</v>
      </c>
      <c r="I37" t="s">
        <v>120</v>
      </c>
      <c r="J37" t="s">
        <v>121</v>
      </c>
      <c r="K37">
        <v>448.33600000000001</v>
      </c>
      <c r="L37">
        <v>1.98</v>
      </c>
      <c r="O37">
        <v>8.0000000000000002E-3</v>
      </c>
      <c r="P37">
        <v>1.2999999999999999E-2</v>
      </c>
      <c r="Q37" s="1">
        <v>42345</v>
      </c>
      <c r="R37" s="1">
        <v>42345</v>
      </c>
      <c r="S37">
        <v>2E-3</v>
      </c>
      <c r="X37">
        <v>1844327.14</v>
      </c>
      <c r="Y37">
        <v>5596603.3370000003</v>
      </c>
      <c r="Z37">
        <v>430.51400000000001</v>
      </c>
      <c r="AB37" s="23"/>
      <c r="AC37" s="23"/>
      <c r="AD37" s="23"/>
    </row>
    <row r="38" spans="1:30" x14ac:dyDescent="0.3">
      <c r="AB38" s="23"/>
      <c r="AC38" s="23"/>
      <c r="AD38" s="23"/>
    </row>
    <row r="39" spans="1:30" x14ac:dyDescent="0.3">
      <c r="AB39" s="23"/>
      <c r="AC39" s="23"/>
      <c r="AD39" s="23"/>
    </row>
    <row r="40" spans="1:30" x14ac:dyDescent="0.3">
      <c r="D40" t="s">
        <v>473</v>
      </c>
      <c r="E40">
        <v>2</v>
      </c>
      <c r="F40">
        <f>F37-F7</f>
        <v>1.6999999992549419E-2</v>
      </c>
      <c r="G40" s="21">
        <f>G37-G7</f>
        <v>7.0000002160668373E-3</v>
      </c>
      <c r="H40" s="21">
        <f>H37-H7</f>
        <v>-3.999999999962256E-3</v>
      </c>
      <c r="O40" s="7">
        <f>MAX(O2:O37)</f>
        <v>4.4999999999999998E-2</v>
      </c>
      <c r="P40" s="7">
        <f>MAX(P2:P37)</f>
        <v>0.106</v>
      </c>
    </row>
    <row r="41" spans="1:30" x14ac:dyDescent="0.3">
      <c r="F41" s="19"/>
      <c r="G41" s="19"/>
      <c r="H41" s="19"/>
      <c r="O41" s="7">
        <f>AVERAGE(O2:O37)</f>
        <v>1.1333333333333336E-2</v>
      </c>
      <c r="P41" s="7">
        <f>AVERAGE(P2:P37)</f>
        <v>2.066666666666667E-2</v>
      </c>
    </row>
    <row r="42" spans="1:30" x14ac:dyDescent="0.3">
      <c r="O42" s="7">
        <f>_xlfn.STDEV.S(O2:O37)</f>
        <v>9.9838950775506512E-3</v>
      </c>
      <c r="P42" s="7">
        <f>_xlfn.STDEV.S(P2:P37)</f>
        <v>2.0743646028958177E-2</v>
      </c>
    </row>
  </sheetData>
  <sortState xmlns:xlrd2="http://schemas.microsoft.com/office/spreadsheetml/2017/richdata2" ref="B6:Z37">
    <sortCondition ref="C6:C37"/>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AK87"/>
  <sheetViews>
    <sheetView zoomScale="70" zoomScaleNormal="70" workbookViewId="0">
      <selection activeCell="AD46" sqref="AD46"/>
    </sheetView>
  </sheetViews>
  <sheetFormatPr defaultRowHeight="14.4" x14ac:dyDescent="0.3"/>
  <cols>
    <col min="6" max="6" width="11.88671875" customWidth="1"/>
    <col min="7" max="7" width="11.5546875" customWidth="1"/>
    <col min="12" max="12" width="9.109375" style="21"/>
    <col min="17" max="17" width="12.33203125" customWidth="1"/>
    <col min="30" max="30" width="13.33203125" customWidth="1"/>
    <col min="31" max="31" width="12" customWidth="1"/>
    <col min="32" max="32" width="11.44140625" customWidth="1"/>
  </cols>
  <sheetData>
    <row r="1" spans="1:37" x14ac:dyDescent="0.3">
      <c r="Z1" t="s">
        <v>395</v>
      </c>
    </row>
    <row r="2" spans="1:37" x14ac:dyDescent="0.3">
      <c r="A2" s="5" t="s">
        <v>535</v>
      </c>
      <c r="B2" t="s">
        <v>0</v>
      </c>
      <c r="C2" t="s">
        <v>1</v>
      </c>
      <c r="D2" t="s">
        <v>2</v>
      </c>
      <c r="E2" t="s">
        <v>89</v>
      </c>
      <c r="F2" t="s">
        <v>5</v>
      </c>
      <c r="G2" t="s">
        <v>6</v>
      </c>
      <c r="H2" t="s">
        <v>7</v>
      </c>
      <c r="I2" t="s">
        <v>90</v>
      </c>
      <c r="J2" t="s">
        <v>91</v>
      </c>
      <c r="K2" t="s">
        <v>92</v>
      </c>
      <c r="M2" t="s">
        <v>98</v>
      </c>
      <c r="N2" t="s">
        <v>93</v>
      </c>
      <c r="O2" t="s">
        <v>96</v>
      </c>
      <c r="P2" t="s">
        <v>97</v>
      </c>
      <c r="Q2" t="s">
        <v>94</v>
      </c>
      <c r="R2" t="s">
        <v>95</v>
      </c>
      <c r="S2" t="s">
        <v>99</v>
      </c>
      <c r="T2" t="s">
        <v>100</v>
      </c>
      <c r="U2" t="s">
        <v>101</v>
      </c>
      <c r="V2" t="s">
        <v>102</v>
      </c>
      <c r="W2" t="s">
        <v>103</v>
      </c>
      <c r="X2" t="s">
        <v>104</v>
      </c>
      <c r="Z2" t="s">
        <v>5</v>
      </c>
      <c r="AA2" t="s">
        <v>6</v>
      </c>
      <c r="AB2" t="s">
        <v>7</v>
      </c>
    </row>
    <row r="3" spans="1:37" x14ac:dyDescent="0.3">
      <c r="A3" s="5" t="s">
        <v>18</v>
      </c>
      <c r="AD3" s="21"/>
      <c r="AE3" s="21"/>
      <c r="AF3" s="21"/>
    </row>
    <row r="4" spans="1:37" x14ac:dyDescent="0.3">
      <c r="A4" s="5" t="s">
        <v>23</v>
      </c>
      <c r="B4">
        <v>0</v>
      </c>
      <c r="C4" t="s">
        <v>166</v>
      </c>
      <c r="D4" t="s">
        <v>19</v>
      </c>
      <c r="E4" t="s">
        <v>23</v>
      </c>
      <c r="F4">
        <f>Z4-'Notes and corrections'!$H$32</f>
        <v>1844287.3108300001</v>
      </c>
      <c r="G4">
        <f>AA4-'Notes and corrections'!$I$32</f>
        <v>5596665.6572745005</v>
      </c>
      <c r="H4">
        <f>AB4-'Notes and corrections'!$J$32</f>
        <v>432.59254575</v>
      </c>
      <c r="I4" t="s">
        <v>167</v>
      </c>
      <c r="J4" t="s">
        <v>168</v>
      </c>
      <c r="K4">
        <v>450.44900000000001</v>
      </c>
      <c r="M4">
        <v>2E-3</v>
      </c>
      <c r="N4">
        <v>1.98</v>
      </c>
      <c r="O4">
        <v>6.0000000000000001E-3</v>
      </c>
      <c r="P4">
        <v>0.01</v>
      </c>
      <c r="Q4" s="1">
        <v>42277</v>
      </c>
      <c r="R4" s="1">
        <v>42277</v>
      </c>
      <c r="S4">
        <v>1.244</v>
      </c>
      <c r="T4" t="s">
        <v>19</v>
      </c>
      <c r="U4">
        <v>0.67200000000000004</v>
      </c>
      <c r="V4">
        <v>1.0469999999999999</v>
      </c>
      <c r="W4">
        <v>15</v>
      </c>
      <c r="X4">
        <v>10</v>
      </c>
      <c r="Z4">
        <v>1844287.2749999999</v>
      </c>
      <c r="AA4">
        <v>5596665.6840000004</v>
      </c>
      <c r="AB4">
        <v>432.62299999999999</v>
      </c>
      <c r="AD4" s="23">
        <f>F4-'Dec2015'!X4</f>
        <v>3.0830000061541796E-2</v>
      </c>
      <c r="AE4" s="23">
        <f>G4-'Dec2015'!Y4</f>
        <v>-1.8725499510765076E-2</v>
      </c>
      <c r="AF4" s="23">
        <f>H4-'Dec2015'!Z4</f>
        <v>-3.5454249999986587E-2</v>
      </c>
    </row>
    <row r="5" spans="1:37" s="21" customFormat="1" x14ac:dyDescent="0.3">
      <c r="A5" s="5" t="s">
        <v>551</v>
      </c>
      <c r="Q5" s="1"/>
      <c r="R5" s="2"/>
    </row>
    <row r="6" spans="1:37" x14ac:dyDescent="0.3">
      <c r="A6" s="5">
        <v>1</v>
      </c>
      <c r="B6">
        <v>1</v>
      </c>
      <c r="C6" t="s">
        <v>169</v>
      </c>
      <c r="D6" t="s">
        <v>19</v>
      </c>
      <c r="E6" t="s">
        <v>33</v>
      </c>
      <c r="F6">
        <f>Z6-'Notes and corrections'!$H$32</f>
        <v>1844611.3638300002</v>
      </c>
      <c r="G6">
        <f>AA6-'Notes and corrections'!$I$32</f>
        <v>5596719.8052745005</v>
      </c>
      <c r="H6">
        <f>AB6-'Notes and corrections'!$J$32</f>
        <v>439.01954575000002</v>
      </c>
      <c r="I6" t="s">
        <v>170</v>
      </c>
      <c r="J6" t="s">
        <v>171</v>
      </c>
      <c r="K6">
        <v>456.89600000000002</v>
      </c>
      <c r="M6">
        <v>3.0000000000000001E-3</v>
      </c>
      <c r="N6">
        <v>1.98</v>
      </c>
      <c r="O6">
        <v>8.9999999999999993E-3</v>
      </c>
      <c r="P6">
        <v>1.4999999999999999E-2</v>
      </c>
      <c r="Q6" s="1">
        <v>42277</v>
      </c>
      <c r="R6" s="1">
        <v>42277</v>
      </c>
      <c r="S6">
        <v>2.0169999999999999</v>
      </c>
      <c r="T6" t="s">
        <v>19</v>
      </c>
      <c r="U6">
        <v>1.0920000000000001</v>
      </c>
      <c r="V6">
        <v>1.6970000000000001</v>
      </c>
      <c r="W6">
        <v>15</v>
      </c>
      <c r="X6">
        <v>10</v>
      </c>
      <c r="Z6">
        <v>1844611.328</v>
      </c>
      <c r="AA6">
        <v>5596719.8320000004</v>
      </c>
      <c r="AB6">
        <v>439.05</v>
      </c>
      <c r="AD6" s="23">
        <f>F6-'Dec2015'!X6</f>
        <v>3.2830000156536698E-2</v>
      </c>
      <c r="AE6" s="23">
        <f>G6-'Dec2015'!Y6</f>
        <v>-2.7725499123334885E-2</v>
      </c>
      <c r="AF6" s="23">
        <f>H6-'Dec2015'!Z6</f>
        <v>-3.645424999996294E-2</v>
      </c>
    </row>
    <row r="7" spans="1:37" x14ac:dyDescent="0.3">
      <c r="A7" s="5">
        <v>2</v>
      </c>
      <c r="B7">
        <v>2</v>
      </c>
      <c r="C7" t="s">
        <v>172</v>
      </c>
      <c r="D7" t="s">
        <v>19</v>
      </c>
      <c r="E7" t="s">
        <v>33</v>
      </c>
      <c r="F7">
        <f>Z7-'Notes and corrections'!$H$32</f>
        <v>1844327.1768300002</v>
      </c>
      <c r="G7">
        <f>AA7-'Notes and corrections'!$I$32</f>
        <v>5596603.3052745005</v>
      </c>
      <c r="H7">
        <f>AB7-'Notes and corrections'!$J$32</f>
        <v>430.47754574999999</v>
      </c>
      <c r="I7" t="s">
        <v>173</v>
      </c>
      <c r="J7" t="s">
        <v>174</v>
      </c>
      <c r="K7">
        <v>448.33</v>
      </c>
      <c r="M7">
        <v>6.0000000000000001E-3</v>
      </c>
      <c r="N7">
        <v>1.98</v>
      </c>
      <c r="O7">
        <v>8.0000000000000002E-3</v>
      </c>
      <c r="P7">
        <v>1.0999999999999999E-2</v>
      </c>
      <c r="Q7" s="1">
        <v>42277</v>
      </c>
      <c r="R7" s="1">
        <v>42277</v>
      </c>
      <c r="S7">
        <v>2.5830000000000002</v>
      </c>
      <c r="T7" t="s">
        <v>19</v>
      </c>
      <c r="U7">
        <v>1.59</v>
      </c>
      <c r="V7">
        <v>2.036</v>
      </c>
      <c r="W7">
        <v>15</v>
      </c>
      <c r="X7">
        <v>7</v>
      </c>
      <c r="Z7">
        <v>1844327.1410000001</v>
      </c>
      <c r="AA7">
        <v>5596603.3320000004</v>
      </c>
      <c r="AB7">
        <v>430.50799999999998</v>
      </c>
      <c r="AD7" s="23">
        <f>F7-'Dec2015'!X7</f>
        <v>5.3830000339075923E-2</v>
      </c>
      <c r="AE7" s="23">
        <f>G7-'Dec2015'!Y7</f>
        <v>-2.472549956291914E-2</v>
      </c>
      <c r="AF7" s="23">
        <f>H7-'Dec2015'!Z7</f>
        <v>-4.0454249999982039E-2</v>
      </c>
      <c r="AG7" s="21"/>
    </row>
    <row r="8" spans="1:37" x14ac:dyDescent="0.3">
      <c r="A8" s="5">
        <v>3</v>
      </c>
      <c r="B8">
        <v>3</v>
      </c>
      <c r="C8" t="s">
        <v>175</v>
      </c>
      <c r="D8" t="s">
        <v>19</v>
      </c>
      <c r="E8" t="s">
        <v>33</v>
      </c>
      <c r="F8">
        <f>Z8-'Notes and corrections'!$H$32</f>
        <v>1844275.8458300002</v>
      </c>
      <c r="G8">
        <f>AA8-'Notes and corrections'!$I$32</f>
        <v>5596483.0532745002</v>
      </c>
      <c r="H8">
        <f>AB8-'Notes and corrections'!$J$32</f>
        <v>434.69554575000001</v>
      </c>
      <c r="I8" t="s">
        <v>176</v>
      </c>
      <c r="J8" t="s">
        <v>177</v>
      </c>
      <c r="K8">
        <v>452.53399999999999</v>
      </c>
      <c r="M8">
        <v>3.0000000000000001E-3</v>
      </c>
      <c r="N8">
        <v>1.98</v>
      </c>
      <c r="O8">
        <v>7.0000000000000001E-3</v>
      </c>
      <c r="P8">
        <v>1.2E-2</v>
      </c>
      <c r="Q8" s="1">
        <v>42277</v>
      </c>
      <c r="R8" s="1">
        <v>42277</v>
      </c>
      <c r="S8">
        <v>1.3680000000000001</v>
      </c>
      <c r="T8" t="s">
        <v>19</v>
      </c>
      <c r="U8">
        <v>0.64600000000000002</v>
      </c>
      <c r="V8">
        <v>1.206</v>
      </c>
      <c r="W8">
        <v>15</v>
      </c>
      <c r="X8">
        <v>9</v>
      </c>
      <c r="Z8">
        <v>1844275.81</v>
      </c>
      <c r="AA8">
        <v>5596483.0800000001</v>
      </c>
      <c r="AB8">
        <v>434.726</v>
      </c>
      <c r="AD8" s="23">
        <f>F8-'Dec2015'!X8</f>
        <v>4.5830000191926956E-2</v>
      </c>
      <c r="AE8" s="23">
        <f>G8-'Dec2015'!Y8</f>
        <v>2.2745002061128616E-3</v>
      </c>
      <c r="AF8" s="23">
        <f>H8-'Dec2015'!Z8</f>
        <v>-5.3454250000015691E-2</v>
      </c>
      <c r="AG8" s="21"/>
    </row>
    <row r="9" spans="1:37" x14ac:dyDescent="0.3">
      <c r="A9" s="5">
        <v>4</v>
      </c>
      <c r="B9">
        <v>4</v>
      </c>
      <c r="C9" t="s">
        <v>178</v>
      </c>
      <c r="D9" t="s">
        <v>19</v>
      </c>
      <c r="E9" t="s">
        <v>33</v>
      </c>
      <c r="F9">
        <f>Z9-'Notes and corrections'!$H$32</f>
        <v>1844444.4448300002</v>
      </c>
      <c r="G9">
        <f>AA9-'Notes and corrections'!$I$32</f>
        <v>5596429.1622745004</v>
      </c>
      <c r="H9">
        <f>AB9-'Notes and corrections'!$J$32</f>
        <v>421.90054574999999</v>
      </c>
      <c r="I9" t="s">
        <v>179</v>
      </c>
      <c r="J9" t="s">
        <v>180</v>
      </c>
      <c r="K9">
        <v>439.74099999999999</v>
      </c>
      <c r="M9">
        <v>3.0000000000000001E-3</v>
      </c>
      <c r="N9">
        <v>1.98</v>
      </c>
      <c r="O9">
        <v>6.0000000000000001E-3</v>
      </c>
      <c r="P9">
        <v>0.01</v>
      </c>
      <c r="Q9" s="1">
        <v>42277</v>
      </c>
      <c r="R9" s="1">
        <v>42277</v>
      </c>
      <c r="S9">
        <v>1.863</v>
      </c>
      <c r="T9" t="s">
        <v>19</v>
      </c>
      <c r="U9">
        <v>0.91500000000000004</v>
      </c>
      <c r="V9">
        <v>1.6220000000000001</v>
      </c>
      <c r="W9">
        <v>15</v>
      </c>
      <c r="X9">
        <v>9</v>
      </c>
      <c r="Z9">
        <v>1844444.409</v>
      </c>
      <c r="AA9">
        <v>5596429.1890000002</v>
      </c>
      <c r="AB9">
        <v>421.93099999999998</v>
      </c>
      <c r="AD9" s="23">
        <f>F9-'Dec2015'!X9</f>
        <v>1.7830000258982182E-2</v>
      </c>
      <c r="AE9" s="23">
        <f>G9-'Dec2015'!Y9</f>
        <v>-6.7254994064569473E-3</v>
      </c>
      <c r="AF9" s="23">
        <f>H9-'Dec2015'!Z9</f>
        <v>-3.345425000003388E-2</v>
      </c>
    </row>
    <row r="10" spans="1:37" x14ac:dyDescent="0.3">
      <c r="A10" s="5">
        <v>5</v>
      </c>
      <c r="B10" s="21">
        <v>5</v>
      </c>
      <c r="C10" s="21" t="s">
        <v>181</v>
      </c>
      <c r="D10" s="21" t="s">
        <v>19</v>
      </c>
      <c r="E10" s="21" t="s">
        <v>33</v>
      </c>
      <c r="F10" s="21">
        <f>Z10-'Notes and corrections'!$H$32</f>
        <v>1844577.6768300002</v>
      </c>
      <c r="G10" s="21">
        <f>AA10-'Notes and corrections'!$I$32</f>
        <v>5596364.9022744996</v>
      </c>
      <c r="H10" s="21">
        <f>AB10-'Notes and corrections'!$J$32</f>
        <v>414.70754575000001</v>
      </c>
      <c r="I10" s="21" t="s">
        <v>182</v>
      </c>
      <c r="J10" s="21" t="s">
        <v>183</v>
      </c>
      <c r="K10" s="21">
        <v>432.548</v>
      </c>
      <c r="M10" s="21">
        <v>3.0000000000000001E-3</v>
      </c>
      <c r="N10" s="21">
        <v>1.98</v>
      </c>
      <c r="O10" s="21">
        <v>7.0000000000000001E-3</v>
      </c>
      <c r="P10" s="21">
        <v>1.0999999999999999E-2</v>
      </c>
      <c r="Q10" s="1">
        <v>42277</v>
      </c>
      <c r="R10" s="1">
        <v>42277</v>
      </c>
      <c r="S10" s="21">
        <v>1.2729999999999999</v>
      </c>
      <c r="T10" s="21" t="s">
        <v>19</v>
      </c>
      <c r="U10" s="21">
        <v>0.66400000000000003</v>
      </c>
      <c r="V10" s="21">
        <v>1.087</v>
      </c>
      <c r="W10" s="21">
        <v>15</v>
      </c>
      <c r="X10" s="21">
        <v>11</v>
      </c>
      <c r="Z10">
        <v>1844577.6410000001</v>
      </c>
      <c r="AA10">
        <v>5596364.9289999995</v>
      </c>
      <c r="AB10">
        <v>414.738</v>
      </c>
      <c r="AD10" s="23">
        <f>F10-'Dec2015'!X10</f>
        <v>2.8830000199377537E-2</v>
      </c>
      <c r="AE10" s="23">
        <f>G10-'Dec2015'!Y10</f>
        <v>8.2744993269443512E-3</v>
      </c>
      <c r="AF10" s="23">
        <f>H10-'Dec2015'!Z10</f>
        <v>-3.5454249999986587E-2</v>
      </c>
    </row>
    <row r="11" spans="1:37" x14ac:dyDescent="0.3">
      <c r="A11" s="5">
        <v>6</v>
      </c>
      <c r="B11">
        <v>6</v>
      </c>
      <c r="C11" t="s">
        <v>184</v>
      </c>
      <c r="D11" t="s">
        <v>19</v>
      </c>
      <c r="E11" t="s">
        <v>33</v>
      </c>
      <c r="F11">
        <f>Z11-'Notes and corrections'!$H$32</f>
        <v>1844789.2688300002</v>
      </c>
      <c r="G11">
        <f>AA11-'Notes and corrections'!$I$32</f>
        <v>5596420.1272745002</v>
      </c>
      <c r="H11">
        <f>AB11-'Notes and corrections'!$J$32</f>
        <v>421.42154575000001</v>
      </c>
      <c r="I11" t="s">
        <v>185</v>
      </c>
      <c r="J11" t="s">
        <v>186</v>
      </c>
      <c r="K11">
        <v>439.27699999999999</v>
      </c>
      <c r="M11">
        <v>6.0000000000000001E-3</v>
      </c>
      <c r="N11">
        <v>2</v>
      </c>
      <c r="O11">
        <v>8.9999999999999993E-3</v>
      </c>
      <c r="P11">
        <v>1.2999999999999999E-2</v>
      </c>
      <c r="Q11" s="1">
        <v>42277</v>
      </c>
      <c r="R11" s="1">
        <v>42277</v>
      </c>
      <c r="S11">
        <v>0.95899999999999996</v>
      </c>
      <c r="T11" t="s">
        <v>19</v>
      </c>
      <c r="U11">
        <v>0.54500000000000004</v>
      </c>
      <c r="V11">
        <v>0.78900000000000003</v>
      </c>
      <c r="W11">
        <v>16</v>
      </c>
      <c r="X11">
        <v>9</v>
      </c>
      <c r="Z11">
        <v>1844789.233</v>
      </c>
      <c r="AA11">
        <v>5596420.1540000001</v>
      </c>
      <c r="AB11">
        <v>421.452</v>
      </c>
      <c r="AD11" s="23">
        <f>F11-'Dec2015'!X11</f>
        <v>6.0830000089481473E-2</v>
      </c>
      <c r="AE11" s="23">
        <f>G11-'Dec2015'!Y11</f>
        <v>-4.4725500047206879E-2</v>
      </c>
      <c r="AF11" s="23">
        <f>H11-'Dec2015'!Z11</f>
        <v>-5.1454250000006141E-2</v>
      </c>
    </row>
    <row r="12" spans="1:37" x14ac:dyDescent="0.3">
      <c r="A12" s="5">
        <v>7</v>
      </c>
      <c r="B12">
        <v>7</v>
      </c>
      <c r="C12" t="s">
        <v>187</v>
      </c>
      <c r="D12" t="s">
        <v>19</v>
      </c>
      <c r="E12" t="s">
        <v>33</v>
      </c>
      <c r="F12">
        <f>Z12-'Notes and corrections'!$H$32</f>
        <v>1844897.8618300001</v>
      </c>
      <c r="G12">
        <f>AA12-'Notes and corrections'!$I$32</f>
        <v>5596315.4352745004</v>
      </c>
      <c r="H12">
        <f>AB12-'Notes and corrections'!$J$32</f>
        <v>398.82654575000004</v>
      </c>
      <c r="I12" t="s">
        <v>188</v>
      </c>
      <c r="J12" t="s">
        <v>189</v>
      </c>
      <c r="K12">
        <v>416.67599999999999</v>
      </c>
      <c r="M12">
        <v>3.0000000000000001E-3</v>
      </c>
      <c r="N12">
        <v>1.98</v>
      </c>
      <c r="O12">
        <v>1.0999999999999999E-2</v>
      </c>
      <c r="P12">
        <v>1.6E-2</v>
      </c>
      <c r="Q12" s="1">
        <v>42277</v>
      </c>
      <c r="R12" s="1">
        <v>42277</v>
      </c>
      <c r="S12">
        <v>3.0960000000000001</v>
      </c>
      <c r="T12" t="s">
        <v>19</v>
      </c>
      <c r="U12">
        <v>1.833</v>
      </c>
      <c r="V12">
        <v>2.4950000000000001</v>
      </c>
      <c r="W12">
        <v>104</v>
      </c>
      <c r="X12">
        <v>6</v>
      </c>
      <c r="Z12">
        <v>1844897.8259999999</v>
      </c>
      <c r="AA12">
        <v>5596315.4620000003</v>
      </c>
      <c r="AB12">
        <v>398.85700000000003</v>
      </c>
      <c r="AD12" s="23">
        <f>F12-'Dec2015'!X12</f>
        <v>0.48482999997213483</v>
      </c>
      <c r="AE12" s="23">
        <f>G12-'Dec2015'!Y12</f>
        <v>-0.1867255000397563</v>
      </c>
      <c r="AF12" s="23">
        <f>H12-'Dec2015'!Z12</f>
        <v>-0.3154542499999593</v>
      </c>
    </row>
    <row r="13" spans="1:37" x14ac:dyDescent="0.3">
      <c r="A13" s="5">
        <v>8</v>
      </c>
      <c r="B13">
        <v>8</v>
      </c>
      <c r="C13" t="s">
        <v>190</v>
      </c>
      <c r="D13" t="s">
        <v>19</v>
      </c>
      <c r="E13" t="s">
        <v>33</v>
      </c>
      <c r="F13">
        <f>Z13-'Notes and corrections'!$H$32</f>
        <v>1844684.9268300002</v>
      </c>
      <c r="G13">
        <f>AA13-'Notes and corrections'!$I$32</f>
        <v>5596192.0952745005</v>
      </c>
      <c r="H13">
        <f>AB13-'Notes and corrections'!$J$32</f>
        <v>403.04654575000001</v>
      </c>
      <c r="I13" t="s">
        <v>191</v>
      </c>
      <c r="J13" t="s">
        <v>192</v>
      </c>
      <c r="K13">
        <v>420.87400000000002</v>
      </c>
      <c r="M13">
        <v>6.0000000000000001E-3</v>
      </c>
      <c r="N13">
        <v>1.98</v>
      </c>
      <c r="O13">
        <v>1.0999999999999999E-2</v>
      </c>
      <c r="P13">
        <v>1.4999999999999999E-2</v>
      </c>
      <c r="Q13" s="1">
        <v>42277</v>
      </c>
      <c r="R13" s="1">
        <v>42277</v>
      </c>
      <c r="S13">
        <v>1.248</v>
      </c>
      <c r="T13" t="s">
        <v>19</v>
      </c>
      <c r="U13">
        <v>0.74399999999999999</v>
      </c>
      <c r="V13">
        <v>1.002</v>
      </c>
      <c r="W13">
        <v>15</v>
      </c>
      <c r="X13">
        <v>8</v>
      </c>
      <c r="Z13">
        <v>1844684.8910000001</v>
      </c>
      <c r="AA13">
        <v>5596192.1220000004</v>
      </c>
      <c r="AB13">
        <v>403.077</v>
      </c>
      <c r="AD13" s="23">
        <f>F13-'Dec2015'!X13</f>
        <v>3.1830000225454569E-2</v>
      </c>
      <c r="AE13" s="23">
        <f>G13-'Dec2015'!Y13</f>
        <v>1.1274500750005245E-2</v>
      </c>
      <c r="AF13" s="23">
        <f>H13-'Dec2015'!Z13</f>
        <v>-2.7454250000005231E-2</v>
      </c>
    </row>
    <row r="14" spans="1:37" x14ac:dyDescent="0.3">
      <c r="A14" s="5">
        <v>9</v>
      </c>
      <c r="B14">
        <v>9</v>
      </c>
      <c r="C14" t="s">
        <v>193</v>
      </c>
      <c r="D14" t="s">
        <v>19</v>
      </c>
      <c r="E14" t="s">
        <v>33</v>
      </c>
      <c r="F14">
        <f>Z14-'Notes and corrections'!$H$32</f>
        <v>1844488.5858300002</v>
      </c>
      <c r="G14">
        <f>AA14-'Notes and corrections'!$I$32</f>
        <v>5596190.7072745003</v>
      </c>
      <c r="H14">
        <f>AB14-'Notes and corrections'!$J$32</f>
        <v>401.18154575</v>
      </c>
      <c r="I14" t="s">
        <v>194</v>
      </c>
      <c r="J14" t="s">
        <v>195</v>
      </c>
      <c r="K14">
        <v>419.00099999999998</v>
      </c>
      <c r="M14">
        <v>4.0000000000000001E-3</v>
      </c>
      <c r="N14">
        <v>1.98</v>
      </c>
      <c r="O14">
        <v>1.2E-2</v>
      </c>
      <c r="P14">
        <v>1.9E-2</v>
      </c>
      <c r="Q14" s="1">
        <v>42277</v>
      </c>
      <c r="R14" s="1">
        <v>42277</v>
      </c>
      <c r="S14">
        <v>3.9260000000000002</v>
      </c>
      <c r="T14" t="s">
        <v>19</v>
      </c>
      <c r="U14">
        <v>2.1160000000000001</v>
      </c>
      <c r="V14">
        <v>3.3069999999999999</v>
      </c>
      <c r="W14">
        <v>17</v>
      </c>
      <c r="X14">
        <v>7</v>
      </c>
      <c r="Z14">
        <v>1844488.55</v>
      </c>
      <c r="AA14">
        <v>5596190.7340000002</v>
      </c>
      <c r="AB14">
        <v>401.21199999999999</v>
      </c>
      <c r="AD14" s="23">
        <f>F14-'Dec2015'!X14</f>
        <v>1.9830000121146441E-2</v>
      </c>
      <c r="AE14" s="23">
        <f>G14-'Dec2015'!Y14</f>
        <v>3.4274499863386154E-2</v>
      </c>
      <c r="AF14" s="23">
        <f>H14-'Dec2015'!Z14</f>
        <v>-2.0454250000000229E-2</v>
      </c>
    </row>
    <row r="15" spans="1:37" x14ac:dyDescent="0.3">
      <c r="A15" s="5">
        <v>10</v>
      </c>
      <c r="B15">
        <v>10</v>
      </c>
      <c r="C15" t="s">
        <v>196</v>
      </c>
      <c r="D15" t="s">
        <v>19</v>
      </c>
      <c r="E15" t="s">
        <v>33</v>
      </c>
      <c r="F15">
        <f>Z15-'Notes and corrections'!$H$32</f>
        <v>1844340.2988300002</v>
      </c>
      <c r="G15">
        <f>AA15-'Notes and corrections'!$I$32</f>
        <v>5596229.3542745002</v>
      </c>
      <c r="H15">
        <f>AB15-'Notes and corrections'!$J$32</f>
        <v>405.88254575000002</v>
      </c>
      <c r="I15" t="s">
        <v>197</v>
      </c>
      <c r="J15" t="s">
        <v>198</v>
      </c>
      <c r="K15">
        <v>423.69799999999998</v>
      </c>
      <c r="M15">
        <v>3.0000000000000001E-3</v>
      </c>
      <c r="N15">
        <v>1.98</v>
      </c>
      <c r="O15">
        <v>7.0000000000000001E-3</v>
      </c>
      <c r="P15">
        <v>1.0999999999999999E-2</v>
      </c>
      <c r="Q15" s="1">
        <v>42277</v>
      </c>
      <c r="R15" s="1">
        <v>42277</v>
      </c>
      <c r="S15">
        <v>4.9610000000000003</v>
      </c>
      <c r="T15" t="s">
        <v>19</v>
      </c>
      <c r="U15">
        <v>2.6890000000000001</v>
      </c>
      <c r="V15">
        <v>4.1689999999999996</v>
      </c>
      <c r="W15">
        <v>32</v>
      </c>
      <c r="X15">
        <v>6</v>
      </c>
      <c r="Z15">
        <v>1844340.263</v>
      </c>
      <c r="AA15">
        <v>5596229.3810000001</v>
      </c>
      <c r="AB15">
        <v>405.91300000000001</v>
      </c>
      <c r="AD15" s="23">
        <f>F15-'Dec2015'!X15</f>
        <v>4.8830000218003988E-2</v>
      </c>
      <c r="AE15" s="23">
        <f>G15-'Dec2015'!Y15</f>
        <v>-1.4725499786436558E-2</v>
      </c>
      <c r="AF15" s="23">
        <f>H15-'Dec2015'!Z15</f>
        <v>-4.6454249999953845E-2</v>
      </c>
    </row>
    <row r="16" spans="1:37" x14ac:dyDescent="0.3">
      <c r="A16" s="5">
        <v>11</v>
      </c>
      <c r="AD16" s="23">
        <f>F16-'Dec2015'!X16</f>
        <v>-1844394.665</v>
      </c>
      <c r="AE16" s="23">
        <f>G16-'Dec2015'!Y16</f>
        <v>-5596019.2609999999</v>
      </c>
      <c r="AF16" s="23">
        <f>H16-'Dec2015'!Z16</f>
        <v>-390.44400000000002</v>
      </c>
      <c r="AH16" s="11"/>
      <c r="AK16" s="11"/>
    </row>
    <row r="17" spans="1:37" x14ac:dyDescent="0.3">
      <c r="A17" s="5">
        <v>12</v>
      </c>
      <c r="B17">
        <v>11</v>
      </c>
      <c r="C17" t="s">
        <v>199</v>
      </c>
      <c r="D17" t="s">
        <v>19</v>
      </c>
      <c r="E17" t="s">
        <v>33</v>
      </c>
      <c r="F17">
        <f>Z17-'Notes and corrections'!$H$32</f>
        <v>1844569.9928300001</v>
      </c>
      <c r="G17">
        <f>AA17-'Notes and corrections'!$I$32</f>
        <v>5596019.1472744998</v>
      </c>
      <c r="H17">
        <f>AB17-'Notes and corrections'!$J$32</f>
        <v>398.55254575000004</v>
      </c>
      <c r="I17" t="s">
        <v>200</v>
      </c>
      <c r="J17" t="s">
        <v>201</v>
      </c>
      <c r="K17">
        <v>416.35899999999998</v>
      </c>
      <c r="M17">
        <v>2E-3</v>
      </c>
      <c r="N17">
        <v>1.98</v>
      </c>
      <c r="O17">
        <v>3.0000000000000001E-3</v>
      </c>
      <c r="P17">
        <v>1.0999999999999999E-2</v>
      </c>
      <c r="Q17" s="1">
        <v>42277</v>
      </c>
      <c r="R17" s="1">
        <v>42277</v>
      </c>
      <c r="S17">
        <v>4.5469999999999997</v>
      </c>
      <c r="T17" t="s">
        <v>19</v>
      </c>
      <c r="U17">
        <v>1.3680000000000001</v>
      </c>
      <c r="V17">
        <v>4.3360000000000003</v>
      </c>
      <c r="W17">
        <v>16</v>
      </c>
      <c r="X17">
        <v>6</v>
      </c>
      <c r="Z17">
        <v>1844569.9569999999</v>
      </c>
      <c r="AA17">
        <v>5596019.1739999996</v>
      </c>
      <c r="AB17">
        <v>398.58300000000003</v>
      </c>
      <c r="AD17" s="23">
        <f>F17-'Dec2015'!X17</f>
        <v>5.3830000106245279E-2</v>
      </c>
      <c r="AE17" s="23">
        <f>G17-'Dec2015'!Y17</f>
        <v>7.2274499572813511E-2</v>
      </c>
      <c r="AF17" s="23">
        <f>H17-'Dec2015'!Z17</f>
        <v>1.3545750000048429E-2</v>
      </c>
      <c r="AH17" s="11"/>
      <c r="AK17" s="11"/>
    </row>
    <row r="18" spans="1:37" x14ac:dyDescent="0.3">
      <c r="A18" s="5">
        <v>13</v>
      </c>
      <c r="B18">
        <v>12</v>
      </c>
      <c r="C18" t="s">
        <v>202</v>
      </c>
      <c r="D18" t="s">
        <v>19</v>
      </c>
      <c r="E18" t="s">
        <v>33</v>
      </c>
      <c r="F18">
        <f>Z18-'Notes and corrections'!$H$32</f>
        <v>1844676.1628300003</v>
      </c>
      <c r="G18">
        <f>AA18-'Notes and corrections'!$I$32</f>
        <v>5595953.9032744998</v>
      </c>
      <c r="H18">
        <f>AB18-'Notes and corrections'!$J$32</f>
        <v>392.32454575000003</v>
      </c>
      <c r="I18" t="s">
        <v>203</v>
      </c>
      <c r="J18" t="s">
        <v>204</v>
      </c>
      <c r="K18">
        <v>410.12900000000002</v>
      </c>
      <c r="M18">
        <v>2E-3</v>
      </c>
      <c r="N18">
        <v>1.98</v>
      </c>
      <c r="O18">
        <v>6.0000000000000001E-3</v>
      </c>
      <c r="P18">
        <v>0.01</v>
      </c>
      <c r="Q18" s="1">
        <v>42277</v>
      </c>
      <c r="R18" s="1">
        <v>42277</v>
      </c>
      <c r="S18">
        <v>1.728</v>
      </c>
      <c r="T18" t="s">
        <v>19</v>
      </c>
      <c r="U18">
        <v>0.89200000000000002</v>
      </c>
      <c r="V18">
        <v>1.4790000000000001</v>
      </c>
      <c r="W18">
        <v>15</v>
      </c>
      <c r="X18">
        <v>7</v>
      </c>
      <c r="Z18">
        <v>1844676.1270000001</v>
      </c>
      <c r="AA18">
        <v>5595953.9299999997</v>
      </c>
      <c r="AB18">
        <v>392.35500000000002</v>
      </c>
      <c r="AD18" s="23">
        <f>F18-'Dec2015'!X18</f>
        <v>5.4830000270158052E-2</v>
      </c>
      <c r="AE18" s="23">
        <f>G18-'Dec2015'!Y18</f>
        <v>5.2274500019848347E-2</v>
      </c>
      <c r="AF18" s="23">
        <f>H18-'Dec2015'!Z18</f>
        <v>-3.445424999995339E-2</v>
      </c>
      <c r="AH18" s="11"/>
      <c r="AK18" s="11"/>
    </row>
    <row r="19" spans="1:37" x14ac:dyDescent="0.3">
      <c r="A19" s="5">
        <v>14</v>
      </c>
      <c r="B19">
        <v>53</v>
      </c>
      <c r="C19" t="s">
        <v>307</v>
      </c>
      <c r="D19" t="s">
        <v>19</v>
      </c>
      <c r="E19" t="s">
        <v>33</v>
      </c>
      <c r="F19">
        <f>Z19-'Notes and corrections'!$H$32</f>
        <v>1844384.8788300003</v>
      </c>
      <c r="G19">
        <f>AA19-'Notes and corrections'!$I$32</f>
        <v>5595883.5152745005</v>
      </c>
      <c r="H19">
        <f>AB19-'Notes and corrections'!$J$32</f>
        <v>383.66054574999998</v>
      </c>
      <c r="I19" t="s">
        <v>308</v>
      </c>
      <c r="J19" t="s">
        <v>309</v>
      </c>
      <c r="K19">
        <v>401.44499999999999</v>
      </c>
      <c r="M19">
        <v>6.0000000000000001E-3</v>
      </c>
      <c r="N19">
        <v>1.98</v>
      </c>
      <c r="O19">
        <v>7.0000000000000001E-3</v>
      </c>
      <c r="P19">
        <v>0.01</v>
      </c>
      <c r="Q19" s="1">
        <v>42277</v>
      </c>
      <c r="R19" s="1">
        <v>42277</v>
      </c>
      <c r="S19">
        <v>1.3260000000000001</v>
      </c>
      <c r="T19" t="s">
        <v>19</v>
      </c>
      <c r="U19">
        <v>0.71599999999999997</v>
      </c>
      <c r="V19">
        <v>1.1160000000000001</v>
      </c>
      <c r="W19">
        <v>15</v>
      </c>
      <c r="X19">
        <v>9</v>
      </c>
      <c r="Z19">
        <v>1844384.8430000001</v>
      </c>
      <c r="AA19">
        <v>5595883.5420000004</v>
      </c>
      <c r="AB19">
        <v>383.69099999999997</v>
      </c>
      <c r="AD19" s="23">
        <f>F19-'Dec2015'!X19</f>
        <v>-3.9169999770820141E-2</v>
      </c>
      <c r="AE19" s="23">
        <f>G19-'Dec2015'!Y19</f>
        <v>0.32927450072020292</v>
      </c>
      <c r="AF19" s="23">
        <f>H19-'Dec2015'!Z19</f>
        <v>4.554574999997385E-2</v>
      </c>
      <c r="AH19" s="11"/>
      <c r="AK19" s="11"/>
    </row>
    <row r="20" spans="1:37" x14ac:dyDescent="0.3">
      <c r="A20" s="5">
        <v>15</v>
      </c>
      <c r="AD20" s="23">
        <f>F20-'Dec2015'!X20</f>
        <v>-1844189.8770000001</v>
      </c>
      <c r="AE20" s="23">
        <f>G20-'Dec2015'!Y20</f>
        <v>-5596021.7300000004</v>
      </c>
      <c r="AF20" s="23">
        <f>H20-'Dec2015'!Z20</f>
        <v>-396.04500000000002</v>
      </c>
      <c r="AH20" s="11"/>
      <c r="AK20" s="11"/>
    </row>
    <row r="21" spans="1:37" x14ac:dyDescent="0.3">
      <c r="A21" s="5">
        <v>16</v>
      </c>
      <c r="B21">
        <v>54</v>
      </c>
      <c r="C21" t="s">
        <v>310</v>
      </c>
      <c r="D21" t="s">
        <v>19</v>
      </c>
      <c r="E21" t="s">
        <v>33</v>
      </c>
      <c r="F21">
        <f>Z21-'Notes and corrections'!$H$32</f>
        <v>1844350.5048300002</v>
      </c>
      <c r="G21">
        <f>AA21-'Notes and corrections'!$I$32</f>
        <v>5595795.0842744997</v>
      </c>
      <c r="H21">
        <f>AB21-'Notes and corrections'!$J$32</f>
        <v>355.51454575000002</v>
      </c>
      <c r="I21" t="s">
        <v>311</v>
      </c>
      <c r="J21" t="s">
        <v>312</v>
      </c>
      <c r="K21">
        <v>373.28899999999999</v>
      </c>
      <c r="M21">
        <v>2E-3</v>
      </c>
      <c r="N21">
        <v>1.98</v>
      </c>
      <c r="O21">
        <v>7.0000000000000001E-3</v>
      </c>
      <c r="P21">
        <v>1.2E-2</v>
      </c>
      <c r="Q21" s="1">
        <v>42277</v>
      </c>
      <c r="R21" s="1">
        <v>42277</v>
      </c>
      <c r="S21">
        <v>2.0779999999999998</v>
      </c>
      <c r="T21" t="s">
        <v>19</v>
      </c>
      <c r="U21">
        <v>1.052</v>
      </c>
      <c r="V21">
        <v>1.792</v>
      </c>
      <c r="W21">
        <v>15</v>
      </c>
      <c r="X21">
        <v>8</v>
      </c>
      <c r="Z21">
        <v>1844350.469</v>
      </c>
      <c r="AA21">
        <v>5595795.1109999996</v>
      </c>
      <c r="AB21">
        <v>355.54500000000002</v>
      </c>
      <c r="AD21" s="23">
        <f>F21-'Dec2015'!X21</f>
        <v>3.9318300001323223</v>
      </c>
      <c r="AE21" s="23">
        <f>G21-'Dec2015'!Y21</f>
        <v>-2.1197255002334714</v>
      </c>
      <c r="AF21" s="23">
        <f>H21-'Dec2015'!Z21</f>
        <v>-2.1814542500000016</v>
      </c>
      <c r="AH21" s="11"/>
      <c r="AK21" s="11"/>
    </row>
    <row r="22" spans="1:37" x14ac:dyDescent="0.3">
      <c r="A22" s="5">
        <v>17</v>
      </c>
      <c r="AD22" s="23">
        <f>F22-'Dec2015'!X22</f>
        <v>-1844523.368</v>
      </c>
      <c r="AE22" s="23">
        <f>G22-'Dec2015'!Y22</f>
        <v>-5595824.9239999996</v>
      </c>
      <c r="AF22" s="23">
        <f>H22-'Dec2015'!Z22</f>
        <v>-369.30599999999998</v>
      </c>
      <c r="AH22" s="11"/>
      <c r="AK22" s="11"/>
    </row>
    <row r="23" spans="1:37" x14ac:dyDescent="0.3">
      <c r="A23" s="5">
        <v>18</v>
      </c>
      <c r="B23">
        <v>13</v>
      </c>
      <c r="C23" t="s">
        <v>205</v>
      </c>
      <c r="D23" t="s">
        <v>19</v>
      </c>
      <c r="E23" t="s">
        <v>33</v>
      </c>
      <c r="F23">
        <f>Z23-'Notes and corrections'!$H$32</f>
        <v>1844708.0598300002</v>
      </c>
      <c r="G23">
        <f>AA23-'Notes and corrections'!$I$32</f>
        <v>5595726.7542745005</v>
      </c>
      <c r="H23">
        <f>AB23-'Notes and corrections'!$J$32</f>
        <v>376.10554575000003</v>
      </c>
      <c r="I23" t="s">
        <v>206</v>
      </c>
      <c r="J23" t="s">
        <v>207</v>
      </c>
      <c r="K23">
        <v>393.89</v>
      </c>
      <c r="M23">
        <v>2E-3</v>
      </c>
      <c r="N23">
        <v>1.98</v>
      </c>
      <c r="O23">
        <v>6.0000000000000001E-3</v>
      </c>
      <c r="P23">
        <v>0.01</v>
      </c>
      <c r="Q23" s="1">
        <v>42277</v>
      </c>
      <c r="R23" s="1">
        <v>42277</v>
      </c>
      <c r="S23">
        <v>1.4379999999999999</v>
      </c>
      <c r="T23" t="s">
        <v>19</v>
      </c>
      <c r="U23">
        <v>0.77500000000000002</v>
      </c>
      <c r="V23">
        <v>1.2110000000000001</v>
      </c>
      <c r="W23">
        <v>15</v>
      </c>
      <c r="X23">
        <v>7</v>
      </c>
      <c r="Z23">
        <v>1844708.024</v>
      </c>
      <c r="AA23">
        <v>5595726.7810000004</v>
      </c>
      <c r="AB23">
        <v>376.13600000000002</v>
      </c>
      <c r="AD23" s="23">
        <f>F23-'Dec2015'!X23</f>
        <v>4.5830000191926956E-2</v>
      </c>
      <c r="AE23" s="23">
        <f>G23-'Dec2015'!Y23</f>
        <v>4.2274500243365765E-2</v>
      </c>
      <c r="AF23" s="23">
        <f>H23-'Dec2015'!Z23</f>
        <v>-3.845424999997249E-2</v>
      </c>
      <c r="AH23" s="11"/>
      <c r="AK23" s="11"/>
    </row>
    <row r="24" spans="1:37" x14ac:dyDescent="0.3">
      <c r="A24" s="5">
        <v>19</v>
      </c>
      <c r="B24">
        <v>56</v>
      </c>
      <c r="C24" t="s">
        <v>315</v>
      </c>
      <c r="D24" t="s">
        <v>19</v>
      </c>
      <c r="E24" t="s">
        <v>33</v>
      </c>
      <c r="F24">
        <f>Z24-'Notes and corrections'!$H$32</f>
        <v>1844646.6178300001</v>
      </c>
      <c r="G24">
        <f>AA24-'Notes and corrections'!$I$32</f>
        <v>5595689.8032745002</v>
      </c>
      <c r="H24">
        <f>AB24-'Notes and corrections'!$J$32</f>
        <v>360.69654574999998</v>
      </c>
      <c r="I24" t="s">
        <v>316</v>
      </c>
      <c r="J24" t="s">
        <v>317</v>
      </c>
      <c r="K24">
        <v>378.47500000000002</v>
      </c>
      <c r="M24">
        <v>3.0000000000000001E-3</v>
      </c>
      <c r="N24">
        <v>1.98</v>
      </c>
      <c r="O24">
        <v>7.0000000000000001E-3</v>
      </c>
      <c r="P24">
        <v>0.01</v>
      </c>
      <c r="Q24" s="1">
        <v>42277</v>
      </c>
      <c r="R24" s="1">
        <v>42277</v>
      </c>
      <c r="S24">
        <v>1.494</v>
      </c>
      <c r="T24" t="s">
        <v>19</v>
      </c>
      <c r="U24">
        <v>0.87</v>
      </c>
      <c r="V24">
        <v>1.2150000000000001</v>
      </c>
      <c r="W24">
        <v>15</v>
      </c>
      <c r="X24">
        <v>8</v>
      </c>
      <c r="Z24">
        <v>1844646.5819999999</v>
      </c>
      <c r="AA24">
        <v>5595689.8300000001</v>
      </c>
      <c r="AB24">
        <v>360.72699999999998</v>
      </c>
      <c r="AD24" s="23">
        <f>F24-'Dec2015'!X24</f>
        <v>0.2378300002310425</v>
      </c>
      <c r="AE24" s="23">
        <f>G24-'Dec2015'!Y24</f>
        <v>0.18027450051158667</v>
      </c>
      <c r="AF24" s="23">
        <f>H24-'Dec2015'!Z24</f>
        <v>0.20054575000000341</v>
      </c>
      <c r="AH24" s="11"/>
      <c r="AK24" s="11"/>
    </row>
    <row r="25" spans="1:37" x14ac:dyDescent="0.3">
      <c r="A25" s="5">
        <v>20</v>
      </c>
      <c r="B25">
        <v>19</v>
      </c>
      <c r="C25">
        <v>19</v>
      </c>
      <c r="D25" t="s">
        <v>19</v>
      </c>
      <c r="E25" t="s">
        <v>33</v>
      </c>
      <c r="F25">
        <f>Z25-'Notes and corrections'!$H$32</f>
        <v>1844629.2348300002</v>
      </c>
      <c r="G25">
        <f>AA25-'Notes and corrections'!$I$32</f>
        <v>5595618.8412744999</v>
      </c>
      <c r="H25">
        <f>AB25-'Notes and corrections'!$J$32</f>
        <v>335.12254575000003</v>
      </c>
      <c r="I25" t="s">
        <v>219</v>
      </c>
      <c r="J25" t="s">
        <v>220</v>
      </c>
      <c r="K25">
        <v>352.89299999999997</v>
      </c>
      <c r="M25">
        <v>4.0000000000000001E-3</v>
      </c>
      <c r="N25">
        <v>1.98</v>
      </c>
      <c r="O25">
        <v>6.0000000000000001E-3</v>
      </c>
      <c r="P25">
        <v>0.01</v>
      </c>
      <c r="Q25" s="1">
        <v>42277</v>
      </c>
      <c r="R25" s="1">
        <v>42277</v>
      </c>
      <c r="S25">
        <v>2.4420000000000002</v>
      </c>
      <c r="T25" t="s">
        <v>19</v>
      </c>
      <c r="U25">
        <v>1.238</v>
      </c>
      <c r="V25">
        <v>2.105</v>
      </c>
      <c r="W25">
        <v>15</v>
      </c>
      <c r="X25">
        <v>5</v>
      </c>
      <c r="Z25">
        <v>1844629.199</v>
      </c>
      <c r="AA25">
        <v>5595618.8679999998</v>
      </c>
      <c r="AB25">
        <v>335.15300000000002</v>
      </c>
      <c r="AD25" s="23">
        <f>F25-'Dec2015'!X25</f>
        <v>7.5830000219866633E-2</v>
      </c>
      <c r="AE25" s="23">
        <f>G25-'Dec2015'!Y25</f>
        <v>0.5502744996920228</v>
      </c>
      <c r="AF25" s="23">
        <f>H25-'Dec2015'!Z25</f>
        <v>0.21554575000004661</v>
      </c>
      <c r="AH25" s="11"/>
      <c r="AK25" s="11"/>
    </row>
    <row r="26" spans="1:37" x14ac:dyDescent="0.3">
      <c r="A26" s="5">
        <v>21</v>
      </c>
      <c r="B26">
        <v>22</v>
      </c>
      <c r="C26" t="s">
        <v>226</v>
      </c>
      <c r="D26" t="s">
        <v>19</v>
      </c>
      <c r="E26" t="s">
        <v>33</v>
      </c>
      <c r="F26">
        <f>Z26-'Notes and corrections'!$H$32</f>
        <v>1844481.1158300003</v>
      </c>
      <c r="G26">
        <f>AA26-'Notes and corrections'!$I$32</f>
        <v>5595566.5282744998</v>
      </c>
      <c r="H26">
        <f>AB26-'Notes and corrections'!$J$32</f>
        <v>312.43254575000003</v>
      </c>
      <c r="I26" t="s">
        <v>227</v>
      </c>
      <c r="J26" t="s">
        <v>228</v>
      </c>
      <c r="K26">
        <v>330.19200000000001</v>
      </c>
      <c r="M26">
        <v>3.0000000000000001E-3</v>
      </c>
      <c r="N26">
        <v>1.98</v>
      </c>
      <c r="O26">
        <v>8.0000000000000002E-3</v>
      </c>
      <c r="P26">
        <v>1.2999999999999999E-2</v>
      </c>
      <c r="Q26" s="1">
        <v>42277</v>
      </c>
      <c r="R26" s="1">
        <v>42277</v>
      </c>
      <c r="S26">
        <v>2.5779999999999998</v>
      </c>
      <c r="T26" t="s">
        <v>19</v>
      </c>
      <c r="U26">
        <v>1.288</v>
      </c>
      <c r="V26">
        <v>2.2330000000000001</v>
      </c>
      <c r="W26">
        <v>15</v>
      </c>
      <c r="X26">
        <v>6</v>
      </c>
      <c r="Z26">
        <v>1844481.08</v>
      </c>
      <c r="AA26">
        <v>5595566.5549999997</v>
      </c>
      <c r="AB26">
        <v>312.46300000000002</v>
      </c>
      <c r="AD26" s="23">
        <f>F26-'Dec2015'!X26</f>
        <v>-2.0721699998248369</v>
      </c>
      <c r="AE26" s="23">
        <f>G26-'Dec2015'!Y26</f>
        <v>1.9562745001167059</v>
      </c>
      <c r="AF26" s="23">
        <f>H26-'Dec2015'!Z26</f>
        <v>-0.67745424999998249</v>
      </c>
      <c r="AH26" s="11"/>
      <c r="AK26" s="11"/>
    </row>
    <row r="27" spans="1:37" x14ac:dyDescent="0.3">
      <c r="A27" s="5">
        <v>22</v>
      </c>
      <c r="B27">
        <v>26</v>
      </c>
      <c r="C27" t="s">
        <v>236</v>
      </c>
      <c r="D27" t="s">
        <v>19</v>
      </c>
      <c r="E27" t="s">
        <v>33</v>
      </c>
      <c r="F27">
        <f>Z27-'Notes and corrections'!$H$32</f>
        <v>1844427.8658300003</v>
      </c>
      <c r="G27">
        <f>AA27-'Notes and corrections'!$I$32</f>
        <v>5595465.7662744997</v>
      </c>
      <c r="H27">
        <f>AB27-'Notes and corrections'!$J$32</f>
        <v>305.63354575</v>
      </c>
      <c r="I27" t="s">
        <v>237</v>
      </c>
      <c r="J27" t="s">
        <v>238</v>
      </c>
      <c r="K27">
        <v>323.38099999999997</v>
      </c>
      <c r="M27">
        <v>8.0000000000000002E-3</v>
      </c>
      <c r="N27">
        <v>1.98</v>
      </c>
      <c r="O27">
        <v>1.0999999999999999E-2</v>
      </c>
      <c r="P27">
        <v>1.7000000000000001E-2</v>
      </c>
      <c r="Q27" s="1">
        <v>42277</v>
      </c>
      <c r="R27" s="1">
        <v>42277</v>
      </c>
      <c r="S27">
        <v>1.8120000000000001</v>
      </c>
      <c r="T27" t="s">
        <v>19</v>
      </c>
      <c r="U27">
        <v>0.998</v>
      </c>
      <c r="V27">
        <v>1.5129999999999999</v>
      </c>
      <c r="W27">
        <v>15</v>
      </c>
      <c r="X27">
        <v>7</v>
      </c>
      <c r="Z27">
        <v>1844427.83</v>
      </c>
      <c r="AA27">
        <v>5595465.7929999996</v>
      </c>
      <c r="AB27">
        <v>305.66399999999999</v>
      </c>
      <c r="AD27" s="23">
        <f>F27-'Dec2015'!X27</f>
        <v>-3.9451699997298419</v>
      </c>
      <c r="AE27" s="23">
        <f>G27-'Dec2015'!Y27</f>
        <v>1.9652744997292757</v>
      </c>
      <c r="AF27" s="23">
        <f>H27-'Dec2015'!Z27</f>
        <v>-0.7014542499999834</v>
      </c>
      <c r="AH27" s="11"/>
      <c r="AK27" s="11"/>
    </row>
    <row r="28" spans="1:37" x14ac:dyDescent="0.3">
      <c r="A28" s="5">
        <v>23</v>
      </c>
      <c r="B28" s="21">
        <v>43</v>
      </c>
      <c r="C28" s="21" t="s">
        <v>279</v>
      </c>
      <c r="D28" s="21" t="s">
        <v>19</v>
      </c>
      <c r="E28" s="21" t="s">
        <v>33</v>
      </c>
      <c r="F28" s="21">
        <f>Z28-'Notes and corrections'!$H$32</f>
        <v>1844378.8008300001</v>
      </c>
      <c r="G28" s="21">
        <f>AA28-'Notes and corrections'!$I$32</f>
        <v>5595386.2032745006</v>
      </c>
      <c r="H28" s="21">
        <f>AB28-'Notes and corrections'!$J$32</f>
        <v>310.75454575000003</v>
      </c>
      <c r="I28" s="21" t="s">
        <v>280</v>
      </c>
      <c r="J28" s="21" t="s">
        <v>281</v>
      </c>
      <c r="K28" s="21">
        <v>328.49200000000002</v>
      </c>
      <c r="M28" s="21">
        <v>3.0000000000000001E-3</v>
      </c>
      <c r="N28" s="21">
        <v>1.98</v>
      </c>
      <c r="O28" s="21">
        <v>6.0000000000000001E-3</v>
      </c>
      <c r="P28" s="21">
        <v>0.01</v>
      </c>
      <c r="Q28" s="1">
        <v>42277</v>
      </c>
      <c r="R28" s="1">
        <v>42277</v>
      </c>
      <c r="S28" s="21">
        <v>1.8140000000000001</v>
      </c>
      <c r="T28" t="s">
        <v>19</v>
      </c>
      <c r="U28" s="21">
        <v>0.95699999999999996</v>
      </c>
      <c r="V28" s="21">
        <v>1.54</v>
      </c>
      <c r="W28" s="21">
        <v>15</v>
      </c>
      <c r="X28" s="21">
        <v>9</v>
      </c>
      <c r="Z28">
        <v>1844378.7649999999</v>
      </c>
      <c r="AA28">
        <v>5595386.2300000004</v>
      </c>
      <c r="AB28">
        <v>310.78500000000003</v>
      </c>
      <c r="AD28" s="23">
        <f>F28-'Dec2015'!X28</f>
        <v>-1.9281699999701232</v>
      </c>
      <c r="AE28" s="23">
        <f>G28-'Dec2015'!Y28</f>
        <v>0.43127450067549944</v>
      </c>
      <c r="AF28" s="23">
        <f>H28-'Dec2015'!Z28</f>
        <v>-1.1434542499999907</v>
      </c>
      <c r="AH28" s="11"/>
      <c r="AK28" s="11"/>
    </row>
    <row r="29" spans="1:37" x14ac:dyDescent="0.3">
      <c r="A29" s="5">
        <v>24</v>
      </c>
      <c r="B29">
        <v>30</v>
      </c>
      <c r="C29" t="s">
        <v>246</v>
      </c>
      <c r="D29" t="s">
        <v>19</v>
      </c>
      <c r="E29" t="s">
        <v>33</v>
      </c>
      <c r="F29">
        <f>Z29-'Notes and corrections'!$H$32</f>
        <v>1844362.5378300003</v>
      </c>
      <c r="G29">
        <f>AA29-'Notes and corrections'!$I$32</f>
        <v>5595629.0052744998</v>
      </c>
      <c r="H29">
        <f>AB29-'Notes and corrections'!$J$32</f>
        <v>326.92554575000003</v>
      </c>
      <c r="I29" t="s">
        <v>247</v>
      </c>
      <c r="J29" t="s">
        <v>248</v>
      </c>
      <c r="K29">
        <v>344.685</v>
      </c>
      <c r="M29">
        <v>4.0000000000000001E-3</v>
      </c>
      <c r="N29">
        <v>1.98</v>
      </c>
      <c r="O29">
        <v>8.9999999999999993E-3</v>
      </c>
      <c r="P29">
        <v>1.4999999999999999E-2</v>
      </c>
      <c r="Q29" s="1">
        <v>42277</v>
      </c>
      <c r="R29" s="1">
        <v>42277</v>
      </c>
      <c r="S29">
        <v>2.173</v>
      </c>
      <c r="T29" t="s">
        <v>19</v>
      </c>
      <c r="U29">
        <v>1.0760000000000001</v>
      </c>
      <c r="V29">
        <v>1.8879999999999999</v>
      </c>
      <c r="W29">
        <v>15</v>
      </c>
      <c r="X29">
        <v>7</v>
      </c>
      <c r="Z29">
        <v>1844362.5020000001</v>
      </c>
      <c r="AA29">
        <v>5595629.0319999997</v>
      </c>
      <c r="AB29">
        <v>326.95600000000002</v>
      </c>
      <c r="AD29" s="23">
        <f>F29-'Dec2015'!X29</f>
        <v>-9.6169999800622463E-2</v>
      </c>
      <c r="AE29" s="23">
        <f>G29-'Dec2015'!Y29</f>
        <v>1.3392744995653629</v>
      </c>
      <c r="AF29" s="23">
        <f>H29-'Dec2015'!Z29</f>
        <v>-6.4454249999982949E-2</v>
      </c>
      <c r="AG29" s="21"/>
      <c r="AH29" s="11"/>
      <c r="AK29" s="11"/>
    </row>
    <row r="30" spans="1:37" x14ac:dyDescent="0.3">
      <c r="A30" s="5">
        <v>25</v>
      </c>
      <c r="B30">
        <v>39</v>
      </c>
      <c r="C30" t="s">
        <v>269</v>
      </c>
      <c r="D30" t="s">
        <v>19</v>
      </c>
      <c r="E30" t="s">
        <v>33</v>
      </c>
      <c r="F30">
        <f>Z30-'Notes and corrections'!$H$32</f>
        <v>1844336.9728300001</v>
      </c>
      <c r="G30">
        <f>AA30-'Notes and corrections'!$I$32</f>
        <v>5595540.0232744999</v>
      </c>
      <c r="H30">
        <f>AB30-'Notes and corrections'!$J$32</f>
        <v>317.15154575000003</v>
      </c>
      <c r="I30" t="s">
        <v>270</v>
      </c>
      <c r="J30" t="s">
        <v>271</v>
      </c>
      <c r="K30">
        <v>334.90199999999999</v>
      </c>
      <c r="M30">
        <v>6.0000000000000001E-3</v>
      </c>
      <c r="N30">
        <v>1.98</v>
      </c>
      <c r="O30">
        <v>0.01</v>
      </c>
      <c r="P30">
        <v>1.9E-2</v>
      </c>
      <c r="Q30" s="1">
        <v>42277</v>
      </c>
      <c r="R30" s="1">
        <v>42277</v>
      </c>
      <c r="S30">
        <v>2.1909999999999998</v>
      </c>
      <c r="T30" t="s">
        <v>19</v>
      </c>
      <c r="U30">
        <v>1.006</v>
      </c>
      <c r="V30">
        <v>1.946</v>
      </c>
      <c r="W30">
        <v>20</v>
      </c>
      <c r="X30">
        <v>8</v>
      </c>
      <c r="Z30">
        <v>1844336.9369999999</v>
      </c>
      <c r="AA30">
        <v>5595540.0499999998</v>
      </c>
      <c r="AB30">
        <v>317.18200000000002</v>
      </c>
      <c r="AD30" s="23">
        <f>F30-'Dec2015'!X30</f>
        <v>-0.60016999999061227</v>
      </c>
      <c r="AE30" s="23">
        <f>G30-'Dec2015'!Y30</f>
        <v>1.3982744999229908</v>
      </c>
      <c r="AF30" s="23">
        <f>H30-'Dec2015'!Z30</f>
        <v>-6.7454249999968852E-2</v>
      </c>
      <c r="AG30" s="21"/>
      <c r="AH30" s="11"/>
      <c r="AK30" s="11"/>
    </row>
    <row r="31" spans="1:37" x14ac:dyDescent="0.3">
      <c r="A31" s="5">
        <v>26</v>
      </c>
      <c r="B31">
        <v>38</v>
      </c>
      <c r="C31" t="s">
        <v>266</v>
      </c>
      <c r="D31" t="s">
        <v>19</v>
      </c>
      <c r="E31" t="s">
        <v>33</v>
      </c>
      <c r="F31">
        <f>Z31-'Notes and corrections'!$H$32</f>
        <v>1844303.2148300002</v>
      </c>
      <c r="G31">
        <f>AA31-'Notes and corrections'!$I$32</f>
        <v>5595520.1982744997</v>
      </c>
      <c r="H31">
        <f>AB31-'Notes and corrections'!$J$32</f>
        <v>314.47654575000001</v>
      </c>
      <c r="I31" t="s">
        <v>267</v>
      </c>
      <c r="J31" t="s">
        <v>268</v>
      </c>
      <c r="K31">
        <v>332.22399999999999</v>
      </c>
      <c r="M31">
        <v>5.0000000000000001E-3</v>
      </c>
      <c r="N31">
        <v>1.98</v>
      </c>
      <c r="O31">
        <v>7.0000000000000001E-3</v>
      </c>
      <c r="P31">
        <v>1.6E-2</v>
      </c>
      <c r="Q31" s="1">
        <v>42277</v>
      </c>
      <c r="R31" s="1">
        <v>42277</v>
      </c>
      <c r="S31">
        <v>2.992</v>
      </c>
      <c r="T31" t="s">
        <v>19</v>
      </c>
      <c r="U31">
        <v>1.222</v>
      </c>
      <c r="V31">
        <v>2.7309999999999999</v>
      </c>
      <c r="W31">
        <v>16</v>
      </c>
      <c r="X31">
        <v>7</v>
      </c>
      <c r="Z31">
        <v>1844303.179</v>
      </c>
      <c r="AA31">
        <v>5595520.2249999996</v>
      </c>
      <c r="AB31">
        <v>314.50700000000001</v>
      </c>
      <c r="AD31" s="23">
        <f>F31-'Dec2015'!X31</f>
        <v>-7.1699998807162046E-3</v>
      </c>
      <c r="AE31" s="23">
        <f>G31-'Dec2015'!Y31</f>
        <v>9.2744994908571243E-3</v>
      </c>
      <c r="AF31" s="23">
        <f>H31-'Dec2015'!Z31</f>
        <v>6.7545750000022053E-2</v>
      </c>
      <c r="AG31" s="21"/>
      <c r="AH31" s="11"/>
      <c r="AK31" s="11"/>
    </row>
    <row r="32" spans="1:37" x14ac:dyDescent="0.3">
      <c r="A32" s="5">
        <v>27</v>
      </c>
      <c r="B32">
        <v>47</v>
      </c>
      <c r="C32" t="s">
        <v>291</v>
      </c>
      <c r="D32" t="s">
        <v>19</v>
      </c>
      <c r="E32" t="s">
        <v>33</v>
      </c>
      <c r="F32">
        <f>Z32-'Notes and corrections'!$H$32</f>
        <v>1844185.2228300001</v>
      </c>
      <c r="G32">
        <f>AA32-'Notes and corrections'!$I$32</f>
        <v>5595587.5522745</v>
      </c>
      <c r="H32">
        <f>AB32-'Notes and corrections'!$J$32</f>
        <v>355.92254574999998</v>
      </c>
      <c r="I32" t="s">
        <v>292</v>
      </c>
      <c r="J32" t="s">
        <v>293</v>
      </c>
      <c r="K32">
        <v>373.67</v>
      </c>
      <c r="M32">
        <v>3.0000000000000001E-3</v>
      </c>
      <c r="N32">
        <v>1.98</v>
      </c>
      <c r="O32">
        <v>0.01</v>
      </c>
      <c r="P32">
        <v>1.4E-2</v>
      </c>
      <c r="Q32" s="1">
        <v>42277</v>
      </c>
      <c r="R32" s="1">
        <v>42277</v>
      </c>
      <c r="S32">
        <v>1.3979999999999999</v>
      </c>
      <c r="T32" t="s">
        <v>19</v>
      </c>
      <c r="U32">
        <v>0.77600000000000002</v>
      </c>
      <c r="V32">
        <v>1.163</v>
      </c>
      <c r="W32">
        <v>15</v>
      </c>
      <c r="X32">
        <v>9</v>
      </c>
      <c r="Z32">
        <v>1844185.1869999999</v>
      </c>
      <c r="AA32">
        <v>5595587.5789999999</v>
      </c>
      <c r="AB32">
        <v>355.95299999999997</v>
      </c>
      <c r="AD32" s="23">
        <f>F32-'Dec2015'!X32</f>
        <v>9.083000011742115E-2</v>
      </c>
      <c r="AE32" s="23">
        <f>G32-'Dec2015'!Y32</f>
        <v>-5.3725499659776688E-2</v>
      </c>
      <c r="AF32" s="23">
        <f>H32-'Dec2015'!Z32</f>
        <v>-3.1454250000024331E-2</v>
      </c>
      <c r="AH32" s="11"/>
      <c r="AK32" s="11"/>
    </row>
    <row r="33" spans="1:37" x14ac:dyDescent="0.3">
      <c r="A33" s="5">
        <v>28</v>
      </c>
      <c r="AH33" s="11"/>
      <c r="AK33" s="11"/>
    </row>
    <row r="34" spans="1:37" x14ac:dyDescent="0.3">
      <c r="A34" s="5">
        <v>29</v>
      </c>
      <c r="AD34" s="23">
        <f>F34-'Dec2015'!X34</f>
        <v>0</v>
      </c>
      <c r="AE34" s="23">
        <f>G34-'Dec2015'!Y34</f>
        <v>0</v>
      </c>
      <c r="AF34" s="23">
        <f>H34-'Dec2015'!Z34</f>
        <v>0</v>
      </c>
      <c r="AH34" s="11"/>
      <c r="AK34" s="11"/>
    </row>
    <row r="35" spans="1:37" x14ac:dyDescent="0.3">
      <c r="A35" s="5" t="s">
        <v>26</v>
      </c>
      <c r="AD35" s="23"/>
      <c r="AE35" s="23"/>
      <c r="AF35" s="23"/>
      <c r="AH35" s="11"/>
      <c r="AK35" s="11"/>
    </row>
    <row r="36" spans="1:37" x14ac:dyDescent="0.3">
      <c r="A36" t="s">
        <v>536</v>
      </c>
      <c r="B36">
        <v>48</v>
      </c>
      <c r="C36" t="s">
        <v>294</v>
      </c>
      <c r="D36" t="s">
        <v>19</v>
      </c>
      <c r="E36" t="s">
        <v>33</v>
      </c>
      <c r="F36">
        <f>Z36-'Notes and corrections'!$H$32</f>
        <v>1844185.2038300002</v>
      </c>
      <c r="G36">
        <f>AA36-'Notes and corrections'!$I$32</f>
        <v>5595587.5672744997</v>
      </c>
      <c r="H36">
        <f>AB36-'Notes and corrections'!$J$32</f>
        <v>355.91854575000002</v>
      </c>
      <c r="I36" t="s">
        <v>295</v>
      </c>
      <c r="J36" t="s">
        <v>296</v>
      </c>
      <c r="K36">
        <v>373.66699999999997</v>
      </c>
      <c r="M36">
        <v>5.0000000000000001E-3</v>
      </c>
      <c r="N36">
        <v>1.98</v>
      </c>
      <c r="O36">
        <v>7.0000000000000001E-3</v>
      </c>
      <c r="P36">
        <v>0.01</v>
      </c>
      <c r="Q36" s="1">
        <v>42277</v>
      </c>
      <c r="R36" s="1">
        <v>42277</v>
      </c>
      <c r="S36">
        <v>1.1279999999999999</v>
      </c>
      <c r="T36" t="s">
        <v>19</v>
      </c>
      <c r="U36">
        <v>0.64700000000000002</v>
      </c>
      <c r="V36">
        <v>0.92400000000000004</v>
      </c>
      <c r="W36">
        <v>15</v>
      </c>
      <c r="X36">
        <v>8</v>
      </c>
      <c r="Z36">
        <v>1844185.1680000001</v>
      </c>
      <c r="AA36">
        <v>5595587.5939999996</v>
      </c>
      <c r="AB36">
        <v>355.94900000000001</v>
      </c>
      <c r="AD36" s="23"/>
      <c r="AE36" s="23"/>
      <c r="AF36" s="23"/>
      <c r="AH36" s="11"/>
      <c r="AK36" s="11"/>
    </row>
    <row r="37" spans="1:37" x14ac:dyDescent="0.3">
      <c r="A37" t="s">
        <v>530</v>
      </c>
      <c r="B37">
        <v>57</v>
      </c>
      <c r="C37" t="s">
        <v>87</v>
      </c>
      <c r="D37" t="s">
        <v>19</v>
      </c>
      <c r="E37" t="s">
        <v>23</v>
      </c>
      <c r="F37">
        <f>Z37-'Notes and corrections'!$H$32</f>
        <v>1844287.3068300001</v>
      </c>
      <c r="G37">
        <f>AA37-'Notes and corrections'!$I$32</f>
        <v>5596665.6482744999</v>
      </c>
      <c r="H37">
        <f>AB37-'Notes and corrections'!$J$32</f>
        <v>432.58354574999998</v>
      </c>
      <c r="I37" t="s">
        <v>318</v>
      </c>
      <c r="J37" t="s">
        <v>319</v>
      </c>
      <c r="K37">
        <v>450.44</v>
      </c>
      <c r="M37">
        <v>5.0000000000000001E-3</v>
      </c>
      <c r="N37">
        <v>1.98</v>
      </c>
      <c r="O37">
        <v>7.0000000000000001E-3</v>
      </c>
      <c r="P37">
        <v>0.01</v>
      </c>
      <c r="Q37" s="1">
        <v>42277</v>
      </c>
      <c r="R37" s="1">
        <v>42277</v>
      </c>
      <c r="S37">
        <v>1.1890000000000001</v>
      </c>
      <c r="T37" t="s">
        <v>19</v>
      </c>
      <c r="U37">
        <v>0.67200000000000004</v>
      </c>
      <c r="V37">
        <v>0.98199999999999998</v>
      </c>
      <c r="W37">
        <v>15</v>
      </c>
      <c r="X37">
        <v>11</v>
      </c>
      <c r="Z37">
        <v>1844287.2709999999</v>
      </c>
      <c r="AA37">
        <v>5596665.6749999998</v>
      </c>
      <c r="AB37">
        <v>432.61399999999998</v>
      </c>
    </row>
    <row r="40" spans="1:37" x14ac:dyDescent="0.3">
      <c r="D40" s="21" t="s">
        <v>473</v>
      </c>
      <c r="E40" s="21" t="s">
        <v>536</v>
      </c>
      <c r="F40">
        <f>F36-F32</f>
        <v>-1.8999999854713678E-2</v>
      </c>
      <c r="G40" s="21">
        <f t="shared" ref="G40:H40" si="0">G36-G32</f>
        <v>1.4999999664723873E-2</v>
      </c>
      <c r="H40" s="21">
        <f t="shared" si="0"/>
        <v>-3.999999999962256E-3</v>
      </c>
      <c r="O40" s="7">
        <f>MAX(O4:O37)</f>
        <v>1.2E-2</v>
      </c>
      <c r="P40" s="7">
        <f>MAX(P4:P37)</f>
        <v>1.9E-2</v>
      </c>
    </row>
    <row r="41" spans="1:37" x14ac:dyDescent="0.3">
      <c r="D41" t="s">
        <v>473</v>
      </c>
      <c r="E41" t="s">
        <v>530</v>
      </c>
      <c r="F41">
        <f>F4-F37</f>
        <v>3.9999999571591616E-3</v>
      </c>
      <c r="G41" s="21">
        <f t="shared" ref="G41:H41" si="1">G4-G37</f>
        <v>9.0000005438923836E-3</v>
      </c>
      <c r="H41" s="21">
        <f t="shared" si="1"/>
        <v>9.0000000000145519E-3</v>
      </c>
      <c r="O41" s="7">
        <f>AVERAGE(O4:O37)</f>
        <v>7.7777777777777819E-3</v>
      </c>
      <c r="P41" s="7">
        <f>AVERAGE(P4:P37)</f>
        <v>1.25925925925926E-2</v>
      </c>
    </row>
    <row r="42" spans="1:37" x14ac:dyDescent="0.3">
      <c r="O42" s="7">
        <f>_xlfn.STDEV.S(O4:O37)</f>
        <v>2.0631069425529678E-3</v>
      </c>
      <c r="P42" s="7">
        <f>_xlfn.STDEV.S(P4:P37)</f>
        <v>2.9254750996042605E-3</v>
      </c>
    </row>
    <row r="45" spans="1:37" x14ac:dyDescent="0.3">
      <c r="B45" s="12">
        <v>34</v>
      </c>
      <c r="C45" s="12" t="s">
        <v>256</v>
      </c>
      <c r="D45" s="12" t="s">
        <v>19</v>
      </c>
      <c r="E45" s="12" t="s">
        <v>33</v>
      </c>
      <c r="F45" s="12">
        <f>Z45-'Notes and corrections'!$H$32</f>
        <v>1844265.2918300002</v>
      </c>
      <c r="G45" s="12">
        <f>AA45-'Notes and corrections'!$I$32</f>
        <v>5595683.3132745</v>
      </c>
      <c r="H45" s="12">
        <f>AB45-'Notes and corrections'!$J$32</f>
        <v>335.41454575</v>
      </c>
      <c r="I45" s="12" t="s">
        <v>257</v>
      </c>
      <c r="J45" s="12" t="s">
        <v>258</v>
      </c>
      <c r="K45" s="12">
        <v>353.17500000000001</v>
      </c>
      <c r="L45" s="12"/>
      <c r="M45" s="12">
        <v>7.0000000000000001E-3</v>
      </c>
      <c r="N45" s="12">
        <v>1.98</v>
      </c>
      <c r="O45" s="12">
        <v>0.27200000000000002</v>
      </c>
      <c r="P45" s="12">
        <v>0.75600000000000001</v>
      </c>
      <c r="Q45" s="13">
        <v>42277</v>
      </c>
      <c r="R45" s="13">
        <v>42277</v>
      </c>
      <c r="S45" s="12">
        <v>2.7210000000000001</v>
      </c>
      <c r="T45" s="12" t="s">
        <v>19</v>
      </c>
      <c r="U45" s="12">
        <v>0.93</v>
      </c>
      <c r="V45" s="12">
        <v>2.5569999999999999</v>
      </c>
      <c r="W45" s="12">
        <v>60</v>
      </c>
      <c r="X45" s="12">
        <v>6</v>
      </c>
      <c r="Z45">
        <v>1844265.2560000001</v>
      </c>
      <c r="AA45">
        <v>5595683.3399999999</v>
      </c>
      <c r="AB45">
        <v>335.44499999999999</v>
      </c>
      <c r="AD45" t="s">
        <v>601</v>
      </c>
    </row>
    <row r="46" spans="1:37" x14ac:dyDescent="0.3">
      <c r="B46">
        <v>58</v>
      </c>
      <c r="C46" t="s">
        <v>320</v>
      </c>
      <c r="D46" t="s">
        <v>19</v>
      </c>
      <c r="E46" t="s">
        <v>23</v>
      </c>
      <c r="F46">
        <f>Z46-'Notes and corrections'!$H$32</f>
        <v>1844255.8918300001</v>
      </c>
      <c r="G46">
        <f>AA46-'Notes and corrections'!$I$32</f>
        <v>5596718.7332744999</v>
      </c>
      <c r="H46">
        <f>AB46-'Notes and corrections'!$J$32</f>
        <v>438.88054575000001</v>
      </c>
      <c r="I46" t="s">
        <v>321</v>
      </c>
      <c r="J46" t="s">
        <v>322</v>
      </c>
      <c r="K46">
        <v>456.74200000000002</v>
      </c>
      <c r="M46">
        <v>4.0000000000000001E-3</v>
      </c>
      <c r="N46">
        <v>1.5009999999999999</v>
      </c>
      <c r="O46">
        <v>7.0000000000000001E-3</v>
      </c>
      <c r="P46">
        <v>0.01</v>
      </c>
      <c r="Q46" s="1">
        <v>42277</v>
      </c>
      <c r="R46" s="1">
        <v>42277</v>
      </c>
      <c r="S46">
        <v>1.286</v>
      </c>
      <c r="T46" t="s">
        <v>19</v>
      </c>
      <c r="U46">
        <v>0.71599999999999997</v>
      </c>
      <c r="V46">
        <v>1.0680000000000001</v>
      </c>
      <c r="W46">
        <v>60</v>
      </c>
      <c r="X46">
        <v>10</v>
      </c>
      <c r="Z46">
        <v>1844255.8559999999</v>
      </c>
      <c r="AA46">
        <v>5596718.7599999998</v>
      </c>
      <c r="AB46">
        <v>438.911</v>
      </c>
      <c r="AD46" s="21" t="s">
        <v>538</v>
      </c>
    </row>
    <row r="58" spans="2:28" x14ac:dyDescent="0.3">
      <c r="B58">
        <v>14</v>
      </c>
      <c r="C58">
        <v>1775</v>
      </c>
      <c r="D58" t="s">
        <v>19</v>
      </c>
      <c r="E58" t="s">
        <v>37</v>
      </c>
      <c r="F58">
        <f>Z58-'Notes and corrections'!$H$32</f>
        <v>1844638.1008300001</v>
      </c>
      <c r="G58">
        <f>AA58-'Notes and corrections'!$I$32</f>
        <v>5595785.9072745005</v>
      </c>
      <c r="H58">
        <f>AB58-'Notes and corrections'!$J$32</f>
        <v>367.75854575</v>
      </c>
      <c r="I58" t="s">
        <v>208</v>
      </c>
      <c r="J58" t="s">
        <v>209</v>
      </c>
      <c r="K58">
        <v>385.54599999999999</v>
      </c>
      <c r="M58">
        <v>3.0000000000000001E-3</v>
      </c>
      <c r="N58">
        <v>1.98</v>
      </c>
      <c r="O58">
        <v>7.0000000000000001E-3</v>
      </c>
      <c r="P58">
        <v>8.9999999999999993E-3</v>
      </c>
      <c r="Q58" s="1">
        <v>42277</v>
      </c>
      <c r="R58" s="1">
        <v>42277</v>
      </c>
      <c r="S58">
        <v>1.7070000000000001</v>
      </c>
      <c r="T58" t="s">
        <v>19</v>
      </c>
      <c r="U58">
        <v>0.98099999999999998</v>
      </c>
      <c r="V58">
        <v>1.397</v>
      </c>
      <c r="W58">
        <v>15</v>
      </c>
      <c r="X58">
        <v>8</v>
      </c>
      <c r="Z58">
        <v>1844638.0649999999</v>
      </c>
      <c r="AA58">
        <v>5595785.9340000004</v>
      </c>
      <c r="AB58">
        <v>367.78899999999999</v>
      </c>
    </row>
    <row r="59" spans="2:28" x14ac:dyDescent="0.3">
      <c r="B59">
        <v>15</v>
      </c>
      <c r="C59">
        <v>1759</v>
      </c>
      <c r="D59" t="s">
        <v>19</v>
      </c>
      <c r="E59" t="s">
        <v>37</v>
      </c>
      <c r="F59">
        <f>Z59-'Notes and corrections'!$H$32</f>
        <v>1844752.1698300003</v>
      </c>
      <c r="G59">
        <f>AA59-'Notes and corrections'!$I$32</f>
        <v>5595766.3972744998</v>
      </c>
      <c r="H59">
        <f>AB59-'Notes and corrections'!$J$32</f>
        <v>372.30654575</v>
      </c>
      <c r="I59" t="s">
        <v>210</v>
      </c>
      <c r="J59" t="s">
        <v>211</v>
      </c>
      <c r="K59">
        <v>390.09699999999998</v>
      </c>
      <c r="M59">
        <v>3.0000000000000001E-3</v>
      </c>
      <c r="N59">
        <v>1.98</v>
      </c>
      <c r="O59">
        <v>7.0000000000000001E-3</v>
      </c>
      <c r="P59">
        <v>0.01</v>
      </c>
      <c r="Q59" s="1">
        <v>42277</v>
      </c>
      <c r="R59" s="1">
        <v>42277</v>
      </c>
      <c r="S59">
        <v>1.37</v>
      </c>
      <c r="T59" t="s">
        <v>19</v>
      </c>
      <c r="U59">
        <v>0.78100000000000003</v>
      </c>
      <c r="V59">
        <v>1.1259999999999999</v>
      </c>
      <c r="W59">
        <v>15</v>
      </c>
      <c r="X59">
        <v>7</v>
      </c>
      <c r="Z59">
        <v>1844752.1340000001</v>
      </c>
      <c r="AA59">
        <v>5595766.4239999996</v>
      </c>
      <c r="AB59">
        <v>372.33699999999999</v>
      </c>
    </row>
    <row r="60" spans="2:28" x14ac:dyDescent="0.3">
      <c r="B60">
        <v>16</v>
      </c>
      <c r="C60">
        <v>1755</v>
      </c>
      <c r="D60" t="s">
        <v>19</v>
      </c>
      <c r="E60" t="s">
        <v>37</v>
      </c>
      <c r="F60">
        <f>Z60-'Notes and corrections'!$H$32</f>
        <v>1844758.8638300002</v>
      </c>
      <c r="G60">
        <f>AA60-'Notes and corrections'!$I$32</f>
        <v>5595704.1352744997</v>
      </c>
      <c r="H60">
        <f>AB60-'Notes and corrections'!$J$32</f>
        <v>362.32954575000002</v>
      </c>
      <c r="I60" t="s">
        <v>212</v>
      </c>
      <c r="J60" t="s">
        <v>213</v>
      </c>
      <c r="K60">
        <v>380.11500000000001</v>
      </c>
      <c r="M60">
        <v>4.0000000000000001E-3</v>
      </c>
      <c r="N60">
        <v>1.98</v>
      </c>
      <c r="O60">
        <v>8.0000000000000002E-3</v>
      </c>
      <c r="P60">
        <v>1.0999999999999999E-2</v>
      </c>
      <c r="Q60" s="1">
        <v>42277</v>
      </c>
      <c r="R60" s="1">
        <v>42277</v>
      </c>
      <c r="S60">
        <v>1.238</v>
      </c>
      <c r="T60" t="s">
        <v>19</v>
      </c>
      <c r="U60">
        <v>0.69799999999999995</v>
      </c>
      <c r="V60">
        <v>1.0229999999999999</v>
      </c>
      <c r="W60">
        <v>15</v>
      </c>
      <c r="X60">
        <v>8</v>
      </c>
      <c r="Z60">
        <v>1844758.828</v>
      </c>
      <c r="AA60">
        <v>5595704.1619999995</v>
      </c>
      <c r="AB60">
        <v>362.36</v>
      </c>
    </row>
    <row r="61" spans="2:28" x14ac:dyDescent="0.3">
      <c r="B61">
        <v>17</v>
      </c>
      <c r="C61" t="s">
        <v>214</v>
      </c>
      <c r="D61" t="s">
        <v>19</v>
      </c>
      <c r="E61" t="s">
        <v>37</v>
      </c>
      <c r="F61">
        <f>Z61-'Notes and corrections'!$H$32</f>
        <v>1844753.5968300002</v>
      </c>
      <c r="G61">
        <f>AA61-'Notes and corrections'!$I$32</f>
        <v>5595604.8902745005</v>
      </c>
      <c r="H61">
        <f>AB61-'Notes and corrections'!$J$32</f>
        <v>340.69054575000001</v>
      </c>
      <c r="I61" t="s">
        <v>215</v>
      </c>
      <c r="J61" t="s">
        <v>216</v>
      </c>
      <c r="K61">
        <v>358.46600000000001</v>
      </c>
      <c r="M61">
        <v>7.0000000000000001E-3</v>
      </c>
      <c r="N61">
        <v>1.98</v>
      </c>
      <c r="O61">
        <v>0.01</v>
      </c>
      <c r="P61">
        <v>1.2999999999999999E-2</v>
      </c>
      <c r="Q61" s="1">
        <v>42277</v>
      </c>
      <c r="R61" s="1">
        <v>42277</v>
      </c>
      <c r="S61">
        <v>2.1320000000000001</v>
      </c>
      <c r="T61" t="s">
        <v>19</v>
      </c>
      <c r="U61">
        <v>1.2509999999999999</v>
      </c>
      <c r="V61">
        <v>1.726</v>
      </c>
      <c r="W61">
        <v>15</v>
      </c>
      <c r="X61">
        <v>7</v>
      </c>
      <c r="Z61">
        <v>1844753.561</v>
      </c>
      <c r="AA61">
        <v>5595604.9170000004</v>
      </c>
      <c r="AB61">
        <v>340.721</v>
      </c>
    </row>
    <row r="62" spans="2:28" x14ac:dyDescent="0.3">
      <c r="B62" s="12">
        <v>18</v>
      </c>
      <c r="C62" s="12">
        <v>1911</v>
      </c>
      <c r="D62" s="12" t="s">
        <v>19</v>
      </c>
      <c r="E62" s="12" t="s">
        <v>37</v>
      </c>
      <c r="F62" s="12">
        <f>Z62-'Notes and corrections'!$H$32</f>
        <v>1844711.3888300001</v>
      </c>
      <c r="G62" s="12">
        <f>AA62-'Notes and corrections'!$I$32</f>
        <v>5595597.3562745005</v>
      </c>
      <c r="H62" s="12">
        <f>AB62-'Notes and corrections'!$J$32</f>
        <v>346.64554575</v>
      </c>
      <c r="I62" s="12" t="s">
        <v>217</v>
      </c>
      <c r="J62" s="12" t="s">
        <v>218</v>
      </c>
      <c r="K62" s="12">
        <v>364.41800000000001</v>
      </c>
      <c r="L62" s="12"/>
      <c r="M62" s="12">
        <v>1E-3</v>
      </c>
      <c r="N62" s="12">
        <v>1.98</v>
      </c>
      <c r="O62" s="12">
        <v>0.23599999999999999</v>
      </c>
      <c r="P62" s="12">
        <v>0.24099999999999999</v>
      </c>
      <c r="Q62" s="13">
        <v>42277</v>
      </c>
      <c r="R62" s="13">
        <v>42277</v>
      </c>
      <c r="S62" s="12">
        <v>4.41</v>
      </c>
      <c r="T62" s="12" t="s">
        <v>19</v>
      </c>
      <c r="U62" s="12">
        <v>3.05</v>
      </c>
      <c r="V62" s="12">
        <v>3.1840000000000002</v>
      </c>
      <c r="W62" s="12">
        <v>248</v>
      </c>
      <c r="X62" s="12">
        <v>4</v>
      </c>
      <c r="Z62">
        <v>1844711.3529999999</v>
      </c>
      <c r="AA62">
        <v>5595597.3830000004</v>
      </c>
      <c r="AB62">
        <v>346.67599999999999</v>
      </c>
    </row>
    <row r="63" spans="2:28" x14ac:dyDescent="0.3">
      <c r="B63">
        <v>20</v>
      </c>
      <c r="C63">
        <v>2015</v>
      </c>
      <c r="D63" t="s">
        <v>19</v>
      </c>
      <c r="E63" t="s">
        <v>37</v>
      </c>
      <c r="F63">
        <f>Z63-'Notes and corrections'!$H$32</f>
        <v>1844620.8288300002</v>
      </c>
      <c r="G63">
        <f>AA63-'Notes and corrections'!$I$32</f>
        <v>5595623.4282745002</v>
      </c>
      <c r="H63">
        <f>AB63-'Notes and corrections'!$J$32</f>
        <v>335.49454574999999</v>
      </c>
      <c r="I63" t="s">
        <v>221</v>
      </c>
      <c r="J63" t="s">
        <v>222</v>
      </c>
      <c r="K63">
        <v>353.26600000000002</v>
      </c>
      <c r="M63">
        <v>4.0000000000000001E-3</v>
      </c>
      <c r="N63">
        <v>1.98</v>
      </c>
      <c r="O63">
        <v>1.0999999999999999E-2</v>
      </c>
      <c r="P63">
        <v>1.7999999999999999E-2</v>
      </c>
      <c r="Q63" s="1">
        <v>42277</v>
      </c>
      <c r="R63" s="1">
        <v>42277</v>
      </c>
      <c r="S63">
        <v>2.46</v>
      </c>
      <c r="T63" t="s">
        <v>19</v>
      </c>
      <c r="U63">
        <v>1.3009999999999999</v>
      </c>
      <c r="V63">
        <v>2.0910000000000002</v>
      </c>
      <c r="W63">
        <v>97</v>
      </c>
      <c r="X63">
        <v>5</v>
      </c>
      <c r="Z63">
        <v>1844620.7930000001</v>
      </c>
      <c r="AA63">
        <v>5595623.4550000001</v>
      </c>
      <c r="AB63">
        <v>335.52499999999998</v>
      </c>
    </row>
    <row r="64" spans="2:28" x14ac:dyDescent="0.3">
      <c r="B64">
        <v>21</v>
      </c>
      <c r="C64" t="s">
        <v>223</v>
      </c>
      <c r="D64" t="s">
        <v>19</v>
      </c>
      <c r="E64" t="s">
        <v>37</v>
      </c>
      <c r="F64">
        <f>Z64-'Notes and corrections'!$H$32</f>
        <v>1844454.2758300002</v>
      </c>
      <c r="G64">
        <f>AA64-'Notes and corrections'!$I$32</f>
        <v>5595582.3362745</v>
      </c>
      <c r="H64">
        <f>AB64-'Notes and corrections'!$J$32</f>
        <v>315.32054575000001</v>
      </c>
      <c r="I64" t="s">
        <v>224</v>
      </c>
      <c r="J64" t="s">
        <v>225</v>
      </c>
      <c r="K64">
        <v>333.08</v>
      </c>
      <c r="M64">
        <v>4.0000000000000001E-3</v>
      </c>
      <c r="N64">
        <v>1.98</v>
      </c>
      <c r="O64">
        <v>1.2999999999999999E-2</v>
      </c>
      <c r="P64">
        <v>1.4999999999999999E-2</v>
      </c>
      <c r="Q64" s="1">
        <v>42277</v>
      </c>
      <c r="R64" s="1">
        <v>42277</v>
      </c>
      <c r="S64">
        <v>1.6639999999999999</v>
      </c>
      <c r="T64" t="s">
        <v>19</v>
      </c>
      <c r="U64">
        <v>1.07</v>
      </c>
      <c r="V64">
        <v>1.274</v>
      </c>
      <c r="W64">
        <v>16</v>
      </c>
      <c r="X64">
        <v>6</v>
      </c>
      <c r="Z64">
        <v>1844454.24</v>
      </c>
      <c r="AA64">
        <v>5595582.3629999999</v>
      </c>
      <c r="AB64">
        <v>315.351</v>
      </c>
    </row>
    <row r="65" spans="2:28" x14ac:dyDescent="0.3">
      <c r="B65">
        <v>23</v>
      </c>
      <c r="C65">
        <v>1463</v>
      </c>
      <c r="D65" t="s">
        <v>19</v>
      </c>
      <c r="E65" t="s">
        <v>37</v>
      </c>
      <c r="F65">
        <f>Z65-'Notes and corrections'!$H$32</f>
        <v>1844504.9668300003</v>
      </c>
      <c r="G65">
        <f>AA65-'Notes and corrections'!$I$32</f>
        <v>5595561.9002745003</v>
      </c>
      <c r="H65">
        <f>AB65-'Notes and corrections'!$J$32</f>
        <v>310.98054575000003</v>
      </c>
      <c r="I65" t="s">
        <v>229</v>
      </c>
      <c r="J65" t="s">
        <v>230</v>
      </c>
      <c r="K65">
        <v>328.74</v>
      </c>
      <c r="M65">
        <v>4.0000000000000001E-3</v>
      </c>
      <c r="N65">
        <v>1.98</v>
      </c>
      <c r="O65">
        <v>1.0999999999999999E-2</v>
      </c>
      <c r="P65">
        <v>0.02</v>
      </c>
      <c r="Q65" s="1">
        <v>42277</v>
      </c>
      <c r="R65" s="1">
        <v>42277</v>
      </c>
      <c r="S65">
        <v>2.895</v>
      </c>
      <c r="T65" t="s">
        <v>19</v>
      </c>
      <c r="U65">
        <v>1.44</v>
      </c>
      <c r="V65">
        <v>2.512</v>
      </c>
      <c r="W65">
        <v>24</v>
      </c>
      <c r="X65">
        <v>6</v>
      </c>
      <c r="Z65">
        <v>1844504.9310000001</v>
      </c>
      <c r="AA65">
        <v>5595561.9270000001</v>
      </c>
      <c r="AB65">
        <v>311.01100000000002</v>
      </c>
    </row>
    <row r="66" spans="2:28" x14ac:dyDescent="0.3">
      <c r="B66">
        <v>24</v>
      </c>
      <c r="C66">
        <v>1467</v>
      </c>
      <c r="D66" t="s">
        <v>19</v>
      </c>
      <c r="E66" t="s">
        <v>37</v>
      </c>
      <c r="F66">
        <f>Z66-'Notes and corrections'!$H$32</f>
        <v>1844509.8498300002</v>
      </c>
      <c r="G66">
        <f>AA66-'Notes and corrections'!$I$32</f>
        <v>5595471.9712744998</v>
      </c>
      <c r="H66">
        <f>AB66-'Notes and corrections'!$J$32</f>
        <v>295.34554574999999</v>
      </c>
      <c r="I66" t="s">
        <v>231</v>
      </c>
      <c r="J66" t="s">
        <v>232</v>
      </c>
      <c r="K66">
        <v>313.09699999999998</v>
      </c>
      <c r="M66">
        <v>3.0000000000000001E-3</v>
      </c>
      <c r="N66">
        <v>1.98</v>
      </c>
      <c r="O66">
        <v>8.0000000000000002E-3</v>
      </c>
      <c r="P66">
        <v>1.2E-2</v>
      </c>
      <c r="Q66" s="1">
        <v>42277</v>
      </c>
      <c r="R66" s="1">
        <v>42277</v>
      </c>
      <c r="S66">
        <v>1.544</v>
      </c>
      <c r="T66" t="s">
        <v>19</v>
      </c>
      <c r="U66">
        <v>0.81200000000000006</v>
      </c>
      <c r="V66">
        <v>1.3129999999999999</v>
      </c>
      <c r="W66">
        <v>15</v>
      </c>
      <c r="X66">
        <v>7</v>
      </c>
      <c r="Z66">
        <v>1844509.814</v>
      </c>
      <c r="AA66">
        <v>5595471.9979999997</v>
      </c>
      <c r="AB66">
        <v>295.37599999999998</v>
      </c>
    </row>
    <row r="67" spans="2:28" x14ac:dyDescent="0.3">
      <c r="B67" s="12">
        <v>25</v>
      </c>
      <c r="C67" s="12" t="s">
        <v>233</v>
      </c>
      <c r="D67" s="12" t="s">
        <v>19</v>
      </c>
      <c r="E67" s="12" t="s">
        <v>37</v>
      </c>
      <c r="F67" s="12">
        <f>Z67-'Notes and corrections'!$H$32</f>
        <v>1844459.8918300001</v>
      </c>
      <c r="G67" s="12">
        <f>AA67-'Notes and corrections'!$I$32</f>
        <v>5595466.9802745003</v>
      </c>
      <c r="H67" s="12">
        <f>AB67-'Notes and corrections'!$J$32</f>
        <v>302.70654575000003</v>
      </c>
      <c r="I67" s="12" t="s">
        <v>234</v>
      </c>
      <c r="J67" s="12" t="s">
        <v>235</v>
      </c>
      <c r="K67" s="12">
        <v>320.45499999999998</v>
      </c>
      <c r="L67" s="12"/>
      <c r="M67" s="12">
        <v>1E-3</v>
      </c>
      <c r="N67" s="12">
        <v>1.98</v>
      </c>
      <c r="O67" s="12">
        <v>0.45300000000000001</v>
      </c>
      <c r="P67" s="12">
        <v>0.55900000000000005</v>
      </c>
      <c r="Q67" s="13">
        <v>42277</v>
      </c>
      <c r="R67" s="13">
        <v>42277</v>
      </c>
      <c r="S67" s="12">
        <v>2.3220000000000001</v>
      </c>
      <c r="T67" s="12" t="s">
        <v>19</v>
      </c>
      <c r="U67" s="12">
        <v>1.6990000000000001</v>
      </c>
      <c r="V67" s="12">
        <v>1.583</v>
      </c>
      <c r="W67" s="12">
        <v>99</v>
      </c>
      <c r="X67" s="12">
        <v>5</v>
      </c>
      <c r="Z67">
        <v>1844459.8559999999</v>
      </c>
      <c r="AA67">
        <v>5595467.0070000002</v>
      </c>
      <c r="AB67">
        <v>302.73700000000002</v>
      </c>
    </row>
    <row r="68" spans="2:28" x14ac:dyDescent="0.3">
      <c r="B68">
        <v>27</v>
      </c>
      <c r="C68" t="s">
        <v>239</v>
      </c>
      <c r="D68" t="s">
        <v>19</v>
      </c>
      <c r="E68" t="s">
        <v>37</v>
      </c>
      <c r="F68">
        <f>Z68-'Notes and corrections'!$H$32</f>
        <v>1844394.8208300001</v>
      </c>
      <c r="G68">
        <f>AA68-'Notes and corrections'!$I$32</f>
        <v>5595483.7382744998</v>
      </c>
      <c r="H68">
        <f>AB68-'Notes and corrections'!$J$32</f>
        <v>309.56854575</v>
      </c>
      <c r="I68" t="s">
        <v>240</v>
      </c>
      <c r="J68" t="s">
        <v>241</v>
      </c>
      <c r="K68">
        <v>327.31599999999997</v>
      </c>
      <c r="M68">
        <v>2E-3</v>
      </c>
      <c r="N68">
        <v>1.98</v>
      </c>
      <c r="O68">
        <v>1.2E-2</v>
      </c>
      <c r="P68">
        <v>0.02</v>
      </c>
      <c r="Q68" s="1">
        <v>42277</v>
      </c>
      <c r="R68" s="1">
        <v>42277</v>
      </c>
      <c r="S68">
        <v>2.544</v>
      </c>
      <c r="T68" t="s">
        <v>19</v>
      </c>
      <c r="U68">
        <v>1.3340000000000001</v>
      </c>
      <c r="V68">
        <v>2.1659999999999999</v>
      </c>
      <c r="W68">
        <v>121</v>
      </c>
      <c r="X68">
        <v>7</v>
      </c>
      <c r="Z68">
        <v>1844394.7849999999</v>
      </c>
      <c r="AA68">
        <v>5595483.7649999997</v>
      </c>
      <c r="AB68">
        <v>309.59899999999999</v>
      </c>
    </row>
    <row r="69" spans="2:28" x14ac:dyDescent="0.3">
      <c r="B69" s="12">
        <v>28</v>
      </c>
      <c r="C69" s="12">
        <v>1503</v>
      </c>
      <c r="D69" s="12" t="s">
        <v>19</v>
      </c>
      <c r="E69" s="12" t="s">
        <v>37</v>
      </c>
      <c r="F69" s="12">
        <f>Z69-'Notes and corrections'!$H$32</f>
        <v>1844395.7018300002</v>
      </c>
      <c r="G69" s="12">
        <f>AA69-'Notes and corrections'!$I$32</f>
        <v>5595558.6422744999</v>
      </c>
      <c r="H69" s="12">
        <f>AB69-'Notes and corrections'!$J$32</f>
        <v>319.46054574999999</v>
      </c>
      <c r="I69" s="12" t="s">
        <v>242</v>
      </c>
      <c r="J69" s="12" t="s">
        <v>243</v>
      </c>
      <c r="K69" s="12">
        <v>337.21600000000001</v>
      </c>
      <c r="L69" s="12"/>
      <c r="M69" s="12">
        <v>5.0000000000000001E-3</v>
      </c>
      <c r="N69" s="12">
        <v>1.98</v>
      </c>
      <c r="O69" s="12">
        <v>0.46</v>
      </c>
      <c r="P69" s="12">
        <v>0.66900000000000004</v>
      </c>
      <c r="Q69" s="13">
        <v>42277</v>
      </c>
      <c r="R69" s="13">
        <v>42277</v>
      </c>
      <c r="S69" s="12">
        <v>4.1100000000000003</v>
      </c>
      <c r="T69" s="12" t="s">
        <v>19</v>
      </c>
      <c r="U69" s="12">
        <v>2.5179999999999998</v>
      </c>
      <c r="V69" s="12">
        <v>3.2490000000000001</v>
      </c>
      <c r="W69" s="12">
        <v>47</v>
      </c>
      <c r="X69" s="12">
        <v>4</v>
      </c>
      <c r="Z69">
        <v>1844395.666</v>
      </c>
      <c r="AA69">
        <v>5595558.6689999998</v>
      </c>
      <c r="AB69">
        <v>319.49099999999999</v>
      </c>
    </row>
    <row r="70" spans="2:28" x14ac:dyDescent="0.3">
      <c r="B70">
        <v>29</v>
      </c>
      <c r="C70">
        <v>1527</v>
      </c>
      <c r="D70" t="s">
        <v>19</v>
      </c>
      <c r="E70" t="s">
        <v>37</v>
      </c>
      <c r="F70">
        <f>Z70-'Notes and corrections'!$H$32</f>
        <v>1844365.1438300002</v>
      </c>
      <c r="G70">
        <f>AA70-'Notes and corrections'!$I$32</f>
        <v>5595593.5612745006</v>
      </c>
      <c r="H70">
        <f>AB70-'Notes and corrections'!$J$32</f>
        <v>322.14754575000001</v>
      </c>
      <c r="I70" t="s">
        <v>244</v>
      </c>
      <c r="J70" t="s">
        <v>245</v>
      </c>
      <c r="K70">
        <v>339.904</v>
      </c>
      <c r="M70">
        <v>2E-3</v>
      </c>
      <c r="N70">
        <v>1.98</v>
      </c>
      <c r="O70">
        <v>1.2E-2</v>
      </c>
      <c r="P70">
        <v>0.02</v>
      </c>
      <c r="Q70" s="1">
        <v>42277</v>
      </c>
      <c r="R70" s="1">
        <v>42277</v>
      </c>
      <c r="S70">
        <v>3.4729999999999999</v>
      </c>
      <c r="T70" t="s">
        <v>19</v>
      </c>
      <c r="U70">
        <v>1.8360000000000001</v>
      </c>
      <c r="V70">
        <v>2.948</v>
      </c>
      <c r="W70">
        <v>15</v>
      </c>
      <c r="X70">
        <v>6</v>
      </c>
      <c r="Z70">
        <v>1844365.108</v>
      </c>
      <c r="AA70">
        <v>5595593.5880000005</v>
      </c>
      <c r="AB70">
        <v>322.178</v>
      </c>
    </row>
    <row r="71" spans="2:28" x14ac:dyDescent="0.3">
      <c r="B71">
        <v>31</v>
      </c>
      <c r="C71" t="s">
        <v>249</v>
      </c>
      <c r="D71" t="s">
        <v>19</v>
      </c>
      <c r="E71" t="s">
        <v>37</v>
      </c>
      <c r="F71">
        <f>Z71-'Notes and corrections'!$H$32</f>
        <v>1844314.8478300001</v>
      </c>
      <c r="G71">
        <f>AA71-'Notes and corrections'!$I$32</f>
        <v>5595609.6992744999</v>
      </c>
      <c r="H71">
        <f>AB71-'Notes and corrections'!$J$32</f>
        <v>324.92154575000001</v>
      </c>
      <c r="I71" t="s">
        <v>250</v>
      </c>
      <c r="J71" t="s">
        <v>251</v>
      </c>
      <c r="K71">
        <v>342.67700000000002</v>
      </c>
      <c r="M71">
        <v>5.0000000000000001E-3</v>
      </c>
      <c r="N71">
        <v>1.98</v>
      </c>
      <c r="O71">
        <v>1.2E-2</v>
      </c>
      <c r="P71">
        <v>1.9E-2</v>
      </c>
      <c r="Q71" s="1">
        <v>42277</v>
      </c>
      <c r="R71" s="1">
        <v>42277</v>
      </c>
      <c r="S71">
        <v>3.0830000000000002</v>
      </c>
      <c r="T71" t="s">
        <v>19</v>
      </c>
      <c r="U71">
        <v>1.6339999999999999</v>
      </c>
      <c r="V71">
        <v>2.6139999999999999</v>
      </c>
      <c r="W71">
        <v>17</v>
      </c>
      <c r="X71">
        <v>5</v>
      </c>
      <c r="Z71">
        <v>1844314.8119999999</v>
      </c>
      <c r="AA71">
        <v>5595609.7259999998</v>
      </c>
      <c r="AB71">
        <v>324.952</v>
      </c>
    </row>
    <row r="72" spans="2:28" x14ac:dyDescent="0.3">
      <c r="B72">
        <v>32</v>
      </c>
      <c r="C72">
        <v>1519</v>
      </c>
      <c r="D72" t="s">
        <v>19</v>
      </c>
      <c r="E72" t="s">
        <v>37</v>
      </c>
      <c r="F72">
        <f>Z72-'Notes and corrections'!$H$32</f>
        <v>1844280.7608300003</v>
      </c>
      <c r="G72">
        <f>AA72-'Notes and corrections'!$I$32</f>
        <v>5595688.2202745005</v>
      </c>
      <c r="H72">
        <f>AB72-'Notes and corrections'!$J$32</f>
        <v>333.71854575000003</v>
      </c>
      <c r="I72" t="s">
        <v>252</v>
      </c>
      <c r="J72" t="s">
        <v>253</v>
      </c>
      <c r="K72">
        <v>351.48</v>
      </c>
      <c r="M72">
        <v>1E-3</v>
      </c>
      <c r="N72">
        <v>1.98</v>
      </c>
      <c r="O72">
        <v>8.9999999999999993E-3</v>
      </c>
      <c r="P72">
        <v>1.7999999999999999E-2</v>
      </c>
      <c r="Q72" s="1">
        <v>42277</v>
      </c>
      <c r="R72" s="1">
        <v>42277</v>
      </c>
      <c r="S72">
        <v>3.3690000000000002</v>
      </c>
      <c r="T72" t="s">
        <v>19</v>
      </c>
      <c r="U72">
        <v>1.3120000000000001</v>
      </c>
      <c r="V72">
        <v>3.1030000000000002</v>
      </c>
      <c r="W72">
        <v>40</v>
      </c>
      <c r="X72">
        <v>5</v>
      </c>
      <c r="Z72">
        <v>1844280.7250000001</v>
      </c>
      <c r="AA72">
        <v>5595688.2470000004</v>
      </c>
      <c r="AB72">
        <v>333.74900000000002</v>
      </c>
    </row>
    <row r="73" spans="2:28" x14ac:dyDescent="0.3">
      <c r="B73">
        <v>33</v>
      </c>
      <c r="C73">
        <v>1535</v>
      </c>
      <c r="D73" t="s">
        <v>19</v>
      </c>
      <c r="E73" t="s">
        <v>37</v>
      </c>
      <c r="F73">
        <f>Z73-'Notes and corrections'!$H$32</f>
        <v>1844294.3018300002</v>
      </c>
      <c r="G73">
        <f>AA73-'Notes and corrections'!$I$32</f>
        <v>5595715.1382745001</v>
      </c>
      <c r="H73">
        <f>AB73-'Notes and corrections'!$J$32</f>
        <v>336.19754575000002</v>
      </c>
      <c r="I73" t="s">
        <v>254</v>
      </c>
      <c r="J73" t="s">
        <v>255</v>
      </c>
      <c r="K73">
        <v>353.96300000000002</v>
      </c>
      <c r="M73">
        <v>4.0000000000000001E-3</v>
      </c>
      <c r="N73">
        <v>1.98</v>
      </c>
      <c r="O73">
        <v>5.0000000000000001E-3</v>
      </c>
      <c r="P73">
        <v>1.0999999999999999E-2</v>
      </c>
      <c r="Q73" s="1">
        <v>42277</v>
      </c>
      <c r="R73" s="1">
        <v>42277</v>
      </c>
      <c r="S73">
        <v>2.2549999999999999</v>
      </c>
      <c r="T73" t="s">
        <v>19</v>
      </c>
      <c r="U73">
        <v>0.97499999999999998</v>
      </c>
      <c r="V73">
        <v>2.0329999999999999</v>
      </c>
      <c r="W73">
        <v>15</v>
      </c>
      <c r="X73">
        <v>6</v>
      </c>
      <c r="Z73">
        <v>1844294.2660000001</v>
      </c>
      <c r="AA73">
        <v>5595715.165</v>
      </c>
      <c r="AB73">
        <v>336.22800000000001</v>
      </c>
    </row>
    <row r="74" spans="2:28" x14ac:dyDescent="0.3">
      <c r="B74">
        <v>35</v>
      </c>
      <c r="C74">
        <v>1495</v>
      </c>
      <c r="D74" t="s">
        <v>19</v>
      </c>
      <c r="E74" t="s">
        <v>37</v>
      </c>
      <c r="F74">
        <f>Z74-'Notes and corrections'!$H$32</f>
        <v>1844261.0748300003</v>
      </c>
      <c r="G74">
        <f>AA74-'Notes and corrections'!$I$32</f>
        <v>5595647.1292745005</v>
      </c>
      <c r="H74">
        <f>AB74-'Notes and corrections'!$J$32</f>
        <v>336.89754575000001</v>
      </c>
      <c r="I74" t="s">
        <v>259</v>
      </c>
      <c r="J74" t="s">
        <v>260</v>
      </c>
      <c r="K74">
        <v>354.654</v>
      </c>
      <c r="M74">
        <v>2E-3</v>
      </c>
      <c r="N74">
        <v>1.98</v>
      </c>
      <c r="O74">
        <v>5.0000000000000001E-3</v>
      </c>
      <c r="P74">
        <v>1.0999999999999999E-2</v>
      </c>
      <c r="Q74" s="1">
        <v>42277</v>
      </c>
      <c r="R74" s="1">
        <v>42277</v>
      </c>
      <c r="S74">
        <v>4.05</v>
      </c>
      <c r="T74" t="s">
        <v>19</v>
      </c>
      <c r="U74">
        <v>1.32</v>
      </c>
      <c r="V74">
        <v>3.8290000000000002</v>
      </c>
      <c r="W74">
        <v>15</v>
      </c>
      <c r="X74">
        <v>6</v>
      </c>
      <c r="Z74">
        <v>1844261.0390000001</v>
      </c>
      <c r="AA74">
        <v>5595647.1560000004</v>
      </c>
      <c r="AB74">
        <v>336.928</v>
      </c>
    </row>
    <row r="75" spans="2:28" x14ac:dyDescent="0.3">
      <c r="B75">
        <v>36</v>
      </c>
      <c r="C75" t="s">
        <v>261</v>
      </c>
      <c r="D75" t="s">
        <v>19</v>
      </c>
      <c r="E75" t="s">
        <v>37</v>
      </c>
      <c r="F75">
        <f>Z75-'Notes and corrections'!$H$32</f>
        <v>1844288.4338300002</v>
      </c>
      <c r="G75">
        <f>AA75-'Notes and corrections'!$I$32</f>
        <v>5595541.2022745004</v>
      </c>
      <c r="H75">
        <f>AB75-'Notes and corrections'!$J$32</f>
        <v>317.11154575</v>
      </c>
      <c r="I75" t="s">
        <v>262</v>
      </c>
      <c r="J75" t="s">
        <v>263</v>
      </c>
      <c r="K75">
        <v>334.85899999999998</v>
      </c>
      <c r="M75">
        <v>2E-3</v>
      </c>
      <c r="N75">
        <v>1.98</v>
      </c>
      <c r="O75">
        <v>8.9999999999999993E-3</v>
      </c>
      <c r="P75">
        <v>1.6E-2</v>
      </c>
      <c r="Q75" s="1">
        <v>42277</v>
      </c>
      <c r="R75" s="1">
        <v>42277</v>
      </c>
      <c r="S75">
        <v>4.7190000000000003</v>
      </c>
      <c r="T75" t="s">
        <v>19</v>
      </c>
      <c r="U75">
        <v>2.2189999999999999</v>
      </c>
      <c r="V75">
        <v>4.1639999999999997</v>
      </c>
      <c r="W75">
        <v>16</v>
      </c>
      <c r="X75">
        <v>7</v>
      </c>
      <c r="Z75">
        <v>1844288.398</v>
      </c>
      <c r="AA75">
        <v>5595541.2290000003</v>
      </c>
      <c r="AB75">
        <v>317.142</v>
      </c>
    </row>
    <row r="76" spans="2:28" x14ac:dyDescent="0.3">
      <c r="B76" s="21">
        <v>37</v>
      </c>
      <c r="C76" s="21">
        <v>1531</v>
      </c>
      <c r="D76" s="21" t="s">
        <v>19</v>
      </c>
      <c r="E76" s="21" t="s">
        <v>37</v>
      </c>
      <c r="F76" s="21">
        <f>Z76-'Notes and corrections'!$H$32</f>
        <v>1844279.7058300001</v>
      </c>
      <c r="G76" s="21">
        <f>AA76-'Notes and corrections'!$I$32</f>
        <v>5595505.8602745002</v>
      </c>
      <c r="H76" s="21">
        <f>AB76-'Notes and corrections'!$J$32</f>
        <v>323.14954575000002</v>
      </c>
      <c r="I76" s="21" t="s">
        <v>264</v>
      </c>
      <c r="J76" s="21" t="s">
        <v>265</v>
      </c>
      <c r="K76" s="21">
        <v>340.89299999999997</v>
      </c>
      <c r="M76" s="21">
        <v>8.9999999999999993E-3</v>
      </c>
      <c r="N76" s="21">
        <v>1.98</v>
      </c>
      <c r="O76" s="21">
        <v>7.0000000000000001E-3</v>
      </c>
      <c r="P76" s="21">
        <v>1.4999999999999999E-2</v>
      </c>
      <c r="Q76" s="1">
        <v>42277</v>
      </c>
      <c r="R76" s="1">
        <v>42277</v>
      </c>
      <c r="S76" s="21">
        <v>1.98</v>
      </c>
      <c r="T76" s="21" t="s">
        <v>19</v>
      </c>
      <c r="U76" s="21">
        <v>0.84399999999999997</v>
      </c>
      <c r="V76" s="21">
        <v>1.792</v>
      </c>
      <c r="W76" s="21">
        <v>16</v>
      </c>
      <c r="X76" s="21">
        <v>7</v>
      </c>
      <c r="Z76">
        <v>1844279.67</v>
      </c>
      <c r="AA76">
        <v>5595505.8870000001</v>
      </c>
      <c r="AB76">
        <v>323.18</v>
      </c>
    </row>
    <row r="77" spans="2:28" x14ac:dyDescent="0.3">
      <c r="B77">
        <v>40</v>
      </c>
      <c r="C77">
        <v>1499</v>
      </c>
      <c r="D77" t="s">
        <v>19</v>
      </c>
      <c r="E77" t="s">
        <v>37</v>
      </c>
      <c r="F77">
        <f>Z77-'Notes and corrections'!$H$32</f>
        <v>1844451.0458300002</v>
      </c>
      <c r="G77">
        <f>AA77-'Notes and corrections'!$I$32</f>
        <v>5595528.5662745005</v>
      </c>
      <c r="H77">
        <f>AB77-'Notes and corrections'!$J$32</f>
        <v>310.50054575000001</v>
      </c>
      <c r="I77" t="s">
        <v>272</v>
      </c>
      <c r="J77" t="s">
        <v>273</v>
      </c>
      <c r="K77">
        <v>328.255</v>
      </c>
      <c r="M77">
        <v>6.0000000000000001E-3</v>
      </c>
      <c r="N77">
        <v>1.98</v>
      </c>
      <c r="O77">
        <v>1.0999999999999999E-2</v>
      </c>
      <c r="P77">
        <v>0.02</v>
      </c>
      <c r="Q77" s="1">
        <v>42277</v>
      </c>
      <c r="R77" s="1">
        <v>42277</v>
      </c>
      <c r="S77">
        <v>1.6020000000000001</v>
      </c>
      <c r="T77" t="s">
        <v>19</v>
      </c>
      <c r="U77">
        <v>0.78100000000000003</v>
      </c>
      <c r="V77">
        <v>1.3979999999999999</v>
      </c>
      <c r="W77">
        <v>17</v>
      </c>
      <c r="X77">
        <v>7</v>
      </c>
      <c r="Z77">
        <v>1844451.01</v>
      </c>
      <c r="AA77">
        <v>5595528.5930000003</v>
      </c>
      <c r="AB77">
        <v>310.53100000000001</v>
      </c>
    </row>
    <row r="78" spans="2:28" x14ac:dyDescent="0.3">
      <c r="B78">
        <v>41</v>
      </c>
      <c r="C78" t="s">
        <v>274</v>
      </c>
      <c r="D78" t="s">
        <v>19</v>
      </c>
      <c r="E78" t="s">
        <v>37</v>
      </c>
      <c r="F78">
        <f>Z78-'Notes and corrections'!$H$32</f>
        <v>1844497.6338300002</v>
      </c>
      <c r="G78">
        <f>AA78-'Notes and corrections'!$I$32</f>
        <v>5595523.1272745002</v>
      </c>
      <c r="H78">
        <f>AB78-'Notes and corrections'!$J$32</f>
        <v>304.99554575000002</v>
      </c>
      <c r="I78" t="s">
        <v>275</v>
      </c>
      <c r="J78" t="s">
        <v>276</v>
      </c>
      <c r="K78">
        <v>322.75099999999998</v>
      </c>
      <c r="M78">
        <v>8.0000000000000002E-3</v>
      </c>
      <c r="N78">
        <v>1.98</v>
      </c>
      <c r="O78">
        <v>7.0000000000000001E-3</v>
      </c>
      <c r="P78">
        <v>1.2999999999999999E-2</v>
      </c>
      <c r="Q78" s="1">
        <v>42277</v>
      </c>
      <c r="R78" s="1">
        <v>42277</v>
      </c>
      <c r="S78">
        <v>2.2389999999999999</v>
      </c>
      <c r="T78" t="s">
        <v>19</v>
      </c>
      <c r="U78">
        <v>1.004</v>
      </c>
      <c r="V78">
        <v>2.0009999999999999</v>
      </c>
      <c r="W78">
        <v>16</v>
      </c>
      <c r="X78">
        <v>8</v>
      </c>
      <c r="Z78">
        <v>1844497.598</v>
      </c>
      <c r="AA78">
        <v>5595523.1540000001</v>
      </c>
      <c r="AB78">
        <v>305.02600000000001</v>
      </c>
    </row>
    <row r="79" spans="2:28" x14ac:dyDescent="0.3">
      <c r="B79">
        <v>42</v>
      </c>
      <c r="C79">
        <v>1471</v>
      </c>
      <c r="D79" t="s">
        <v>19</v>
      </c>
      <c r="E79" t="s">
        <v>37</v>
      </c>
      <c r="F79">
        <f>Z79-'Notes and corrections'!$H$32</f>
        <v>1844365.2618300002</v>
      </c>
      <c r="G79">
        <f>AA79-'Notes and corrections'!$I$32</f>
        <v>5595410.0322745005</v>
      </c>
      <c r="H79">
        <f>AB79-'Notes and corrections'!$J$32</f>
        <v>311.46954575000001</v>
      </c>
      <c r="I79" t="s">
        <v>277</v>
      </c>
      <c r="J79" t="s">
        <v>278</v>
      </c>
      <c r="K79">
        <v>329.209</v>
      </c>
      <c r="M79">
        <v>2E-3</v>
      </c>
      <c r="N79">
        <v>1.98</v>
      </c>
      <c r="O79">
        <v>6.0000000000000001E-3</v>
      </c>
      <c r="P79">
        <v>1.0999999999999999E-2</v>
      </c>
      <c r="Q79" s="1">
        <v>42277</v>
      </c>
      <c r="R79" s="1">
        <v>42277</v>
      </c>
      <c r="S79">
        <v>2.2050000000000001</v>
      </c>
      <c r="T79" t="s">
        <v>19</v>
      </c>
      <c r="U79">
        <v>1.008</v>
      </c>
      <c r="V79">
        <v>1.9610000000000001</v>
      </c>
      <c r="W79">
        <v>15</v>
      </c>
      <c r="X79">
        <v>8</v>
      </c>
      <c r="Z79">
        <v>1844365.226</v>
      </c>
      <c r="AA79">
        <v>5595410.0590000004</v>
      </c>
      <c r="AB79">
        <v>311.5</v>
      </c>
    </row>
    <row r="80" spans="2:28" x14ac:dyDescent="0.3">
      <c r="B80">
        <v>44</v>
      </c>
      <c r="C80" t="s">
        <v>282</v>
      </c>
      <c r="D80" t="s">
        <v>19</v>
      </c>
      <c r="E80" t="s">
        <v>37</v>
      </c>
      <c r="F80">
        <f>Z80-'Notes and corrections'!$H$32</f>
        <v>1844405.8968300002</v>
      </c>
      <c r="G80">
        <f>AA80-'Notes and corrections'!$I$32</f>
        <v>5595398.7612744998</v>
      </c>
      <c r="H80">
        <f>AB80-'Notes and corrections'!$J$32</f>
        <v>312.60954575</v>
      </c>
      <c r="I80" t="s">
        <v>283</v>
      </c>
      <c r="J80" t="s">
        <v>284</v>
      </c>
      <c r="K80">
        <v>330.34899999999999</v>
      </c>
      <c r="M80">
        <v>2E-3</v>
      </c>
      <c r="N80">
        <v>1.98</v>
      </c>
      <c r="O80">
        <v>6.0000000000000001E-3</v>
      </c>
      <c r="P80">
        <v>1.0999999999999999E-2</v>
      </c>
      <c r="Q80" s="1">
        <v>42277</v>
      </c>
      <c r="R80" s="1">
        <v>42277</v>
      </c>
      <c r="S80">
        <v>2.157</v>
      </c>
      <c r="T80" t="s">
        <v>19</v>
      </c>
      <c r="U80">
        <v>1.014</v>
      </c>
      <c r="V80">
        <v>1.9039999999999999</v>
      </c>
      <c r="W80">
        <v>15</v>
      </c>
      <c r="X80">
        <v>8</v>
      </c>
      <c r="Z80">
        <v>1844405.861</v>
      </c>
      <c r="AA80">
        <v>5595398.7879999997</v>
      </c>
      <c r="AB80">
        <v>312.64</v>
      </c>
    </row>
    <row r="81" spans="2:28" x14ac:dyDescent="0.3">
      <c r="B81">
        <v>45</v>
      </c>
      <c r="C81" t="s">
        <v>285</v>
      </c>
      <c r="D81" t="s">
        <v>19</v>
      </c>
      <c r="E81" t="s">
        <v>37</v>
      </c>
      <c r="F81">
        <f>Z81-'Notes and corrections'!$H$32</f>
        <v>1844433.9718300002</v>
      </c>
      <c r="G81">
        <f>AA81-'Notes and corrections'!$I$32</f>
        <v>5595435.7792745</v>
      </c>
      <c r="H81">
        <f>AB81-'Notes and corrections'!$J$32</f>
        <v>303.79454575</v>
      </c>
      <c r="I81" t="s">
        <v>286</v>
      </c>
      <c r="J81" t="s">
        <v>287</v>
      </c>
      <c r="K81">
        <v>321.53899999999999</v>
      </c>
      <c r="M81">
        <v>2E-3</v>
      </c>
      <c r="N81">
        <v>1.98</v>
      </c>
      <c r="O81">
        <v>8.9999999999999993E-3</v>
      </c>
      <c r="P81">
        <v>1.4999999999999999E-2</v>
      </c>
      <c r="Q81" s="1">
        <v>42277</v>
      </c>
      <c r="R81" s="1">
        <v>42277</v>
      </c>
      <c r="S81">
        <v>4.5039999999999996</v>
      </c>
      <c r="T81" t="s">
        <v>19</v>
      </c>
      <c r="U81">
        <v>2.3759999999999999</v>
      </c>
      <c r="V81">
        <v>3.8260000000000001</v>
      </c>
      <c r="W81">
        <v>22</v>
      </c>
      <c r="X81">
        <v>9</v>
      </c>
      <c r="Z81">
        <v>1844433.936</v>
      </c>
      <c r="AA81">
        <v>5595435.8059999999</v>
      </c>
      <c r="AB81">
        <v>303.82499999999999</v>
      </c>
    </row>
    <row r="82" spans="2:28" x14ac:dyDescent="0.3">
      <c r="B82">
        <v>46</v>
      </c>
      <c r="C82" t="s">
        <v>288</v>
      </c>
      <c r="D82" t="s">
        <v>19</v>
      </c>
      <c r="E82" t="s">
        <v>37</v>
      </c>
      <c r="F82">
        <f>Z82-'Notes and corrections'!$H$32</f>
        <v>1844209.7248300002</v>
      </c>
      <c r="G82">
        <f>AA82-'Notes and corrections'!$I$32</f>
        <v>5595602.1532744998</v>
      </c>
      <c r="H82">
        <f>AB82-'Notes and corrections'!$J$32</f>
        <v>356.94154574999999</v>
      </c>
      <c r="I82" t="s">
        <v>289</v>
      </c>
      <c r="J82" t="s">
        <v>290</v>
      </c>
      <c r="K82">
        <v>374.69099999999997</v>
      </c>
      <c r="M82">
        <v>4.0000000000000001E-3</v>
      </c>
      <c r="N82">
        <v>1.98</v>
      </c>
      <c r="O82">
        <v>0.01</v>
      </c>
      <c r="P82">
        <v>1.6E-2</v>
      </c>
      <c r="Q82" s="1">
        <v>42277</v>
      </c>
      <c r="R82" s="1">
        <v>42277</v>
      </c>
      <c r="S82">
        <v>1.377</v>
      </c>
      <c r="T82" t="s">
        <v>19</v>
      </c>
      <c r="U82">
        <v>0.749</v>
      </c>
      <c r="V82">
        <v>1.1559999999999999</v>
      </c>
      <c r="W82">
        <v>15</v>
      </c>
      <c r="X82">
        <v>9</v>
      </c>
      <c r="Z82">
        <v>1844209.689</v>
      </c>
      <c r="AA82">
        <v>5595602.1799999997</v>
      </c>
      <c r="AB82">
        <v>356.97199999999998</v>
      </c>
    </row>
    <row r="83" spans="2:28" x14ac:dyDescent="0.3">
      <c r="B83" s="21">
        <v>49</v>
      </c>
      <c r="C83" s="21" t="s">
        <v>297</v>
      </c>
      <c r="D83" s="21" t="s">
        <v>19</v>
      </c>
      <c r="E83" s="21" t="s">
        <v>37</v>
      </c>
      <c r="F83" s="21">
        <f>Z83-'Notes and corrections'!$H$32</f>
        <v>1844156.9858300001</v>
      </c>
      <c r="G83" s="21">
        <f>AA83-'Notes and corrections'!$I$32</f>
        <v>5595642.9452745002</v>
      </c>
      <c r="H83" s="21">
        <f>AB83-'Notes and corrections'!$J$32</f>
        <v>359.23354575000002</v>
      </c>
      <c r="I83" s="21" t="s">
        <v>298</v>
      </c>
      <c r="J83" s="21" t="s">
        <v>299</v>
      </c>
      <c r="K83" s="21">
        <v>376.98500000000001</v>
      </c>
      <c r="M83" s="21">
        <v>5.0000000000000001E-3</v>
      </c>
      <c r="N83" s="21">
        <v>1.98</v>
      </c>
      <c r="O83" s="21">
        <v>1.2E-2</v>
      </c>
      <c r="P83" s="21">
        <v>1.7999999999999999E-2</v>
      </c>
      <c r="Q83" s="1">
        <v>42277</v>
      </c>
      <c r="R83" s="1">
        <v>42277</v>
      </c>
      <c r="S83" s="21">
        <v>1.373</v>
      </c>
      <c r="T83" s="21" t="s">
        <v>19</v>
      </c>
      <c r="U83" s="21">
        <v>0.73599999999999999</v>
      </c>
      <c r="V83" s="21">
        <v>1.1599999999999999</v>
      </c>
      <c r="W83" s="21">
        <v>25</v>
      </c>
      <c r="X83" s="21">
        <v>9</v>
      </c>
      <c r="Z83">
        <v>1844156.95</v>
      </c>
      <c r="AA83">
        <v>5595642.9720000001</v>
      </c>
      <c r="AB83">
        <v>359.26400000000001</v>
      </c>
    </row>
    <row r="84" spans="2:28" x14ac:dyDescent="0.3">
      <c r="B84">
        <v>50</v>
      </c>
      <c r="C84">
        <v>1783</v>
      </c>
      <c r="D84" t="s">
        <v>19</v>
      </c>
      <c r="E84" t="s">
        <v>37</v>
      </c>
      <c r="F84">
        <f>Z84-'Notes and corrections'!$H$32</f>
        <v>1844210.6188300003</v>
      </c>
      <c r="G84">
        <f>AA84-'Notes and corrections'!$I$32</f>
        <v>5595778.3072744999</v>
      </c>
      <c r="H84">
        <f>AB84-'Notes and corrections'!$J$32</f>
        <v>363.64954575000002</v>
      </c>
      <c r="I84" t="s">
        <v>300</v>
      </c>
      <c r="J84" t="s">
        <v>301</v>
      </c>
      <c r="K84">
        <v>381.416</v>
      </c>
      <c r="M84">
        <v>6.0000000000000001E-3</v>
      </c>
      <c r="N84">
        <v>1.98</v>
      </c>
      <c r="O84">
        <v>8.9999999999999993E-3</v>
      </c>
      <c r="P84">
        <v>1.4E-2</v>
      </c>
      <c r="Q84" s="1">
        <v>42277</v>
      </c>
      <c r="R84" s="1">
        <v>42277</v>
      </c>
      <c r="S84">
        <v>1.4530000000000001</v>
      </c>
      <c r="T84" t="s">
        <v>19</v>
      </c>
      <c r="U84">
        <v>0.77600000000000002</v>
      </c>
      <c r="V84">
        <v>1.228</v>
      </c>
      <c r="W84">
        <v>15</v>
      </c>
      <c r="X84">
        <v>9</v>
      </c>
      <c r="Z84">
        <v>1844210.5830000001</v>
      </c>
      <c r="AA84">
        <v>5595778.3339999998</v>
      </c>
      <c r="AB84">
        <v>363.68</v>
      </c>
    </row>
    <row r="85" spans="2:28" x14ac:dyDescent="0.3">
      <c r="B85">
        <v>51</v>
      </c>
      <c r="C85">
        <v>1919</v>
      </c>
      <c r="D85" t="s">
        <v>19</v>
      </c>
      <c r="E85" t="s">
        <v>37</v>
      </c>
      <c r="F85">
        <f>Z85-'Notes and corrections'!$H$32</f>
        <v>1844298.6198300002</v>
      </c>
      <c r="G85">
        <f>AA85-'Notes and corrections'!$I$32</f>
        <v>5595872.1712745</v>
      </c>
      <c r="H85">
        <f>AB85-'Notes and corrections'!$J$32</f>
        <v>383.80254575000004</v>
      </c>
      <c r="I85" t="s">
        <v>302</v>
      </c>
      <c r="J85" t="s">
        <v>303</v>
      </c>
      <c r="K85">
        <v>401.58199999999999</v>
      </c>
      <c r="M85">
        <v>4.0000000000000001E-3</v>
      </c>
      <c r="N85">
        <v>1.98</v>
      </c>
      <c r="O85">
        <v>8.9999999999999993E-3</v>
      </c>
      <c r="P85">
        <v>1.4E-2</v>
      </c>
      <c r="Q85" s="1">
        <v>42277</v>
      </c>
      <c r="R85" s="1">
        <v>42277</v>
      </c>
      <c r="S85">
        <v>1.3460000000000001</v>
      </c>
      <c r="T85" t="s">
        <v>19</v>
      </c>
      <c r="U85">
        <v>0.72099999999999997</v>
      </c>
      <c r="V85">
        <v>1.137</v>
      </c>
      <c r="W85">
        <v>15</v>
      </c>
      <c r="X85">
        <v>9</v>
      </c>
      <c r="Z85">
        <v>1844298.584</v>
      </c>
      <c r="AA85">
        <v>5595872.1979999999</v>
      </c>
      <c r="AB85">
        <v>383.83300000000003</v>
      </c>
    </row>
    <row r="86" spans="2:28" x14ac:dyDescent="0.3">
      <c r="B86" s="21">
        <v>52</v>
      </c>
      <c r="C86" s="21" t="s">
        <v>304</v>
      </c>
      <c r="D86" s="21" t="s">
        <v>19</v>
      </c>
      <c r="E86" s="21" t="s">
        <v>37</v>
      </c>
      <c r="F86" s="21">
        <f>Z86-'Notes and corrections'!$H$32</f>
        <v>1844355.8338300001</v>
      </c>
      <c r="G86" s="21">
        <f>AA86-'Notes and corrections'!$I$32</f>
        <v>5595870.2462745002</v>
      </c>
      <c r="H86" s="21">
        <f>AB86-'Notes and corrections'!$J$32</f>
        <v>383.75654574999999</v>
      </c>
      <c r="I86" s="21" t="s">
        <v>305</v>
      </c>
      <c r="J86" s="21" t="s">
        <v>306</v>
      </c>
      <c r="K86" s="21">
        <v>401.53800000000001</v>
      </c>
      <c r="M86" s="21">
        <v>4.0000000000000001E-3</v>
      </c>
      <c r="N86" s="21">
        <v>1.98</v>
      </c>
      <c r="O86" s="21">
        <v>8.9999999999999993E-3</v>
      </c>
      <c r="P86" s="21">
        <v>1.2999999999999999E-2</v>
      </c>
      <c r="Q86" s="1">
        <v>42277</v>
      </c>
      <c r="R86" s="1">
        <v>42277</v>
      </c>
      <c r="S86" s="21">
        <v>1.339</v>
      </c>
      <c r="T86" s="21" t="s">
        <v>19</v>
      </c>
      <c r="U86" s="21">
        <v>0.746</v>
      </c>
      <c r="V86" s="21">
        <v>1.1120000000000001</v>
      </c>
      <c r="W86" s="21">
        <v>15</v>
      </c>
      <c r="X86" s="21">
        <v>10</v>
      </c>
      <c r="Z86">
        <v>1844355.798</v>
      </c>
      <c r="AA86">
        <v>5595870.273</v>
      </c>
      <c r="AB86">
        <v>383.78699999999998</v>
      </c>
    </row>
    <row r="87" spans="2:28" x14ac:dyDescent="0.3">
      <c r="B87">
        <v>55</v>
      </c>
      <c r="C87">
        <v>2047</v>
      </c>
      <c r="D87" t="s">
        <v>19</v>
      </c>
      <c r="E87" t="s">
        <v>37</v>
      </c>
      <c r="F87">
        <f>Z87-'Notes and corrections'!$H$32</f>
        <v>1844345.7318300002</v>
      </c>
      <c r="G87">
        <f>AA87-'Notes and corrections'!$I$32</f>
        <v>5595798.9422744997</v>
      </c>
      <c r="H87">
        <f>AB87-'Notes and corrections'!$J$32</f>
        <v>358.26554575</v>
      </c>
      <c r="I87" t="s">
        <v>313</v>
      </c>
      <c r="J87" t="s">
        <v>314</v>
      </c>
      <c r="K87">
        <v>376.041</v>
      </c>
      <c r="M87">
        <v>3.0000000000000001E-3</v>
      </c>
      <c r="N87">
        <v>1.98</v>
      </c>
      <c r="O87">
        <v>6.0000000000000001E-3</v>
      </c>
      <c r="P87">
        <v>0.01</v>
      </c>
      <c r="Q87" s="1">
        <v>42277</v>
      </c>
      <c r="R87" s="1">
        <v>42277</v>
      </c>
      <c r="S87">
        <v>1.615</v>
      </c>
      <c r="T87" t="s">
        <v>19</v>
      </c>
      <c r="U87">
        <v>0.86199999999999999</v>
      </c>
      <c r="V87">
        <v>1.3660000000000001</v>
      </c>
      <c r="W87">
        <v>15</v>
      </c>
      <c r="X87">
        <v>9</v>
      </c>
      <c r="Z87">
        <v>1844345.696</v>
      </c>
      <c r="AA87">
        <v>5595798.9689999996</v>
      </c>
      <c r="AB87">
        <v>358.29599999999999</v>
      </c>
    </row>
  </sheetData>
  <sortState xmlns:xlrd2="http://schemas.microsoft.com/office/spreadsheetml/2017/richdata2" ref="B2:AB52">
    <sortCondition ref="E2:E52"/>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AH43"/>
  <sheetViews>
    <sheetView zoomScale="70" zoomScaleNormal="70" workbookViewId="0">
      <selection activeCell="A5" sqref="A5:XFD5"/>
    </sheetView>
  </sheetViews>
  <sheetFormatPr defaultRowHeight="14.4" x14ac:dyDescent="0.3"/>
  <cols>
    <col min="2" max="2" width="9.109375" customWidth="1"/>
    <col min="4" max="5" width="9.109375" customWidth="1"/>
    <col min="6" max="6" width="12.44140625" customWidth="1"/>
    <col min="7" max="7" width="12" customWidth="1"/>
    <col min="9" max="12" width="9.109375" customWidth="1"/>
    <col min="15" max="18" width="9.109375" customWidth="1"/>
    <col min="20" max="31" width="9.109375" customWidth="1"/>
    <col min="32" max="32" width="12.88671875" customWidth="1"/>
    <col min="33" max="37" width="9.109375" customWidth="1"/>
  </cols>
  <sheetData>
    <row r="1" spans="1:34" x14ac:dyDescent="0.3">
      <c r="AB1" t="s">
        <v>395</v>
      </c>
    </row>
    <row r="2" spans="1:34" x14ac:dyDescent="0.3">
      <c r="A2" s="5" t="s">
        <v>535</v>
      </c>
      <c r="B2" t="s">
        <v>0</v>
      </c>
      <c r="C2" t="s">
        <v>1</v>
      </c>
      <c r="D2" t="s">
        <v>2</v>
      </c>
      <c r="E2" t="s">
        <v>89</v>
      </c>
      <c r="F2" t="s">
        <v>5</v>
      </c>
      <c r="G2" t="s">
        <v>6</v>
      </c>
      <c r="H2" t="s">
        <v>7</v>
      </c>
      <c r="I2" t="s">
        <v>90</v>
      </c>
      <c r="J2" t="s">
        <v>91</v>
      </c>
      <c r="K2" t="s">
        <v>92</v>
      </c>
      <c r="L2" t="s">
        <v>93</v>
      </c>
      <c r="N2" t="s">
        <v>98</v>
      </c>
      <c r="O2" t="s">
        <v>96</v>
      </c>
      <c r="P2" t="s">
        <v>97</v>
      </c>
      <c r="Q2" t="s">
        <v>94</v>
      </c>
      <c r="R2" t="s">
        <v>95</v>
      </c>
      <c r="T2" t="s">
        <v>99</v>
      </c>
      <c r="U2" t="s">
        <v>100</v>
      </c>
      <c r="V2" t="s">
        <v>101</v>
      </c>
      <c r="W2" t="s">
        <v>102</v>
      </c>
      <c r="X2" t="s">
        <v>103</v>
      </c>
      <c r="Y2" t="s">
        <v>104</v>
      </c>
      <c r="AB2" t="s">
        <v>5</v>
      </c>
      <c r="AC2" t="s">
        <v>6</v>
      </c>
      <c r="AD2" t="s">
        <v>7</v>
      </c>
    </row>
    <row r="3" spans="1:34" x14ac:dyDescent="0.3">
      <c r="A3" s="5" t="s">
        <v>18</v>
      </c>
      <c r="B3" s="21"/>
      <c r="C3" s="21"/>
      <c r="D3" s="21"/>
      <c r="E3" s="21"/>
      <c r="F3" s="21"/>
      <c r="G3" s="21"/>
      <c r="H3" s="21"/>
      <c r="I3" s="21"/>
      <c r="J3" s="21"/>
      <c r="K3" s="21"/>
      <c r="L3" s="21"/>
      <c r="N3" s="21"/>
      <c r="O3" s="21"/>
      <c r="P3" s="21"/>
      <c r="Q3" s="21"/>
      <c r="R3" s="21"/>
      <c r="T3" s="21"/>
      <c r="U3" s="21"/>
      <c r="V3" s="21"/>
      <c r="W3" s="21"/>
      <c r="X3" s="21"/>
      <c r="Y3" s="21"/>
      <c r="Z3" s="21"/>
      <c r="AA3" s="21"/>
      <c r="AB3" s="21"/>
      <c r="AC3" s="21"/>
      <c r="AD3" s="21"/>
    </row>
    <row r="4" spans="1:34" x14ac:dyDescent="0.3">
      <c r="A4" s="5" t="s">
        <v>23</v>
      </c>
      <c r="B4">
        <v>1</v>
      </c>
      <c r="C4" t="s">
        <v>23</v>
      </c>
      <c r="D4" t="s">
        <v>19</v>
      </c>
      <c r="E4" t="s">
        <v>19</v>
      </c>
      <c r="F4">
        <f>AB4-'Notes and corrections'!H$33</f>
        <v>1844287.3058300002</v>
      </c>
      <c r="G4">
        <f>AC4-'Notes and corrections'!I$33</f>
        <v>5596665.7112745009</v>
      </c>
      <c r="H4">
        <f>AD4-'Notes and corrections'!J$33</f>
        <v>432.59354575000003</v>
      </c>
      <c r="I4" t="s">
        <v>325</v>
      </c>
      <c r="J4" t="s">
        <v>326</v>
      </c>
      <c r="K4">
        <v>450.44299999999998</v>
      </c>
      <c r="L4">
        <v>1.98</v>
      </c>
      <c r="N4">
        <v>2E-3</v>
      </c>
      <c r="O4">
        <v>1.7000000000000001E-2</v>
      </c>
      <c r="P4">
        <v>2.3E-2</v>
      </c>
      <c r="Q4" s="1">
        <v>42188</v>
      </c>
      <c r="R4" s="1">
        <v>42188</v>
      </c>
      <c r="T4">
        <v>1.667</v>
      </c>
      <c r="U4" t="s">
        <v>19</v>
      </c>
      <c r="V4">
        <v>1.002</v>
      </c>
      <c r="W4">
        <v>1.3320000000000001</v>
      </c>
      <c r="X4">
        <v>50</v>
      </c>
      <c r="Y4">
        <v>7</v>
      </c>
      <c r="AB4">
        <v>1844287.2590000001</v>
      </c>
      <c r="AC4">
        <v>5596665.733</v>
      </c>
      <c r="AD4">
        <v>432.61700000000002</v>
      </c>
      <c r="AF4" s="25"/>
      <c r="AG4" s="25"/>
      <c r="AH4" s="25"/>
    </row>
    <row r="5" spans="1:34" s="21" customFormat="1" x14ac:dyDescent="0.3">
      <c r="A5" s="5" t="s">
        <v>551</v>
      </c>
      <c r="Q5" s="1"/>
      <c r="R5" s="2"/>
    </row>
    <row r="6" spans="1:34" x14ac:dyDescent="0.3">
      <c r="A6" s="5">
        <v>1</v>
      </c>
      <c r="Q6" s="21"/>
      <c r="R6" s="21"/>
      <c r="AF6" s="25"/>
      <c r="AG6" s="25"/>
      <c r="AH6" s="25"/>
    </row>
    <row r="7" spans="1:34" x14ac:dyDescent="0.3">
      <c r="A7" s="5">
        <v>2</v>
      </c>
      <c r="B7">
        <v>6</v>
      </c>
      <c r="C7">
        <v>2</v>
      </c>
      <c r="F7">
        <f>AB7-'Notes and corrections'!H$33</f>
        <v>1844327.1818300001</v>
      </c>
      <c r="G7">
        <f>AC7-'Notes and corrections'!I$33</f>
        <v>5596603.3272745013</v>
      </c>
      <c r="H7">
        <f>AD7-'Notes and corrections'!J$33</f>
        <v>430.49454574999999</v>
      </c>
      <c r="I7" t="s">
        <v>335</v>
      </c>
      <c r="J7" t="s">
        <v>336</v>
      </c>
      <c r="K7">
        <v>448.339</v>
      </c>
      <c r="L7">
        <v>1.98</v>
      </c>
      <c r="N7">
        <v>7.0000000000000001E-3</v>
      </c>
      <c r="O7">
        <v>7.0000000000000001E-3</v>
      </c>
      <c r="P7">
        <v>8.9999999999999993E-3</v>
      </c>
      <c r="Q7" s="1">
        <v>42188</v>
      </c>
      <c r="R7" s="1">
        <v>42188</v>
      </c>
      <c r="T7">
        <v>1.302</v>
      </c>
      <c r="U7" t="s">
        <v>19</v>
      </c>
      <c r="V7">
        <v>0.71499999999999997</v>
      </c>
      <c r="W7">
        <v>1.0880000000000001</v>
      </c>
      <c r="X7">
        <v>15</v>
      </c>
      <c r="Y7">
        <v>7</v>
      </c>
      <c r="AB7">
        <v>1844327.135</v>
      </c>
      <c r="AC7">
        <v>5596603.3490000004</v>
      </c>
      <c r="AD7">
        <v>430.51799999999997</v>
      </c>
      <c r="AF7" s="25"/>
      <c r="AG7" s="25"/>
      <c r="AH7" s="25"/>
    </row>
    <row r="8" spans="1:34" x14ac:dyDescent="0.3">
      <c r="A8" s="5">
        <v>3</v>
      </c>
      <c r="B8">
        <v>18</v>
      </c>
      <c r="C8">
        <v>3</v>
      </c>
      <c r="D8" s="21"/>
      <c r="E8" s="21"/>
      <c r="AF8" s="25"/>
      <c r="AG8" s="25"/>
      <c r="AH8" s="25"/>
    </row>
    <row r="9" spans="1:34" x14ac:dyDescent="0.3">
      <c r="A9" s="5">
        <v>4</v>
      </c>
      <c r="B9">
        <v>5</v>
      </c>
      <c r="C9">
        <v>4</v>
      </c>
      <c r="D9" s="21"/>
      <c r="E9" s="21"/>
      <c r="F9">
        <f>AB9-'Notes and corrections'!H$33</f>
        <v>1844444.4688300001</v>
      </c>
      <c r="G9">
        <f>AC9-'Notes and corrections'!I$33</f>
        <v>5596429.2242745012</v>
      </c>
      <c r="H9">
        <f>AD9-'Notes and corrections'!J$33</f>
        <v>421.90254575</v>
      </c>
      <c r="I9" t="s">
        <v>333</v>
      </c>
      <c r="J9" t="s">
        <v>334</v>
      </c>
      <c r="K9">
        <v>439.73599999999999</v>
      </c>
      <c r="L9">
        <v>1.98</v>
      </c>
      <c r="N9">
        <v>3.0000000000000001E-3</v>
      </c>
      <c r="O9">
        <v>8.0000000000000002E-3</v>
      </c>
      <c r="P9">
        <v>1.2E-2</v>
      </c>
      <c r="Q9" s="1">
        <v>42188</v>
      </c>
      <c r="R9" s="1">
        <v>42188</v>
      </c>
      <c r="T9">
        <v>1.873</v>
      </c>
      <c r="U9" t="s">
        <v>19</v>
      </c>
      <c r="V9">
        <v>1.0369999999999999</v>
      </c>
      <c r="W9">
        <v>1.56</v>
      </c>
      <c r="X9">
        <v>15</v>
      </c>
      <c r="Y9">
        <v>9</v>
      </c>
      <c r="AB9">
        <v>1844444.422</v>
      </c>
      <c r="AC9">
        <v>5596429.2460000003</v>
      </c>
      <c r="AD9">
        <v>421.92599999999999</v>
      </c>
      <c r="AF9" s="25"/>
      <c r="AG9" s="25"/>
      <c r="AH9" s="25"/>
    </row>
    <row r="10" spans="1:34" x14ac:dyDescent="0.3">
      <c r="A10" s="5">
        <v>5</v>
      </c>
      <c r="B10">
        <v>4</v>
      </c>
      <c r="C10">
        <v>5</v>
      </c>
      <c r="D10" s="21"/>
      <c r="E10" s="21"/>
      <c r="F10">
        <f>AB10-'Notes and corrections'!H$33</f>
        <v>1844577.6928300001</v>
      </c>
      <c r="G10">
        <f>AC10-'Notes and corrections'!I$33</f>
        <v>5596364.9712745007</v>
      </c>
      <c r="H10">
        <f>AD10-'Notes and corrections'!J$33</f>
        <v>414.71554574999999</v>
      </c>
      <c r="I10" t="s">
        <v>331</v>
      </c>
      <c r="J10" t="s">
        <v>332</v>
      </c>
      <c r="K10">
        <v>432.54899999999998</v>
      </c>
      <c r="L10">
        <v>1.98</v>
      </c>
      <c r="N10">
        <v>4.0000000000000001E-3</v>
      </c>
      <c r="O10">
        <v>6.0000000000000001E-3</v>
      </c>
      <c r="P10">
        <v>0.01</v>
      </c>
      <c r="Q10" s="1">
        <v>42188</v>
      </c>
      <c r="R10" s="1">
        <v>42188</v>
      </c>
      <c r="T10">
        <v>1.61</v>
      </c>
      <c r="U10" t="s">
        <v>19</v>
      </c>
      <c r="V10">
        <v>0.9</v>
      </c>
      <c r="W10">
        <v>1.335</v>
      </c>
      <c r="X10">
        <v>16</v>
      </c>
      <c r="Y10">
        <v>9</v>
      </c>
      <c r="AB10">
        <v>1844577.6459999999</v>
      </c>
      <c r="AC10">
        <v>5596364.9929999998</v>
      </c>
      <c r="AD10">
        <v>414.73899999999998</v>
      </c>
      <c r="AF10" s="25"/>
      <c r="AG10" s="25"/>
      <c r="AH10" s="25"/>
    </row>
    <row r="11" spans="1:34" x14ac:dyDescent="0.3">
      <c r="A11" s="5">
        <v>6</v>
      </c>
      <c r="B11">
        <v>3</v>
      </c>
      <c r="C11">
        <v>6</v>
      </c>
      <c r="D11" s="21"/>
      <c r="E11" s="21"/>
      <c r="F11">
        <f>AB11-'Notes and corrections'!H$33</f>
        <v>1844789.2888300002</v>
      </c>
      <c r="G11">
        <f>AC11-'Notes and corrections'!I$33</f>
        <v>5596420.2022745013</v>
      </c>
      <c r="H11">
        <f>AD11-'Notes and corrections'!J$33</f>
        <v>421.45054575</v>
      </c>
      <c r="I11" t="s">
        <v>329</v>
      </c>
      <c r="J11" t="s">
        <v>330</v>
      </c>
      <c r="K11">
        <v>439.298</v>
      </c>
      <c r="L11">
        <v>1.98</v>
      </c>
      <c r="N11">
        <v>5.0000000000000001E-3</v>
      </c>
      <c r="O11">
        <v>7.0000000000000001E-3</v>
      </c>
      <c r="P11">
        <v>1.0999999999999999E-2</v>
      </c>
      <c r="Q11" s="1">
        <v>42188</v>
      </c>
      <c r="R11" s="1">
        <v>42188</v>
      </c>
      <c r="T11">
        <v>1.59</v>
      </c>
      <c r="U11" t="s">
        <v>19</v>
      </c>
      <c r="V11">
        <v>0.90500000000000003</v>
      </c>
      <c r="W11">
        <v>1.3080000000000001</v>
      </c>
      <c r="X11">
        <v>15</v>
      </c>
      <c r="Y11">
        <v>9</v>
      </c>
      <c r="AB11">
        <v>1844789.2420000001</v>
      </c>
      <c r="AC11">
        <v>5596420.2240000004</v>
      </c>
      <c r="AD11">
        <v>421.47399999999999</v>
      </c>
      <c r="AF11" s="25"/>
      <c r="AG11" s="25"/>
      <c r="AH11" s="25"/>
    </row>
    <row r="12" spans="1:34" x14ac:dyDescent="0.3">
      <c r="A12" s="5">
        <v>7</v>
      </c>
      <c r="B12">
        <v>2</v>
      </c>
      <c r="C12">
        <v>7</v>
      </c>
      <c r="D12" s="21"/>
      <c r="E12" s="21"/>
      <c r="F12">
        <f>AB12-'Notes and corrections'!H$33</f>
        <v>1844897.4278300002</v>
      </c>
      <c r="G12">
        <f>AC12-'Notes and corrections'!I$33</f>
        <v>5596315.6522745006</v>
      </c>
      <c r="H12">
        <f>AD12-'Notes and corrections'!J$33</f>
        <v>399.10854575000002</v>
      </c>
      <c r="I12" t="s">
        <v>327</v>
      </c>
      <c r="J12" t="s">
        <v>328</v>
      </c>
      <c r="K12">
        <v>416.95100000000002</v>
      </c>
      <c r="L12">
        <v>1.98</v>
      </c>
      <c r="N12">
        <v>3.0000000000000001E-3</v>
      </c>
      <c r="O12">
        <v>7.0000000000000001E-3</v>
      </c>
      <c r="P12">
        <v>0.01</v>
      </c>
      <c r="Q12" s="1">
        <v>42188</v>
      </c>
      <c r="R12" s="1">
        <v>42188</v>
      </c>
      <c r="T12">
        <v>1.105</v>
      </c>
      <c r="U12" t="s">
        <v>19</v>
      </c>
      <c r="V12">
        <v>0.64300000000000002</v>
      </c>
      <c r="W12">
        <v>0.89900000000000002</v>
      </c>
      <c r="X12">
        <v>15</v>
      </c>
      <c r="Y12">
        <v>9</v>
      </c>
      <c r="AB12">
        <v>1844897.3810000001</v>
      </c>
      <c r="AC12">
        <v>5596315.6739999996</v>
      </c>
      <c r="AD12">
        <v>399.13200000000001</v>
      </c>
      <c r="AF12" s="25"/>
      <c r="AG12" s="25"/>
      <c r="AH12" s="25"/>
    </row>
    <row r="13" spans="1:34" x14ac:dyDescent="0.3">
      <c r="A13" s="5">
        <v>8</v>
      </c>
      <c r="B13">
        <v>9</v>
      </c>
      <c r="C13">
        <v>8</v>
      </c>
      <c r="D13" s="21"/>
      <c r="E13" s="21"/>
      <c r="F13">
        <f>AB13-'Notes and corrections'!H$33</f>
        <v>1844684.9408300002</v>
      </c>
      <c r="G13">
        <f>AC13-'Notes and corrections'!I$33</f>
        <v>5596192.1942745009</v>
      </c>
      <c r="H13">
        <f>AD13-'Notes and corrections'!J$33</f>
        <v>403.08254575000001</v>
      </c>
      <c r="I13" t="s">
        <v>341</v>
      </c>
      <c r="J13" t="s">
        <v>192</v>
      </c>
      <c r="K13">
        <v>420.90300000000002</v>
      </c>
      <c r="L13">
        <v>1.98</v>
      </c>
      <c r="N13">
        <v>3.0000000000000001E-3</v>
      </c>
      <c r="O13">
        <v>6.0000000000000001E-3</v>
      </c>
      <c r="P13">
        <v>0.01</v>
      </c>
      <c r="Q13" s="1">
        <v>42188</v>
      </c>
      <c r="R13" s="1">
        <v>42188</v>
      </c>
      <c r="T13">
        <v>1.6240000000000001</v>
      </c>
      <c r="U13" t="s">
        <v>19</v>
      </c>
      <c r="V13">
        <v>0.90600000000000003</v>
      </c>
      <c r="W13">
        <v>1.3480000000000001</v>
      </c>
      <c r="X13">
        <v>15</v>
      </c>
      <c r="Y13">
        <v>9</v>
      </c>
      <c r="AB13">
        <v>1844684.8940000001</v>
      </c>
      <c r="AC13">
        <v>5596192.216</v>
      </c>
      <c r="AD13">
        <v>403.10599999999999</v>
      </c>
      <c r="AF13" s="25"/>
      <c r="AG13" s="25"/>
      <c r="AH13" s="25"/>
    </row>
    <row r="14" spans="1:34" x14ac:dyDescent="0.3">
      <c r="A14" s="5">
        <v>9</v>
      </c>
      <c r="B14">
        <v>8</v>
      </c>
      <c r="C14">
        <v>9</v>
      </c>
      <c r="D14" s="21"/>
      <c r="E14" s="21"/>
      <c r="F14">
        <f>AB14-'Notes and corrections'!H$33</f>
        <v>1844488.6208300001</v>
      </c>
      <c r="G14">
        <f>AC14-'Notes and corrections'!I$33</f>
        <v>5596190.8352745008</v>
      </c>
      <c r="H14">
        <f>AD14-'Notes and corrections'!J$33</f>
        <v>401.19754575000002</v>
      </c>
      <c r="I14" t="s">
        <v>339</v>
      </c>
      <c r="J14" t="s">
        <v>340</v>
      </c>
      <c r="K14">
        <v>419.01</v>
      </c>
      <c r="L14">
        <v>1.98</v>
      </c>
      <c r="N14">
        <v>7.0000000000000001E-3</v>
      </c>
      <c r="O14">
        <v>0.01</v>
      </c>
      <c r="P14">
        <v>1.4999999999999999E-2</v>
      </c>
      <c r="Q14" s="1">
        <v>42188</v>
      </c>
      <c r="R14" s="1">
        <v>42188</v>
      </c>
      <c r="T14">
        <v>1.5029999999999999</v>
      </c>
      <c r="U14" t="s">
        <v>19</v>
      </c>
      <c r="V14">
        <v>0.81699999999999995</v>
      </c>
      <c r="W14">
        <v>1.262</v>
      </c>
      <c r="X14">
        <v>15</v>
      </c>
      <c r="Y14">
        <v>10</v>
      </c>
      <c r="AB14">
        <v>1844488.574</v>
      </c>
      <c r="AC14">
        <v>5596190.8569999998</v>
      </c>
      <c r="AD14">
        <v>401.221</v>
      </c>
      <c r="AF14" s="25"/>
      <c r="AG14" s="25"/>
      <c r="AH14" s="25"/>
    </row>
    <row r="15" spans="1:34" x14ac:dyDescent="0.3">
      <c r="A15" s="5">
        <v>10</v>
      </c>
      <c r="B15">
        <v>7</v>
      </c>
      <c r="C15">
        <v>10</v>
      </c>
      <c r="D15" s="21"/>
      <c r="E15" s="21"/>
      <c r="F15">
        <f>AB15-'Notes and corrections'!H$33</f>
        <v>1844340.31183</v>
      </c>
      <c r="G15">
        <f>AC15-'Notes and corrections'!I$33</f>
        <v>5596229.3912745006</v>
      </c>
      <c r="H15">
        <f>AD15-'Notes and corrections'!J$33</f>
        <v>405.90654575000002</v>
      </c>
      <c r="I15" t="s">
        <v>337</v>
      </c>
      <c r="J15" t="s">
        <v>338</v>
      </c>
      <c r="K15">
        <v>423.71499999999997</v>
      </c>
      <c r="L15">
        <v>1.98</v>
      </c>
      <c r="N15">
        <v>5.0000000000000001E-3</v>
      </c>
      <c r="O15">
        <v>6.0000000000000001E-3</v>
      </c>
      <c r="P15">
        <v>0.01</v>
      </c>
      <c r="Q15" s="1">
        <v>42188</v>
      </c>
      <c r="R15" s="1">
        <v>42188</v>
      </c>
      <c r="T15">
        <v>1.605</v>
      </c>
      <c r="U15" t="s">
        <v>19</v>
      </c>
      <c r="V15">
        <v>0.88400000000000001</v>
      </c>
      <c r="W15">
        <v>1.34</v>
      </c>
      <c r="X15">
        <v>15</v>
      </c>
      <c r="Y15">
        <v>9</v>
      </c>
      <c r="AB15">
        <v>1844340.2649999999</v>
      </c>
      <c r="AC15">
        <v>5596229.4129999997</v>
      </c>
      <c r="AD15">
        <v>405.93</v>
      </c>
      <c r="AF15" s="25"/>
      <c r="AG15" s="25"/>
      <c r="AH15" s="25"/>
    </row>
    <row r="16" spans="1:34" x14ac:dyDescent="0.3">
      <c r="A16" s="5">
        <v>11</v>
      </c>
      <c r="B16">
        <v>10</v>
      </c>
      <c r="C16">
        <v>11</v>
      </c>
      <c r="D16" s="21"/>
      <c r="E16" s="21"/>
      <c r="F16">
        <f>AB16-'Notes and corrections'!H$33</f>
        <v>1844394.6788300001</v>
      </c>
      <c r="G16">
        <f>AC16-'Notes and corrections'!I$33</f>
        <v>5596019.6142745009</v>
      </c>
      <c r="H16">
        <f>AD16-'Notes and corrections'!J$33</f>
        <v>390.49354575000001</v>
      </c>
      <c r="I16" t="s">
        <v>342</v>
      </c>
      <c r="J16" t="s">
        <v>343</v>
      </c>
      <c r="K16">
        <v>408.28500000000003</v>
      </c>
      <c r="L16">
        <v>1.98</v>
      </c>
      <c r="N16">
        <v>5.0000000000000001E-3</v>
      </c>
      <c r="O16">
        <v>6.0000000000000001E-3</v>
      </c>
      <c r="P16">
        <v>1.2E-2</v>
      </c>
      <c r="Q16" s="1">
        <v>42188</v>
      </c>
      <c r="R16" s="1">
        <v>42188</v>
      </c>
      <c r="T16">
        <v>2.2170000000000001</v>
      </c>
      <c r="U16" t="s">
        <v>19</v>
      </c>
      <c r="V16">
        <v>1.0509999999999999</v>
      </c>
      <c r="W16">
        <v>1.952</v>
      </c>
      <c r="X16">
        <v>15</v>
      </c>
      <c r="Y16">
        <v>8</v>
      </c>
      <c r="AB16">
        <v>1844394.632</v>
      </c>
      <c r="AC16">
        <v>5596019.6359999999</v>
      </c>
      <c r="AD16">
        <v>390.517</v>
      </c>
      <c r="AF16" s="25"/>
      <c r="AG16" s="25"/>
      <c r="AH16" s="25"/>
    </row>
    <row r="17" spans="1:34" x14ac:dyDescent="0.3">
      <c r="A17" s="5">
        <v>12</v>
      </c>
      <c r="B17">
        <v>11</v>
      </c>
      <c r="C17">
        <v>12</v>
      </c>
      <c r="D17" s="21"/>
      <c r="E17" s="21"/>
      <c r="F17">
        <f>AB17-'Notes and corrections'!H$33</f>
        <v>1844570.0128300001</v>
      </c>
      <c r="G17">
        <f>AC17-'Notes and corrections'!I$33</f>
        <v>5596019.3492745012</v>
      </c>
      <c r="H17">
        <f>AD17-'Notes and corrections'!J$33</f>
        <v>398.63954575000002</v>
      </c>
      <c r="I17" t="s">
        <v>344</v>
      </c>
      <c r="J17" t="s">
        <v>345</v>
      </c>
      <c r="K17">
        <v>416.43900000000002</v>
      </c>
      <c r="L17">
        <v>1.98</v>
      </c>
      <c r="N17">
        <v>2E-3</v>
      </c>
      <c r="O17">
        <v>5.0000000000000001E-3</v>
      </c>
      <c r="P17">
        <v>0.01</v>
      </c>
      <c r="Q17" s="1">
        <v>42188</v>
      </c>
      <c r="R17" s="1">
        <v>42188</v>
      </c>
      <c r="T17">
        <v>2.2570000000000001</v>
      </c>
      <c r="U17" t="s">
        <v>19</v>
      </c>
      <c r="V17">
        <v>1.0509999999999999</v>
      </c>
      <c r="W17">
        <v>1.9970000000000001</v>
      </c>
      <c r="X17">
        <v>15</v>
      </c>
      <c r="Y17">
        <v>8</v>
      </c>
      <c r="AB17">
        <v>1844569.966</v>
      </c>
      <c r="AC17">
        <v>5596019.3710000003</v>
      </c>
      <c r="AD17">
        <v>398.66300000000001</v>
      </c>
      <c r="AF17" s="25"/>
      <c r="AG17" s="25"/>
      <c r="AH17" s="25"/>
    </row>
    <row r="18" spans="1:34" x14ac:dyDescent="0.3">
      <c r="A18" s="5">
        <v>13</v>
      </c>
      <c r="B18">
        <v>12</v>
      </c>
      <c r="C18">
        <v>13</v>
      </c>
      <c r="D18" s="21"/>
      <c r="E18" s="21"/>
      <c r="F18">
        <f>AB18-'Notes and corrections'!H$33</f>
        <v>1844676.1778300002</v>
      </c>
      <c r="G18">
        <f>AC18-'Notes and corrections'!I$33</f>
        <v>5595954.1762745008</v>
      </c>
      <c r="H18">
        <f>AD18-'Notes and corrections'!J$33</f>
        <v>392.32954575000002</v>
      </c>
      <c r="I18" t="s">
        <v>346</v>
      </c>
      <c r="J18" t="s">
        <v>347</v>
      </c>
      <c r="K18">
        <v>410.12700000000001</v>
      </c>
      <c r="L18">
        <v>1.98</v>
      </c>
      <c r="N18">
        <v>3.0000000000000001E-3</v>
      </c>
      <c r="O18">
        <v>0.01</v>
      </c>
      <c r="P18">
        <v>1.7000000000000001E-2</v>
      </c>
      <c r="Q18" s="1">
        <v>42188</v>
      </c>
      <c r="R18" s="1">
        <v>42188</v>
      </c>
      <c r="T18">
        <v>1.3759999999999999</v>
      </c>
      <c r="U18" t="s">
        <v>19</v>
      </c>
      <c r="V18">
        <v>0.69</v>
      </c>
      <c r="W18">
        <v>1.19</v>
      </c>
      <c r="X18">
        <v>15</v>
      </c>
      <c r="Y18">
        <v>9</v>
      </c>
      <c r="AB18">
        <v>1844676.1310000001</v>
      </c>
      <c r="AC18">
        <v>5595954.1979999999</v>
      </c>
      <c r="AD18">
        <v>392.35300000000001</v>
      </c>
      <c r="AF18" s="25"/>
      <c r="AG18" s="25"/>
      <c r="AH18" s="25"/>
    </row>
    <row r="19" spans="1:34" x14ac:dyDescent="0.3">
      <c r="A19" s="5">
        <v>14</v>
      </c>
      <c r="B19">
        <v>13</v>
      </c>
      <c r="C19">
        <v>14</v>
      </c>
      <c r="D19" s="21"/>
      <c r="E19" s="21"/>
      <c r="F19">
        <f>AB19-'Notes and corrections'!H$33</f>
        <v>1844384.7538300001</v>
      </c>
      <c r="G19">
        <f>AC19-'Notes and corrections'!I$33</f>
        <v>5595884.0902745007</v>
      </c>
      <c r="H19">
        <f>AD19-'Notes and corrections'!J$33</f>
        <v>383.78454575000001</v>
      </c>
      <c r="I19" t="s">
        <v>348</v>
      </c>
      <c r="J19" t="s">
        <v>349</v>
      </c>
      <c r="K19">
        <v>401.56200000000001</v>
      </c>
      <c r="L19">
        <v>1.98</v>
      </c>
      <c r="N19">
        <v>7.0000000000000001E-3</v>
      </c>
      <c r="O19">
        <v>8.0000000000000002E-3</v>
      </c>
      <c r="P19">
        <v>1.4999999999999999E-2</v>
      </c>
      <c r="Q19" s="1">
        <v>42188</v>
      </c>
      <c r="R19" s="1">
        <v>42188</v>
      </c>
      <c r="T19">
        <v>2.258</v>
      </c>
      <c r="U19" t="s">
        <v>19</v>
      </c>
      <c r="V19">
        <v>1.0820000000000001</v>
      </c>
      <c r="W19">
        <v>1.9810000000000001</v>
      </c>
      <c r="X19">
        <v>15</v>
      </c>
      <c r="Y19">
        <v>8</v>
      </c>
      <c r="AB19">
        <v>1844384.7069999999</v>
      </c>
      <c r="AC19">
        <v>5595884.1119999997</v>
      </c>
      <c r="AD19">
        <v>383.80799999999999</v>
      </c>
      <c r="AF19" s="25"/>
      <c r="AG19" s="25"/>
      <c r="AH19" s="25"/>
    </row>
    <row r="20" spans="1:34" x14ac:dyDescent="0.3">
      <c r="A20" s="5">
        <v>15</v>
      </c>
      <c r="AF20" s="25"/>
      <c r="AG20" s="25"/>
      <c r="AH20" s="25"/>
    </row>
    <row r="21" spans="1:34" x14ac:dyDescent="0.3">
      <c r="A21" s="5">
        <v>16</v>
      </c>
      <c r="B21">
        <v>14</v>
      </c>
      <c r="C21">
        <v>16</v>
      </c>
      <c r="D21" s="21"/>
      <c r="E21" s="21"/>
      <c r="F21">
        <f>AB21-'Notes and corrections'!H$33</f>
        <v>1844350.1858300001</v>
      </c>
      <c r="G21">
        <f>AC21-'Notes and corrections'!I$33</f>
        <v>5595799.4302745005</v>
      </c>
      <c r="H21">
        <f>AD21-'Notes and corrections'!J$33</f>
        <v>359.74754575000003</v>
      </c>
      <c r="I21" t="s">
        <v>350</v>
      </c>
      <c r="J21" t="s">
        <v>351</v>
      </c>
      <c r="K21">
        <v>377.51600000000002</v>
      </c>
      <c r="L21">
        <v>1.98</v>
      </c>
      <c r="N21">
        <v>6.0000000000000001E-3</v>
      </c>
      <c r="O21">
        <v>8.9999999999999993E-3</v>
      </c>
      <c r="P21">
        <v>1.4999999999999999E-2</v>
      </c>
      <c r="Q21" s="1">
        <v>42188</v>
      </c>
      <c r="R21" s="1">
        <v>42188</v>
      </c>
      <c r="T21">
        <v>1.736</v>
      </c>
      <c r="U21" t="s">
        <v>19</v>
      </c>
      <c r="V21">
        <v>0.89200000000000002</v>
      </c>
      <c r="W21">
        <v>1.4890000000000001</v>
      </c>
      <c r="X21">
        <v>15</v>
      </c>
      <c r="Y21">
        <v>8</v>
      </c>
      <c r="AB21">
        <v>1844350.139</v>
      </c>
      <c r="AC21">
        <v>5595799.4519999996</v>
      </c>
      <c r="AD21">
        <v>359.77100000000002</v>
      </c>
      <c r="AF21" s="25"/>
      <c r="AG21" s="25"/>
      <c r="AH21" s="25"/>
    </row>
    <row r="22" spans="1:34" x14ac:dyDescent="0.3">
      <c r="A22" s="5">
        <v>17</v>
      </c>
      <c r="AF22" s="25"/>
      <c r="AG22" s="25"/>
      <c r="AH22" s="25"/>
    </row>
    <row r="23" spans="1:34" x14ac:dyDescent="0.3">
      <c r="A23" s="5">
        <v>18</v>
      </c>
      <c r="B23">
        <v>16</v>
      </c>
      <c r="C23">
        <v>18</v>
      </c>
      <c r="D23" s="21"/>
      <c r="E23" s="21"/>
      <c r="F23">
        <f>AB23-'Notes and corrections'!H$33</f>
        <v>1844708.10883</v>
      </c>
      <c r="G23">
        <f>AC23-'Notes and corrections'!I$33</f>
        <v>5595726.9282745011</v>
      </c>
      <c r="H23">
        <f>AD23-'Notes and corrections'!J$33</f>
        <v>376.10954575</v>
      </c>
      <c r="I23" t="s">
        <v>354</v>
      </c>
      <c r="J23" t="s">
        <v>355</v>
      </c>
      <c r="K23">
        <v>393.887</v>
      </c>
      <c r="L23">
        <v>2</v>
      </c>
      <c r="N23">
        <v>5.0000000000000001E-3</v>
      </c>
      <c r="O23">
        <v>8.0000000000000002E-3</v>
      </c>
      <c r="P23">
        <v>0.01</v>
      </c>
      <c r="Q23" s="1">
        <v>42188</v>
      </c>
      <c r="R23" s="1">
        <v>42188</v>
      </c>
      <c r="T23">
        <v>1.599</v>
      </c>
      <c r="U23" t="s">
        <v>19</v>
      </c>
      <c r="V23">
        <v>0.96799999999999997</v>
      </c>
      <c r="W23">
        <v>1.272</v>
      </c>
      <c r="X23">
        <v>50</v>
      </c>
      <c r="Y23">
        <v>9</v>
      </c>
      <c r="AB23">
        <v>1844708.0619999999</v>
      </c>
      <c r="AC23">
        <v>5595726.9500000002</v>
      </c>
      <c r="AD23">
        <v>376.13299999999998</v>
      </c>
      <c r="AF23" s="25"/>
      <c r="AG23" s="25"/>
      <c r="AH23" s="25"/>
    </row>
    <row r="24" spans="1:34" x14ac:dyDescent="0.3">
      <c r="A24" s="5">
        <v>19</v>
      </c>
      <c r="B24">
        <v>15</v>
      </c>
      <c r="C24">
        <v>19</v>
      </c>
      <c r="D24" s="21"/>
      <c r="E24" s="21"/>
      <c r="F24">
        <f>AB24-'Notes and corrections'!H$33</f>
        <v>1844646.9658300001</v>
      </c>
      <c r="G24">
        <f>AC24-'Notes and corrections'!I$33</f>
        <v>5595690.2292745011</v>
      </c>
      <c r="H24">
        <f>AD24-'Notes and corrections'!J$33</f>
        <v>360.97354575000003</v>
      </c>
      <c r="I24" t="s">
        <v>352</v>
      </c>
      <c r="J24" t="s">
        <v>353</v>
      </c>
      <c r="K24">
        <v>378.745</v>
      </c>
      <c r="L24">
        <v>1.98</v>
      </c>
      <c r="N24">
        <v>5.0000000000000001E-3</v>
      </c>
      <c r="O24">
        <v>8.0000000000000002E-3</v>
      </c>
      <c r="P24">
        <v>1.2E-2</v>
      </c>
      <c r="Q24" s="1">
        <v>42188</v>
      </c>
      <c r="R24" s="1">
        <v>42188</v>
      </c>
      <c r="T24">
        <v>2.2440000000000002</v>
      </c>
      <c r="U24" t="s">
        <v>19</v>
      </c>
      <c r="V24">
        <v>1.246</v>
      </c>
      <c r="W24">
        <v>1.8660000000000001</v>
      </c>
      <c r="X24">
        <v>20</v>
      </c>
      <c r="Y24">
        <v>8</v>
      </c>
      <c r="AB24">
        <v>1844646.919</v>
      </c>
      <c r="AC24">
        <v>5595690.2510000002</v>
      </c>
      <c r="AD24">
        <v>360.99700000000001</v>
      </c>
      <c r="AF24" s="25"/>
      <c r="AG24" s="25"/>
      <c r="AH24" s="25"/>
    </row>
    <row r="25" spans="1:34" x14ac:dyDescent="0.3">
      <c r="A25" s="5">
        <v>20</v>
      </c>
      <c r="B25">
        <v>24</v>
      </c>
      <c r="C25">
        <v>20</v>
      </c>
      <c r="D25" s="21"/>
      <c r="E25" s="21"/>
      <c r="F25">
        <f>AB25-'Notes and corrections'!H$33</f>
        <v>1844629.3128300002</v>
      </c>
      <c r="G25">
        <f>AC25-'Notes and corrections'!I$33</f>
        <v>5595619.8522745008</v>
      </c>
      <c r="H25">
        <f>AD25-'Notes and corrections'!J$33</f>
        <v>335.44154574999999</v>
      </c>
      <c r="I25" t="s">
        <v>370</v>
      </c>
      <c r="J25" t="s">
        <v>371</v>
      </c>
      <c r="K25">
        <v>353.20600000000002</v>
      </c>
      <c r="L25">
        <v>1.98</v>
      </c>
      <c r="N25">
        <v>7.0000000000000001E-3</v>
      </c>
      <c r="O25">
        <v>0.01</v>
      </c>
      <c r="P25">
        <v>1.2999999999999999E-2</v>
      </c>
      <c r="Q25" s="1">
        <v>42188</v>
      </c>
      <c r="R25" s="1">
        <v>42188</v>
      </c>
      <c r="T25">
        <v>1.796</v>
      </c>
      <c r="U25" t="s">
        <v>19</v>
      </c>
      <c r="V25">
        <v>1.117</v>
      </c>
      <c r="W25">
        <v>1.407</v>
      </c>
      <c r="X25">
        <v>15</v>
      </c>
      <c r="Y25">
        <v>7</v>
      </c>
      <c r="AB25">
        <v>1844629.2660000001</v>
      </c>
      <c r="AC25">
        <v>5595619.8739999998</v>
      </c>
      <c r="AD25">
        <v>335.46499999999997</v>
      </c>
      <c r="AF25" s="25"/>
      <c r="AG25" s="25"/>
      <c r="AH25" s="25"/>
    </row>
    <row r="26" spans="1:34" x14ac:dyDescent="0.3">
      <c r="A26" s="5">
        <v>21</v>
      </c>
      <c r="B26">
        <v>20</v>
      </c>
      <c r="C26">
        <v>21</v>
      </c>
      <c r="D26" s="21"/>
      <c r="E26" s="21"/>
      <c r="F26">
        <f>AB26-'Notes and corrections'!H$33</f>
        <v>1844479.85883</v>
      </c>
      <c r="G26">
        <f>AC26-'Notes and corrections'!I$33</f>
        <v>5595569.5772745013</v>
      </c>
      <c r="H26">
        <f>AD26-'Notes and corrections'!J$33</f>
        <v>313.05754575000003</v>
      </c>
      <c r="I26" t="s">
        <v>362</v>
      </c>
      <c r="J26" t="s">
        <v>363</v>
      </c>
      <c r="K26">
        <v>330.81</v>
      </c>
      <c r="L26">
        <v>1.98</v>
      </c>
      <c r="N26">
        <v>2E-3</v>
      </c>
      <c r="O26">
        <v>6.0000000000000001E-3</v>
      </c>
      <c r="P26">
        <v>0.01</v>
      </c>
      <c r="Q26" s="1">
        <v>42188</v>
      </c>
      <c r="R26" s="1">
        <v>42188</v>
      </c>
      <c r="T26">
        <v>2.1349999999999998</v>
      </c>
      <c r="U26" t="s">
        <v>19</v>
      </c>
      <c r="V26">
        <v>1.123</v>
      </c>
      <c r="W26">
        <v>1.8160000000000001</v>
      </c>
      <c r="X26">
        <v>15</v>
      </c>
      <c r="Y26">
        <v>8</v>
      </c>
      <c r="AB26">
        <v>1844479.8119999999</v>
      </c>
      <c r="AC26">
        <v>5595569.5990000004</v>
      </c>
      <c r="AD26">
        <v>313.08100000000002</v>
      </c>
      <c r="AF26" s="25"/>
      <c r="AG26" s="25"/>
      <c r="AH26" s="25"/>
    </row>
    <row r="27" spans="1:34" x14ac:dyDescent="0.3">
      <c r="A27" s="5">
        <v>22</v>
      </c>
      <c r="B27">
        <v>21</v>
      </c>
      <c r="C27">
        <v>22</v>
      </c>
      <c r="D27" s="21"/>
      <c r="E27" s="21"/>
      <c r="F27">
        <f>AB27-'Notes and corrections'!H$33</f>
        <v>1844424.1138300002</v>
      </c>
      <c r="G27">
        <f>AC27-'Notes and corrections'!I$33</f>
        <v>5595468.4612745009</v>
      </c>
      <c r="H27">
        <f>AD27-'Notes and corrections'!J$33</f>
        <v>305.91054575000004</v>
      </c>
      <c r="I27" t="s">
        <v>364</v>
      </c>
      <c r="J27" t="s">
        <v>365</v>
      </c>
      <c r="K27">
        <v>323.65100000000001</v>
      </c>
      <c r="L27">
        <v>1.98</v>
      </c>
      <c r="N27">
        <v>2E-3</v>
      </c>
      <c r="O27">
        <v>6.0000000000000001E-3</v>
      </c>
      <c r="P27">
        <v>0.01</v>
      </c>
      <c r="Q27" s="1">
        <v>42188</v>
      </c>
      <c r="R27" s="1">
        <v>42188</v>
      </c>
      <c r="T27">
        <v>1.5920000000000001</v>
      </c>
      <c r="U27" t="s">
        <v>19</v>
      </c>
      <c r="V27">
        <v>0.81100000000000005</v>
      </c>
      <c r="W27">
        <v>1.37</v>
      </c>
      <c r="X27">
        <v>15</v>
      </c>
      <c r="Y27">
        <v>8</v>
      </c>
      <c r="AB27">
        <v>1844424.067</v>
      </c>
      <c r="AC27">
        <v>5595468.483</v>
      </c>
      <c r="AD27">
        <v>305.93400000000003</v>
      </c>
      <c r="AF27" s="25"/>
      <c r="AG27" s="25"/>
      <c r="AH27" s="25"/>
    </row>
    <row r="28" spans="1:34" x14ac:dyDescent="0.3">
      <c r="A28" s="5">
        <v>23</v>
      </c>
      <c r="B28">
        <v>22</v>
      </c>
      <c r="C28">
        <v>23</v>
      </c>
      <c r="D28" s="21"/>
      <c r="E28" s="21"/>
      <c r="F28">
        <f>AB28-'Notes and corrections'!H$33</f>
        <v>1844378.8008300001</v>
      </c>
      <c r="G28">
        <f>AC28-'Notes and corrections'!I$33</f>
        <v>5595386.2032745006</v>
      </c>
      <c r="H28">
        <f>AD28-'Notes and corrections'!J$33</f>
        <v>310.75454575000003</v>
      </c>
      <c r="I28" t="s">
        <v>366</v>
      </c>
      <c r="J28" t="s">
        <v>367</v>
      </c>
      <c r="K28">
        <v>328.48500000000001</v>
      </c>
      <c r="L28">
        <v>1.98</v>
      </c>
      <c r="N28">
        <v>6.0000000000000001E-3</v>
      </c>
      <c r="O28">
        <v>8.0000000000000002E-3</v>
      </c>
      <c r="P28">
        <v>1.2999999999999999E-2</v>
      </c>
      <c r="Q28" s="1">
        <v>42188</v>
      </c>
      <c r="R28" s="1">
        <v>42188</v>
      </c>
      <c r="T28">
        <v>1.3180000000000001</v>
      </c>
      <c r="U28" t="s">
        <v>19</v>
      </c>
      <c r="V28">
        <v>0.68500000000000005</v>
      </c>
      <c r="W28">
        <v>1.125</v>
      </c>
      <c r="X28">
        <v>15</v>
      </c>
      <c r="Y28">
        <v>10</v>
      </c>
      <c r="AB28">
        <v>1844378.754</v>
      </c>
      <c r="AC28">
        <v>5595386.2249999996</v>
      </c>
      <c r="AD28">
        <v>310.77800000000002</v>
      </c>
      <c r="AF28" s="25"/>
      <c r="AG28" s="25"/>
      <c r="AH28" s="25"/>
    </row>
    <row r="29" spans="1:34" x14ac:dyDescent="0.3">
      <c r="A29" s="5">
        <v>24</v>
      </c>
      <c r="B29">
        <v>19</v>
      </c>
      <c r="C29">
        <v>28</v>
      </c>
      <c r="D29" s="21"/>
      <c r="E29" s="21"/>
      <c r="F29">
        <f>AB29-'Notes and corrections'!H$33</f>
        <v>1844362.2458300001</v>
      </c>
      <c r="G29">
        <f>AC29-'Notes and corrections'!I$33</f>
        <v>5595631.0492745014</v>
      </c>
      <c r="H29">
        <f>AD29-'Notes and corrections'!J$33</f>
        <v>327.02054575</v>
      </c>
      <c r="I29" t="s">
        <v>360</v>
      </c>
      <c r="J29" t="s">
        <v>361</v>
      </c>
      <c r="K29">
        <v>344.774</v>
      </c>
      <c r="L29">
        <v>1.98</v>
      </c>
      <c r="N29">
        <v>5.0000000000000001E-3</v>
      </c>
      <c r="O29">
        <v>1.6E-2</v>
      </c>
      <c r="P29">
        <v>2.5000000000000001E-2</v>
      </c>
      <c r="Q29" s="1">
        <v>42188</v>
      </c>
      <c r="R29" s="1">
        <v>42188</v>
      </c>
      <c r="T29">
        <v>1.8340000000000001</v>
      </c>
      <c r="U29" t="s">
        <v>19</v>
      </c>
      <c r="V29">
        <v>1.004</v>
      </c>
      <c r="W29">
        <v>1.5349999999999999</v>
      </c>
      <c r="X29">
        <v>16</v>
      </c>
      <c r="Y29">
        <v>10</v>
      </c>
      <c r="AB29">
        <v>1844362.199</v>
      </c>
      <c r="AC29">
        <v>5595631.0710000005</v>
      </c>
      <c r="AD29">
        <v>327.04399999999998</v>
      </c>
    </row>
    <row r="30" spans="1:34" x14ac:dyDescent="0.3">
      <c r="A30" s="5">
        <v>25</v>
      </c>
      <c r="AF30" s="25"/>
      <c r="AG30" s="25"/>
      <c r="AH30" s="25"/>
    </row>
    <row r="31" spans="1:34" x14ac:dyDescent="0.3">
      <c r="A31" s="5">
        <v>26</v>
      </c>
      <c r="AF31" s="25"/>
      <c r="AG31" s="25"/>
      <c r="AH31" s="25"/>
    </row>
    <row r="32" spans="1:34" x14ac:dyDescent="0.3">
      <c r="A32" s="5">
        <v>27</v>
      </c>
      <c r="B32">
        <v>17</v>
      </c>
      <c r="C32">
        <v>27</v>
      </c>
      <c r="D32" s="21"/>
      <c r="E32" s="21"/>
      <c r="F32">
        <f>AB32-'Notes and corrections'!H$33</f>
        <v>1844185.1558300001</v>
      </c>
      <c r="G32">
        <f>AC32-'Notes and corrections'!I$33</f>
        <v>5595587.5542745013</v>
      </c>
      <c r="H32">
        <f>AD32-'Notes and corrections'!J$33</f>
        <v>355.91954575</v>
      </c>
      <c r="I32" t="s">
        <v>356</v>
      </c>
      <c r="J32" t="s">
        <v>357</v>
      </c>
      <c r="K32">
        <v>373.66</v>
      </c>
      <c r="L32">
        <v>1.98</v>
      </c>
      <c r="N32">
        <v>4.0000000000000001E-3</v>
      </c>
      <c r="O32">
        <v>8.0000000000000002E-3</v>
      </c>
      <c r="P32">
        <v>1.0999999999999999E-2</v>
      </c>
      <c r="Q32" s="1">
        <v>42188</v>
      </c>
      <c r="R32" s="1">
        <v>42188</v>
      </c>
      <c r="T32">
        <v>1.1040000000000001</v>
      </c>
      <c r="U32" t="s">
        <v>19</v>
      </c>
      <c r="V32">
        <v>0.63900000000000001</v>
      </c>
      <c r="W32">
        <v>0.9</v>
      </c>
      <c r="X32">
        <v>24</v>
      </c>
      <c r="Y32">
        <v>10</v>
      </c>
      <c r="AB32">
        <v>1844185.1089999999</v>
      </c>
      <c r="AC32">
        <v>5595587.5760000004</v>
      </c>
      <c r="AD32">
        <v>355.94299999999998</v>
      </c>
      <c r="AF32" s="25"/>
      <c r="AG32" s="25"/>
      <c r="AH32" s="25"/>
    </row>
    <row r="33" spans="1:34" x14ac:dyDescent="0.3">
      <c r="A33" s="5">
        <v>28</v>
      </c>
      <c r="F33">
        <f>AB33-'Notes and corrections'!H$33</f>
        <v>1844264.4598300001</v>
      </c>
      <c r="G33">
        <f>AC33-'Notes and corrections'!I$33</f>
        <v>5595683.6202745009</v>
      </c>
      <c r="H33">
        <f>AD33-'Notes and corrections'!J$33</f>
        <v>334.99154575</v>
      </c>
      <c r="I33" t="s">
        <v>358</v>
      </c>
      <c r="J33" t="s">
        <v>359</v>
      </c>
      <c r="K33">
        <v>352.745</v>
      </c>
      <c r="L33">
        <v>1.98</v>
      </c>
      <c r="N33">
        <v>4.0000000000000001E-3</v>
      </c>
      <c r="O33">
        <v>1.4E-2</v>
      </c>
      <c r="P33">
        <v>8.9999999999999993E-3</v>
      </c>
      <c r="Q33" s="1">
        <v>42188</v>
      </c>
      <c r="R33" s="1">
        <v>42188</v>
      </c>
      <c r="T33">
        <v>6.8170000000000002</v>
      </c>
      <c r="U33" t="s">
        <v>19</v>
      </c>
      <c r="V33">
        <v>5.6639999999999997</v>
      </c>
      <c r="W33">
        <v>3.7930000000000001</v>
      </c>
      <c r="X33">
        <v>15</v>
      </c>
      <c r="Y33">
        <v>6</v>
      </c>
      <c r="AB33">
        <v>1844264.4129999999</v>
      </c>
      <c r="AC33">
        <v>5595683.642</v>
      </c>
      <c r="AD33">
        <v>335.01499999999999</v>
      </c>
      <c r="AF33" s="25"/>
      <c r="AG33" s="25"/>
      <c r="AH33" s="25"/>
    </row>
    <row r="34" spans="1:34" x14ac:dyDescent="0.3">
      <c r="A34" s="5">
        <v>29</v>
      </c>
      <c r="AF34" s="25"/>
      <c r="AG34" s="25"/>
      <c r="AH34" s="25"/>
    </row>
    <row r="35" spans="1:34" x14ac:dyDescent="0.3">
      <c r="A35" s="5" t="s">
        <v>26</v>
      </c>
      <c r="B35">
        <v>23</v>
      </c>
      <c r="C35" t="s">
        <v>26</v>
      </c>
      <c r="D35" s="21"/>
      <c r="E35" s="21"/>
      <c r="F35">
        <f>AB35-'Notes and corrections'!H$33</f>
        <v>1844715.24783</v>
      </c>
      <c r="G35">
        <f>AC35-'Notes and corrections'!I$33</f>
        <v>5595571.2612745008</v>
      </c>
      <c r="H35">
        <f>AD35-'Notes and corrections'!J$33</f>
        <v>340.30854575000001</v>
      </c>
      <c r="I35" t="s">
        <v>368</v>
      </c>
      <c r="J35" t="s">
        <v>369</v>
      </c>
      <c r="K35">
        <v>358.072</v>
      </c>
      <c r="L35">
        <v>1.98</v>
      </c>
      <c r="N35">
        <v>5.0000000000000001E-3</v>
      </c>
      <c r="O35">
        <v>8.9999999999999993E-3</v>
      </c>
      <c r="P35">
        <v>1.4999999999999999E-2</v>
      </c>
      <c r="Q35" s="1">
        <v>42188</v>
      </c>
      <c r="R35" s="1">
        <v>42188</v>
      </c>
      <c r="T35">
        <v>3.0710000000000002</v>
      </c>
      <c r="U35" t="s">
        <v>19</v>
      </c>
      <c r="V35">
        <v>1.587</v>
      </c>
      <c r="W35">
        <v>2.63</v>
      </c>
      <c r="X35">
        <v>15</v>
      </c>
      <c r="Y35">
        <v>9</v>
      </c>
      <c r="AB35">
        <v>1844715.2009999999</v>
      </c>
      <c r="AC35">
        <v>5595571.2829999998</v>
      </c>
      <c r="AD35">
        <v>340.33199999999999</v>
      </c>
      <c r="AF35" s="5"/>
    </row>
    <row r="36" spans="1:34" x14ac:dyDescent="0.3">
      <c r="B36">
        <v>0</v>
      </c>
      <c r="C36" t="s">
        <v>40</v>
      </c>
      <c r="D36" t="s">
        <v>19</v>
      </c>
      <c r="E36" t="s">
        <v>19</v>
      </c>
      <c r="F36">
        <f>AB36-'Notes and corrections'!H$33</f>
        <v>1844255.9138300002</v>
      </c>
      <c r="G36">
        <f>AC36-'Notes and corrections'!I$33</f>
        <v>5596718.7522745011</v>
      </c>
      <c r="H36">
        <f>AD36-'Notes and corrections'!J$33</f>
        <v>438.87754575000002</v>
      </c>
      <c r="I36" t="s">
        <v>323</v>
      </c>
      <c r="J36" t="s">
        <v>324</v>
      </c>
      <c r="K36">
        <v>456.73099999999999</v>
      </c>
      <c r="L36">
        <v>1.716</v>
      </c>
      <c r="N36">
        <v>4.0000000000000001E-3</v>
      </c>
      <c r="O36">
        <v>8.0000000000000002E-3</v>
      </c>
      <c r="P36">
        <v>1.2E-2</v>
      </c>
      <c r="Q36" s="1">
        <v>42188</v>
      </c>
      <c r="R36" s="1">
        <v>42188</v>
      </c>
      <c r="T36">
        <v>1.53</v>
      </c>
      <c r="U36" t="s">
        <v>19</v>
      </c>
      <c r="V36">
        <v>0.83</v>
      </c>
      <c r="W36">
        <v>1.2849999999999999</v>
      </c>
      <c r="X36">
        <v>60</v>
      </c>
      <c r="Y36">
        <v>10</v>
      </c>
      <c r="AB36">
        <v>1844255.8670000001</v>
      </c>
      <c r="AC36">
        <v>5596718.7740000002</v>
      </c>
      <c r="AD36">
        <v>438.90100000000001</v>
      </c>
    </row>
    <row r="40" spans="1:34" x14ac:dyDescent="0.3">
      <c r="O40">
        <f>MAX(O4:O36)</f>
        <v>1.7000000000000001E-2</v>
      </c>
      <c r="P40" s="21">
        <f>MAX(P4:P36)</f>
        <v>2.5000000000000001E-2</v>
      </c>
    </row>
    <row r="41" spans="1:34" x14ac:dyDescent="0.3">
      <c r="O41">
        <f>AVERAGE(O4:O36)</f>
        <v>8.5200000000000033E-3</v>
      </c>
      <c r="P41" s="21">
        <f>AVERAGE(P4:P36)</f>
        <v>1.2760000000000004E-2</v>
      </c>
    </row>
    <row r="42" spans="1:34" x14ac:dyDescent="0.3">
      <c r="O42">
        <f>_xlfn.STDEV.S(O4:O36)</f>
        <v>3.0566866593311906E-3</v>
      </c>
      <c r="P42" s="21">
        <f>_xlfn.STDEV.S(P4:P36)</f>
        <v>4.0340219797781445E-3</v>
      </c>
    </row>
    <row r="43" spans="1:34" x14ac:dyDescent="0.3">
      <c r="AF43" s="25"/>
      <c r="AG43" s="25"/>
      <c r="AH43" s="25"/>
    </row>
  </sheetData>
  <sortState xmlns:xlrd2="http://schemas.microsoft.com/office/spreadsheetml/2017/richdata2" ref="B7:AD29">
    <sortCondition ref="C7:C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Displacement vectors</vt:lpstr>
      <vt:lpstr>Displacement vectors v2</vt:lpstr>
      <vt:lpstr>Movement graphs</vt:lpstr>
      <vt:lpstr>Movement graphs v2</vt:lpstr>
      <vt:lpstr>SfM check points</vt:lpstr>
      <vt:lpstr>Notes and corrections</vt:lpstr>
      <vt:lpstr>All survey pegs</vt:lpstr>
      <vt:lpstr>Dec2019-Feb2020</vt:lpstr>
      <vt:lpstr>Oct2018</vt:lpstr>
      <vt:lpstr>Mar2018</vt:lpstr>
      <vt:lpstr>Oct2017</vt:lpstr>
      <vt:lpstr>June2017</vt:lpstr>
      <vt:lpstr>Mar2017</vt:lpstr>
      <vt:lpstr>Dec2016</vt:lpstr>
      <vt:lpstr>Oct2016</vt:lpstr>
      <vt:lpstr>July2016</vt:lpstr>
      <vt:lpstr>Mar2016</vt:lpstr>
      <vt:lpstr>Dec2015</vt:lpstr>
      <vt:lpstr>Sept2015</vt:lpstr>
      <vt:lpstr>July2015</vt:lpstr>
    </vt:vector>
  </TitlesOfParts>
  <Company>Massey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McColl, Sam</dc:creator>
  <cp:lastModifiedBy>Sam McColl</cp:lastModifiedBy>
  <dcterms:created xsi:type="dcterms:W3CDTF">2019-09-25T20:38:52Z</dcterms:created>
  <dcterms:modified xsi:type="dcterms:W3CDTF">2021-11-07T22:34:26Z</dcterms:modified>
</cp:coreProperties>
</file>