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TB Projects\ReMoTe v2\Data\"/>
    </mc:Choice>
  </mc:AlternateContent>
  <xr:revisionPtr revIDLastSave="0" documentId="8_{2A624E66-27B6-4855-BF91-534E37C8F0DE}" xr6:coauthVersionLast="47" xr6:coauthVersionMax="47" xr10:uidLastSave="{00000000-0000-0000-0000-000000000000}"/>
  <bookViews>
    <workbookView xWindow="-110" yWindow="-110" windowWidth="19420" windowHeight="11620" activeTab="3" xr2:uid="{7821A0B4-E3D2-416D-A7FD-A9B8B1189208}"/>
  </bookViews>
  <sheets>
    <sheet name="Sheet1" sheetId="1" r:id="rId1"/>
    <sheet name="Sheet2" sheetId="2" r:id="rId2"/>
    <sheet name="Sheet3" sheetId="3" r:id="rId3"/>
    <sheet name="3.26.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4" i="4"/>
  <c r="H4" i="4"/>
  <c r="U4" i="4" s="1"/>
  <c r="I4" i="4" l="1"/>
  <c r="L10" i="4"/>
  <c r="L9" i="4"/>
  <c r="L8" i="4"/>
  <c r="L7" i="4"/>
  <c r="L6" i="4"/>
  <c r="L5" i="4"/>
  <c r="L4" i="4"/>
  <c r="H5" i="4"/>
  <c r="U5" i="4" s="1"/>
  <c r="H6" i="4"/>
  <c r="U6" i="4" s="1"/>
  <c r="H7" i="4"/>
  <c r="U7" i="4" s="1"/>
  <c r="H8" i="4"/>
  <c r="H9" i="4"/>
  <c r="H10" i="4"/>
  <c r="U10" i="4" s="1"/>
  <c r="T5" i="4" l="1"/>
  <c r="S5" i="4"/>
  <c r="R5" i="4"/>
  <c r="X6" i="4"/>
  <c r="W6" i="4"/>
  <c r="T6" i="4"/>
  <c r="S6" i="4"/>
  <c r="R6" i="4"/>
  <c r="W7" i="4"/>
  <c r="X7" i="4"/>
  <c r="V7" i="4"/>
  <c r="T7" i="4"/>
  <c r="S7" i="4"/>
  <c r="R7" i="4"/>
  <c r="I5" i="4"/>
  <c r="N5" i="4" s="1"/>
  <c r="Q5" i="4" s="1"/>
  <c r="T8" i="4"/>
  <c r="S8" i="4"/>
  <c r="R8" i="4"/>
  <c r="I6" i="4"/>
  <c r="N6" i="4" s="1"/>
  <c r="Q6" i="4" s="1"/>
  <c r="U9" i="4"/>
  <c r="I9" i="4"/>
  <c r="W9" i="4"/>
  <c r="T9" i="4"/>
  <c r="S9" i="4"/>
  <c r="R9" i="4"/>
  <c r="I7" i="4"/>
  <c r="N7" i="4" s="1"/>
  <c r="Q7" i="4" s="1"/>
  <c r="U8" i="4"/>
  <c r="I8" i="4"/>
  <c r="T10" i="4"/>
  <c r="S10" i="4"/>
  <c r="R10" i="4"/>
  <c r="I10" i="4"/>
  <c r="N10" i="4" s="1"/>
  <c r="X4" i="4"/>
  <c r="W4" i="4"/>
  <c r="V4" i="4"/>
  <c r="T4" i="4"/>
  <c r="S4" i="4"/>
  <c r="R4" i="4"/>
  <c r="N4" i="4"/>
  <c r="N9" i="4"/>
  <c r="X9" i="4" s="1"/>
  <c r="N8" i="4"/>
  <c r="Q8" i="4" s="1"/>
  <c r="O5" i="4"/>
  <c r="P5" i="4" s="1"/>
  <c r="O6" i="4"/>
  <c r="P6" i="4" s="1"/>
  <c r="O7" i="4"/>
  <c r="P7" i="4" s="1"/>
  <c r="Q4" i="4"/>
  <c r="O4" i="4"/>
  <c r="P4" i="4" s="1"/>
  <c r="O10" i="4" l="1"/>
  <c r="P10" i="4" s="1"/>
  <c r="X10" i="4"/>
  <c r="V10" i="4"/>
  <c r="Q10" i="4"/>
  <c r="W10" i="4"/>
  <c r="V9" i="4"/>
  <c r="O8" i="4"/>
  <c r="P8" i="4" s="1"/>
  <c r="X8" i="4"/>
  <c r="O9" i="4"/>
  <c r="P9" i="4" s="1"/>
  <c r="V5" i="4"/>
  <c r="W8" i="4"/>
  <c r="Q9" i="4"/>
  <c r="W5" i="4"/>
  <c r="V8" i="4"/>
  <c r="V6" i="4"/>
  <c r="X5" i="4"/>
  <c r="E3" i="3"/>
  <c r="E4" i="3"/>
  <c r="E5" i="3"/>
  <c r="E6" i="3"/>
  <c r="E7" i="3"/>
  <c r="E8" i="3"/>
  <c r="E9" i="3"/>
  <c r="E10" i="3"/>
  <c r="E11" i="3"/>
  <c r="F3" i="3"/>
  <c r="F4" i="3"/>
  <c r="F5" i="3"/>
  <c r="F6" i="3"/>
  <c r="F7" i="3"/>
  <c r="F8" i="3"/>
  <c r="F9" i="3"/>
  <c r="F10" i="3"/>
  <c r="F11" i="3"/>
  <c r="F2" i="3"/>
  <c r="E2" i="3"/>
  <c r="D2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L8" i="2" l="1"/>
  <c r="I8" i="2"/>
  <c r="L7" i="2"/>
  <c r="I7" i="2"/>
  <c r="L6" i="2"/>
  <c r="I6" i="2"/>
  <c r="L5" i="2"/>
  <c r="I5" i="2"/>
  <c r="L4" i="2"/>
  <c r="I4" i="2"/>
  <c r="L3" i="2"/>
  <c r="I3" i="2"/>
  <c r="L2" i="2"/>
  <c r="I2" i="2"/>
  <c r="W7" i="2" l="1"/>
  <c r="O7" i="2"/>
  <c r="M3" i="2"/>
  <c r="P3" i="2" s="1"/>
  <c r="Q3" i="2" s="1"/>
  <c r="M7" i="2"/>
  <c r="P7" i="2" s="1"/>
  <c r="W2" i="2"/>
  <c r="O2" i="2"/>
  <c r="X3" i="2"/>
  <c r="W3" i="2"/>
  <c r="O3" i="2"/>
  <c r="W4" i="2"/>
  <c r="O4" i="2"/>
  <c r="W8" i="2"/>
  <c r="O8" i="2"/>
  <c r="W5" i="2"/>
  <c r="X5" i="2"/>
  <c r="O5" i="2"/>
  <c r="W6" i="2"/>
  <c r="O6" i="2"/>
  <c r="M4" i="2"/>
  <c r="P4" i="2" s="1"/>
  <c r="N4" i="2"/>
  <c r="N8" i="2"/>
  <c r="R6" i="2"/>
  <c r="R8" i="2"/>
  <c r="M8" i="2"/>
  <c r="P8" i="2" s="1"/>
  <c r="R7" i="2"/>
  <c r="R2" i="2"/>
  <c r="S3" i="2"/>
  <c r="R5" i="2"/>
  <c r="M5" i="2"/>
  <c r="P5" i="2" s="1"/>
  <c r="M2" i="2"/>
  <c r="P2" i="2" s="1"/>
  <c r="R4" i="2"/>
  <c r="R3" i="2"/>
  <c r="M6" i="2"/>
  <c r="P6" i="2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9" i="1"/>
  <c r="L24" i="1"/>
  <c r="R24" i="1" s="1"/>
  <c r="L23" i="1"/>
  <c r="L22" i="1"/>
  <c r="L21" i="1"/>
  <c r="R21" i="1" s="1"/>
  <c r="L20" i="1"/>
  <c r="L19" i="1"/>
  <c r="L18" i="1"/>
  <c r="R18" i="1" s="1"/>
  <c r="L17" i="1"/>
  <c r="O17" i="1" s="1"/>
  <c r="L16" i="1"/>
  <c r="L15" i="1"/>
  <c r="L14" i="1"/>
  <c r="L13" i="1"/>
  <c r="O13" i="1" s="1"/>
  <c r="L12" i="1"/>
  <c r="L11" i="1"/>
  <c r="L10" i="1"/>
  <c r="O10" i="1" s="1"/>
  <c r="L9" i="1"/>
  <c r="O9" i="1" s="1"/>
  <c r="Q4" i="2" l="1"/>
  <c r="X4" i="2"/>
  <c r="N3" i="2"/>
  <c r="S7" i="2"/>
  <c r="Q7" i="2"/>
  <c r="Y8" i="2"/>
  <c r="V8" i="2"/>
  <c r="U6" i="2"/>
  <c r="Q6" i="2"/>
  <c r="Y3" i="2"/>
  <c r="V3" i="2"/>
  <c r="U2" i="2"/>
  <c r="Q2" i="2"/>
  <c r="U8" i="2"/>
  <c r="Q8" i="2"/>
  <c r="X8" i="2"/>
  <c r="Y2" i="2"/>
  <c r="V2" i="2"/>
  <c r="N2" i="2"/>
  <c r="U5" i="2"/>
  <c r="Q5" i="2"/>
  <c r="Y6" i="2"/>
  <c r="V6" i="2"/>
  <c r="X2" i="2"/>
  <c r="Y7" i="2"/>
  <c r="V7" i="2"/>
  <c r="U3" i="2"/>
  <c r="X6" i="2"/>
  <c r="Y4" i="2"/>
  <c r="V4" i="2"/>
  <c r="X7" i="2"/>
  <c r="T3" i="2"/>
  <c r="N5" i="2"/>
  <c r="T7" i="2"/>
  <c r="U7" i="2"/>
  <c r="Y5" i="2"/>
  <c r="V5" i="2"/>
  <c r="N7" i="2"/>
  <c r="N6" i="2"/>
  <c r="T4" i="2"/>
  <c r="U4" i="2"/>
  <c r="T8" i="2"/>
  <c r="S8" i="2"/>
  <c r="R17" i="1"/>
  <c r="S17" i="1" s="1"/>
  <c r="R13" i="1"/>
  <c r="S13" i="1" s="1"/>
  <c r="R10" i="1"/>
  <c r="S10" i="1" s="1"/>
  <c r="O24" i="1"/>
  <c r="S24" i="1" s="1"/>
  <c r="R9" i="1"/>
  <c r="S9" i="1" s="1"/>
  <c r="O21" i="1"/>
  <c r="S21" i="1" s="1"/>
  <c r="O18" i="1"/>
  <c r="S18" i="1" s="1"/>
  <c r="T5" i="2"/>
  <c r="S5" i="2"/>
  <c r="T6" i="2"/>
  <c r="S6" i="2"/>
  <c r="S4" i="2"/>
  <c r="S2" i="2"/>
  <c r="T2" i="2"/>
  <c r="L5" i="1"/>
  <c r="L8" i="1"/>
  <c r="L2" i="1"/>
  <c r="R2" i="1" s="1"/>
  <c r="L7" i="1"/>
  <c r="L4" i="1"/>
  <c r="L6" i="1"/>
  <c r="L3" i="1"/>
  <c r="I5" i="1"/>
  <c r="I8" i="1"/>
  <c r="I2" i="1"/>
  <c r="I7" i="1"/>
  <c r="I4" i="1"/>
  <c r="I6" i="1"/>
  <c r="I3" i="1"/>
  <c r="R7" i="1" l="1"/>
  <c r="R8" i="1"/>
  <c r="R5" i="1"/>
  <c r="O6" i="1"/>
  <c r="O5" i="1"/>
  <c r="S5" i="1" s="1"/>
  <c r="M5" i="1"/>
  <c r="M4" i="1"/>
  <c r="R4" i="1"/>
  <c r="O2" i="1"/>
  <c r="S2" i="1" s="1"/>
  <c r="O4" i="1"/>
  <c r="O7" i="1"/>
  <c r="S7" i="1" s="1"/>
  <c r="M3" i="1"/>
  <c r="N3" i="1" s="1"/>
  <c r="Q3" i="1" s="1"/>
  <c r="R3" i="1"/>
  <c r="O3" i="1"/>
  <c r="M6" i="1"/>
  <c r="N6" i="1" s="1"/>
  <c r="P6" i="1" s="1"/>
  <c r="R6" i="1"/>
  <c r="S6" i="1" s="1"/>
  <c r="M7" i="1"/>
  <c r="N7" i="1" s="1"/>
  <c r="Q7" i="1" s="1"/>
  <c r="O8" i="1"/>
  <c r="S8" i="1" s="1"/>
  <c r="M2" i="1"/>
  <c r="N2" i="1" s="1"/>
  <c r="M8" i="1"/>
  <c r="N8" i="1" s="1"/>
  <c r="N5" i="1"/>
  <c r="Q5" i="1" s="1"/>
  <c r="N4" i="1"/>
  <c r="Q4" i="1" s="1"/>
  <c r="P5" i="1" l="1"/>
  <c r="S4" i="1"/>
  <c r="Q2" i="1"/>
  <c r="P2" i="1"/>
  <c r="Q6" i="1"/>
  <c r="S3" i="1"/>
  <c r="Q8" i="1"/>
  <c r="P8" i="1"/>
  <c r="P3" i="1"/>
  <c r="P7" i="1"/>
  <c r="P4" i="1"/>
</calcChain>
</file>

<file path=xl/sharedStrings.xml><?xml version="1.0" encoding="utf-8"?>
<sst xmlns="http://schemas.openxmlformats.org/spreadsheetml/2006/main" count="116" uniqueCount="85">
  <si>
    <t>Country</t>
  </si>
  <si>
    <t>Year</t>
  </si>
  <si>
    <t>Notifications</t>
  </si>
  <si>
    <t>Treatment completion</t>
  </si>
  <si>
    <t>TB Deaths</t>
  </si>
  <si>
    <t>China</t>
  </si>
  <si>
    <t>Cambodia</t>
  </si>
  <si>
    <t xml:space="preserve">Indonesia </t>
  </si>
  <si>
    <t xml:space="preserve">Bangladesh </t>
  </si>
  <si>
    <t xml:space="preserve">Philippines </t>
  </si>
  <si>
    <t xml:space="preserve">Myanmar </t>
  </si>
  <si>
    <t>Vietnam</t>
  </si>
  <si>
    <t>% pulmonary</t>
  </si>
  <si>
    <t>% bacteriologically confirmed among pulmonary</t>
  </si>
  <si>
    <t>Population</t>
  </si>
  <si>
    <t>TB cases in Prior year</t>
  </si>
  <si>
    <t>Cured (Notifications x completion)</t>
  </si>
  <si>
    <t>TB Prevalence proportion in prior year</t>
  </si>
  <si>
    <t>Incidence (present-prior+deaths+cured)</t>
  </si>
  <si>
    <t>Cure+Death/Prevalence</t>
  </si>
  <si>
    <t>Cure+Death/Incidence</t>
  </si>
  <si>
    <t>Duration</t>
  </si>
  <si>
    <t>Ethiopia</t>
  </si>
  <si>
    <t>DPR Korea</t>
  </si>
  <si>
    <t>TB Prevalence &gt;15 in Target Year (per 100,000)</t>
  </si>
  <si>
    <t>Gambia</t>
  </si>
  <si>
    <t>Ghana</t>
  </si>
  <si>
    <t>Kenya</t>
  </si>
  <si>
    <t>Lao</t>
  </si>
  <si>
    <t>Malawi</t>
  </si>
  <si>
    <t>Mongolia</t>
  </si>
  <si>
    <t>Nigeria</t>
  </si>
  <si>
    <t>Pakistan</t>
  </si>
  <si>
    <t>Rwanda</t>
  </si>
  <si>
    <t>Sudan</t>
  </si>
  <si>
    <t>Uganda</t>
  </si>
  <si>
    <t>Tanzania</t>
  </si>
  <si>
    <t>Zambia</t>
  </si>
  <si>
    <t>Zimbabwe</t>
  </si>
  <si>
    <t>Duration under no change assumption</t>
  </si>
  <si>
    <t>Prevalent TB cases in target year (need to adjust for pop &gt;15)</t>
  </si>
  <si>
    <t>Cures/Duration</t>
  </si>
  <si>
    <t>TB Prevalence all forms all ages in target year</t>
  </si>
  <si>
    <t>Cured = (Notifications x completion)</t>
  </si>
  <si>
    <t>Prevalent TB cases in target year</t>
  </si>
  <si>
    <t>Cure/ Incidence</t>
  </si>
  <si>
    <t>Present - Prior</t>
  </si>
  <si>
    <t>Deaths + Cured</t>
  </si>
  <si>
    <t>Incidence per 100,000</t>
  </si>
  <si>
    <t>Deaths+Cured /Incidence</t>
  </si>
  <si>
    <t>Cured/ Incidence</t>
  </si>
  <si>
    <t>Cured/ Prevalence</t>
  </si>
  <si>
    <t xml:space="preserve">Prevalence </t>
  </si>
  <si>
    <t>Incidence when cure prop = 0.5</t>
  </si>
  <si>
    <t>Incidence when cure prop = 0.7</t>
  </si>
  <si>
    <t>Incidence when cure prop = 0.9</t>
  </si>
  <si>
    <t>Incidence when cure prop = 1.2</t>
  </si>
  <si>
    <t>Incidence when cure prop = 1.0</t>
  </si>
  <si>
    <t xml:space="preserve">Deaths/ Deaths+Cured 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</si>
  <si>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Survey Year(s)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</si>
  <si>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Survey Year(s)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</si>
  <si>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Survey Prevalence*</t>
    </r>
  </si>
  <si>
    <t>Average</t>
  </si>
  <si>
    <t>Annual Change</t>
  </si>
  <si>
    <t>between surveys</t>
  </si>
  <si>
    <t>Indonesia</t>
  </si>
  <si>
    <t>2013-14</t>
  </si>
  <si>
    <t>Philippines</t>
  </si>
  <si>
    <t>Bangladesh</t>
  </si>
  <si>
    <t>Myanmar</t>
  </si>
  <si>
    <t>2009-2010</t>
  </si>
  <si>
    <t>2017-18</t>
  </si>
  <si>
    <t>Number of cases in prior year</t>
  </si>
  <si>
    <t>Population in most recent survey year</t>
  </si>
  <si>
    <t>Number of cases in current year</t>
  </si>
  <si>
    <t>Multiplier for cases in prior year</t>
  </si>
  <si>
    <t>Incident cases =Current-Prior+Cures +Deaths</t>
  </si>
  <si>
    <t>Cures+Deaths/ Incidence</t>
  </si>
  <si>
    <t>Cures+Deaths/ Prevalence</t>
  </si>
  <si>
    <t>Deaths/Cures+Deaths</t>
  </si>
  <si>
    <t>Deaths/ Prevalence</t>
  </si>
  <si>
    <t>Cures/ Incidence</t>
  </si>
  <si>
    <t>Cures/ (Incidence +Prevalence)</t>
  </si>
  <si>
    <t>(Cures+Deaths)/ (Incidence +Prevalence)</t>
  </si>
  <si>
    <t>Cures/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</si>
</sst>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EE74-69FE-462D-9919-BFABD5E5E0A3}">
  <sheetPr>
    <pageSetUpPr fitToPage="1"/>
  </sheetPr>
  <dimension ref="A1:S26"/>
  <sheetViews>
    <sheetView topLeftCell="E3" workbookViewId="0">
      <selection activeCell="D24" sqref="D24"/>
    </sheetView>
  </sheetViews>
  <sheetFormatPr defaultRowHeight="14.5" x14ac:dyDescent="0.35"/>
  <cols>
    <col min="1" max="1" width="12.81640625" customWidth="1"/>
    <col min="3" max="3" width="11" customWidth="1"/>
    <col min="4" max="4" width="11.26953125" customWidth="1"/>
    <col min="5" max="5" width="13.453125" customWidth="1"/>
    <col min="6" max="6" width="0.453125" customWidth="1"/>
    <col min="7" max="7" width="13.453125" hidden="1" customWidth="1"/>
    <col min="8" max="8" width="11.453125" customWidth="1"/>
    <col min="9" max="9" width="15" customWidth="1"/>
    <col min="10" max="10" width="9.1796875" customWidth="1"/>
    <col min="11" max="11" width="16.1796875" customWidth="1"/>
    <col min="12" max="12" width="13.7265625" customWidth="1"/>
    <col min="13" max="13" width="11.26953125" customWidth="1"/>
    <col min="14" max="14" width="13.1796875" customWidth="1"/>
    <col min="15" max="15" width="12" customWidth="1"/>
    <col min="16" max="16" width="11.26953125" customWidth="1"/>
    <col min="17" max="17" width="13.26953125" customWidth="1"/>
    <col min="18" max="19" width="11" customWidth="1"/>
  </cols>
  <sheetData>
    <row r="1" spans="1:19" ht="145" x14ac:dyDescent="0.35">
      <c r="A1" s="1" t="s">
        <v>0</v>
      </c>
      <c r="B1" s="1" t="s">
        <v>1</v>
      </c>
      <c r="C1" s="1" t="s">
        <v>24</v>
      </c>
      <c r="D1" s="1" t="s">
        <v>17</v>
      </c>
      <c r="E1" s="1" t="s">
        <v>2</v>
      </c>
      <c r="F1" s="1" t="s">
        <v>12</v>
      </c>
      <c r="G1" s="1" t="s">
        <v>13</v>
      </c>
      <c r="H1" s="1" t="s">
        <v>3</v>
      </c>
      <c r="I1" s="1" t="s">
        <v>16</v>
      </c>
      <c r="J1" s="1" t="s">
        <v>4</v>
      </c>
      <c r="K1" s="1" t="s">
        <v>14</v>
      </c>
      <c r="L1" s="1" t="s">
        <v>40</v>
      </c>
      <c r="M1" s="1" t="s">
        <v>15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39</v>
      </c>
      <c r="S1" s="1" t="s">
        <v>41</v>
      </c>
    </row>
    <row r="2" spans="1:19" x14ac:dyDescent="0.35">
      <c r="A2" t="s">
        <v>8</v>
      </c>
      <c r="B2">
        <v>2015</v>
      </c>
      <c r="C2">
        <v>260</v>
      </c>
      <c r="D2">
        <v>0.96240000000000003</v>
      </c>
      <c r="E2" s="2">
        <v>209500</v>
      </c>
      <c r="F2">
        <v>0.79</v>
      </c>
      <c r="G2">
        <v>0.72</v>
      </c>
      <c r="H2">
        <v>0.93</v>
      </c>
      <c r="I2" s="2">
        <f t="shared" ref="I2:I24" si="0">E2*H2</f>
        <v>194835</v>
      </c>
      <c r="J2" s="2">
        <v>73000</v>
      </c>
      <c r="K2" s="2">
        <v>161000000</v>
      </c>
      <c r="L2" s="2">
        <f t="shared" ref="L2:L24" si="1">(K2*C2)/100000</f>
        <v>418600</v>
      </c>
      <c r="M2" s="2">
        <f t="shared" ref="M2:M8" si="2">L2*D2</f>
        <v>402860.64</v>
      </c>
      <c r="N2" s="2">
        <f t="shared" ref="N2:N8" si="3">L2-M2+J2+I2</f>
        <v>283574.36</v>
      </c>
      <c r="O2" s="3">
        <f t="shared" ref="O2:O24" si="4">(I2+J2)/L2</f>
        <v>0.63983516483516478</v>
      </c>
      <c r="P2">
        <f t="shared" ref="P2:P8" si="5">(I2+J2)/N2</f>
        <v>0.94449653346656592</v>
      </c>
      <c r="Q2" s="4">
        <f t="shared" ref="Q2:Q8" si="6">L2/N2</f>
        <v>1.4761560248253758</v>
      </c>
      <c r="R2" s="4">
        <f>L2/(J2+I2)</f>
        <v>1.5629025332760842</v>
      </c>
      <c r="S2" s="5">
        <f>O2/R2</f>
        <v>0.4093890381596425</v>
      </c>
    </row>
    <row r="3" spans="1:19" x14ac:dyDescent="0.35">
      <c r="A3" t="s">
        <v>5</v>
      </c>
      <c r="B3">
        <v>2010</v>
      </c>
      <c r="C3">
        <v>108</v>
      </c>
      <c r="D3">
        <v>0.99399999999999999</v>
      </c>
      <c r="E3" s="2">
        <v>923300</v>
      </c>
      <c r="F3">
        <v>0.99</v>
      </c>
      <c r="G3">
        <v>0.5</v>
      </c>
      <c r="H3">
        <v>0.96</v>
      </c>
      <c r="I3" s="2">
        <f t="shared" si="0"/>
        <v>886368</v>
      </c>
      <c r="J3" s="2">
        <v>54000</v>
      </c>
      <c r="K3" s="2">
        <v>1341000000</v>
      </c>
      <c r="L3" s="2">
        <f t="shared" si="1"/>
        <v>1448280</v>
      </c>
      <c r="M3" s="2">
        <f t="shared" si="2"/>
        <v>1439590.32</v>
      </c>
      <c r="N3" s="2">
        <f t="shared" si="3"/>
        <v>949057.67999999993</v>
      </c>
      <c r="O3" s="3">
        <f t="shared" si="4"/>
        <v>0.64929985914325961</v>
      </c>
      <c r="P3">
        <f t="shared" si="5"/>
        <v>0.99084388632733056</v>
      </c>
      <c r="Q3" s="4">
        <f t="shared" si="6"/>
        <v>1.5260189454449176</v>
      </c>
      <c r="R3" s="4">
        <f t="shared" ref="R3:R24" si="7">L3/(J3+I3)</f>
        <v>1.5401204634781278</v>
      </c>
      <c r="S3" s="5">
        <f t="shared" ref="S3:S24" si="8">O3/R3</f>
        <v>0.42159030708345674</v>
      </c>
    </row>
    <row r="4" spans="1:19" x14ac:dyDescent="0.35">
      <c r="A4" t="s">
        <v>10</v>
      </c>
      <c r="B4">
        <v>2017</v>
      </c>
      <c r="C4">
        <v>415</v>
      </c>
      <c r="D4">
        <v>1.0365</v>
      </c>
      <c r="E4" s="2">
        <v>132000</v>
      </c>
      <c r="F4">
        <v>0.9</v>
      </c>
      <c r="G4">
        <v>0.41</v>
      </c>
      <c r="H4">
        <v>0.87</v>
      </c>
      <c r="I4" s="2">
        <f t="shared" si="0"/>
        <v>114840</v>
      </c>
      <c r="J4" s="2">
        <v>32000</v>
      </c>
      <c r="K4" s="2">
        <v>52300000</v>
      </c>
      <c r="L4" s="2">
        <f t="shared" si="1"/>
        <v>217045</v>
      </c>
      <c r="M4" s="2">
        <f t="shared" si="2"/>
        <v>224967.14249999999</v>
      </c>
      <c r="N4" s="2">
        <f t="shared" si="3"/>
        <v>138917.85750000001</v>
      </c>
      <c r="O4" s="3">
        <f t="shared" si="4"/>
        <v>0.67654173097744708</v>
      </c>
      <c r="P4">
        <f t="shared" si="5"/>
        <v>1.0570275315396365</v>
      </c>
      <c r="Q4" s="4">
        <f t="shared" si="6"/>
        <v>1.5623981243736067</v>
      </c>
      <c r="R4" s="4">
        <f t="shared" si="7"/>
        <v>1.478105420866249</v>
      </c>
      <c r="S4" s="5">
        <f t="shared" si="8"/>
        <v>0.45770871375396038</v>
      </c>
    </row>
    <row r="5" spans="1:19" x14ac:dyDescent="0.35">
      <c r="A5" t="s">
        <v>6</v>
      </c>
      <c r="B5">
        <v>2010</v>
      </c>
      <c r="C5">
        <v>817</v>
      </c>
      <c r="D5">
        <v>1.0509999999999999</v>
      </c>
      <c r="E5" s="2">
        <v>41628</v>
      </c>
      <c r="F5">
        <v>0.66</v>
      </c>
      <c r="G5">
        <v>0.68</v>
      </c>
      <c r="H5">
        <v>0.94</v>
      </c>
      <c r="I5" s="2">
        <f t="shared" si="0"/>
        <v>39130.32</v>
      </c>
      <c r="J5" s="2">
        <v>8600</v>
      </c>
      <c r="K5" s="2">
        <v>14000000</v>
      </c>
      <c r="L5" s="2">
        <f t="shared" si="1"/>
        <v>114380</v>
      </c>
      <c r="M5" s="2">
        <f t="shared" si="2"/>
        <v>120213.37999999999</v>
      </c>
      <c r="N5" s="2">
        <f t="shared" si="3"/>
        <v>41896.94000000001</v>
      </c>
      <c r="O5" s="3">
        <f t="shared" si="4"/>
        <v>0.41729603077461097</v>
      </c>
      <c r="P5">
        <f t="shared" si="5"/>
        <v>1.1392316479437399</v>
      </c>
      <c r="Q5" s="4">
        <f t="shared" si="6"/>
        <v>2.7300323126223534</v>
      </c>
      <c r="R5" s="4">
        <f t="shared" si="7"/>
        <v>2.3963803301549205</v>
      </c>
      <c r="S5" s="5">
        <f t="shared" si="8"/>
        <v>0.17413597730024505</v>
      </c>
    </row>
    <row r="6" spans="1:19" x14ac:dyDescent="0.35">
      <c r="A6" t="s">
        <v>11</v>
      </c>
      <c r="B6">
        <v>2017</v>
      </c>
      <c r="C6">
        <v>279</v>
      </c>
      <c r="D6">
        <v>1.0369999999999999</v>
      </c>
      <c r="E6" s="2">
        <v>106000</v>
      </c>
      <c r="F6">
        <v>0.8</v>
      </c>
      <c r="G6">
        <v>0.7</v>
      </c>
      <c r="H6">
        <v>0.92</v>
      </c>
      <c r="I6" s="2">
        <f t="shared" si="0"/>
        <v>97520</v>
      </c>
      <c r="J6" s="2">
        <v>12000</v>
      </c>
      <c r="K6" s="2">
        <v>94000000</v>
      </c>
      <c r="L6" s="2">
        <f t="shared" si="1"/>
        <v>262260</v>
      </c>
      <c r="M6" s="2">
        <f t="shared" si="2"/>
        <v>271963.62</v>
      </c>
      <c r="N6" s="2">
        <f t="shared" si="3"/>
        <v>99816.38</v>
      </c>
      <c r="O6" s="3">
        <f t="shared" si="4"/>
        <v>0.41760085411423775</v>
      </c>
      <c r="P6">
        <f t="shared" si="5"/>
        <v>1.0972147056425008</v>
      </c>
      <c r="Q6" s="4">
        <f t="shared" si="6"/>
        <v>2.6274244768243449</v>
      </c>
      <c r="R6" s="4">
        <f t="shared" si="7"/>
        <v>2.3946311176040904</v>
      </c>
      <c r="S6" s="5">
        <f t="shared" si="8"/>
        <v>0.17439047335694091</v>
      </c>
    </row>
    <row r="7" spans="1:19" x14ac:dyDescent="0.35">
      <c r="A7" t="s">
        <v>9</v>
      </c>
      <c r="B7">
        <v>2016</v>
      </c>
      <c r="C7">
        <v>982</v>
      </c>
      <c r="D7">
        <v>0.98939999999999995</v>
      </c>
      <c r="E7" s="2">
        <v>345000</v>
      </c>
      <c r="F7">
        <v>0.98</v>
      </c>
      <c r="G7">
        <v>0.37</v>
      </c>
      <c r="H7">
        <v>0.91</v>
      </c>
      <c r="I7" s="2">
        <f t="shared" si="0"/>
        <v>313950</v>
      </c>
      <c r="J7" s="2">
        <v>22000</v>
      </c>
      <c r="K7" s="2">
        <v>107000000</v>
      </c>
      <c r="L7" s="2">
        <f t="shared" si="1"/>
        <v>1050740</v>
      </c>
      <c r="M7" s="2">
        <f t="shared" si="2"/>
        <v>1039602.156</v>
      </c>
      <c r="N7" s="2">
        <f t="shared" si="3"/>
        <v>347087.84400000004</v>
      </c>
      <c r="O7" s="3">
        <f t="shared" si="4"/>
        <v>0.31972704950796582</v>
      </c>
      <c r="P7">
        <f t="shared" si="5"/>
        <v>0.9679105903806875</v>
      </c>
      <c r="Q7" s="4">
        <f t="shared" si="6"/>
        <v>3.0273027942747537</v>
      </c>
      <c r="R7" s="4">
        <f t="shared" si="7"/>
        <v>3.1276678077094804</v>
      </c>
      <c r="S7" s="5">
        <f t="shared" si="8"/>
        <v>0.10222538618706924</v>
      </c>
    </row>
    <row r="8" spans="1:19" x14ac:dyDescent="0.35">
      <c r="A8" t="s">
        <v>7</v>
      </c>
      <c r="B8">
        <v>2013</v>
      </c>
      <c r="C8">
        <v>660</v>
      </c>
      <c r="D8">
        <v>0.95599999999999996</v>
      </c>
      <c r="E8" s="2">
        <v>327100</v>
      </c>
      <c r="F8">
        <v>0.94699999999999995</v>
      </c>
      <c r="G8">
        <v>0.63300000000000001</v>
      </c>
      <c r="H8">
        <v>0.88</v>
      </c>
      <c r="I8" s="2">
        <f t="shared" si="0"/>
        <v>287848</v>
      </c>
      <c r="J8" s="2">
        <v>66500</v>
      </c>
      <c r="K8" s="2">
        <v>251000000</v>
      </c>
      <c r="L8" s="2">
        <f t="shared" si="1"/>
        <v>1656600</v>
      </c>
      <c r="M8" s="2">
        <f t="shared" si="2"/>
        <v>1583709.5999999999</v>
      </c>
      <c r="N8" s="2">
        <f t="shared" si="3"/>
        <v>427238.40000000014</v>
      </c>
      <c r="O8" s="3">
        <f t="shared" si="4"/>
        <v>0.21390076059398769</v>
      </c>
      <c r="P8">
        <f t="shared" si="5"/>
        <v>0.82939174006830818</v>
      </c>
      <c r="Q8" s="4">
        <f t="shared" si="6"/>
        <v>3.8774604529929881</v>
      </c>
      <c r="R8" s="4">
        <f t="shared" si="7"/>
        <v>4.6750651901520541</v>
      </c>
      <c r="S8" s="5">
        <f t="shared" si="8"/>
        <v>4.5753535382686436E-2</v>
      </c>
    </row>
    <row r="9" spans="1:19" x14ac:dyDescent="0.35">
      <c r="A9" t="s">
        <v>23</v>
      </c>
      <c r="B9">
        <v>2015</v>
      </c>
      <c r="C9">
        <v>600</v>
      </c>
      <c r="E9" s="2">
        <v>120722</v>
      </c>
      <c r="H9">
        <v>0.9</v>
      </c>
      <c r="I9" s="2">
        <f t="shared" si="0"/>
        <v>108649.8</v>
      </c>
      <c r="J9" s="2">
        <v>15000</v>
      </c>
      <c r="K9" s="2">
        <v>25000000</v>
      </c>
      <c r="L9" s="2">
        <f t="shared" si="1"/>
        <v>150000</v>
      </c>
      <c r="O9" s="3">
        <f t="shared" si="4"/>
        <v>0.82433200000000006</v>
      </c>
      <c r="R9" s="4">
        <f t="shared" si="7"/>
        <v>1.2131034583153388</v>
      </c>
      <c r="S9" s="5">
        <f t="shared" si="8"/>
        <v>0.67952324622400018</v>
      </c>
    </row>
    <row r="10" spans="1:19" x14ac:dyDescent="0.35">
      <c r="A10" t="s">
        <v>22</v>
      </c>
      <c r="B10">
        <v>2010</v>
      </c>
      <c r="C10">
        <v>240</v>
      </c>
      <c r="E10" s="2">
        <v>156928</v>
      </c>
      <c r="H10">
        <v>0.83</v>
      </c>
      <c r="I10" s="2">
        <f t="shared" si="0"/>
        <v>130250.23999999999</v>
      </c>
      <c r="J10" s="2">
        <v>29000</v>
      </c>
      <c r="K10" s="2">
        <v>90000000</v>
      </c>
      <c r="L10" s="2">
        <f t="shared" si="1"/>
        <v>216000</v>
      </c>
      <c r="O10" s="3">
        <f t="shared" si="4"/>
        <v>0.73726962962962961</v>
      </c>
      <c r="R10" s="4">
        <f t="shared" si="7"/>
        <v>1.3563558836708818</v>
      </c>
      <c r="S10" s="5">
        <f t="shared" si="8"/>
        <v>0.54356650677421126</v>
      </c>
    </row>
    <row r="11" spans="1:19" x14ac:dyDescent="0.35">
      <c r="A11" t="s">
        <v>25</v>
      </c>
      <c r="B11">
        <v>2012</v>
      </c>
      <c r="I11" s="2">
        <f t="shared" si="0"/>
        <v>0</v>
      </c>
      <c r="K11" s="2">
        <v>1800000</v>
      </c>
      <c r="L11" s="2">
        <f t="shared" si="1"/>
        <v>0</v>
      </c>
      <c r="O11" s="3"/>
      <c r="R11" s="4"/>
      <c r="S11" s="5"/>
    </row>
    <row r="12" spans="1:19" x14ac:dyDescent="0.35">
      <c r="A12" t="s">
        <v>26</v>
      </c>
      <c r="B12">
        <v>2013</v>
      </c>
      <c r="I12" s="2">
        <f t="shared" si="0"/>
        <v>0</v>
      </c>
      <c r="K12" s="2">
        <v>26000000</v>
      </c>
      <c r="L12" s="2">
        <f t="shared" si="1"/>
        <v>0</v>
      </c>
      <c r="O12" s="3"/>
      <c r="R12" s="4"/>
      <c r="S12" s="5"/>
    </row>
    <row r="13" spans="1:19" x14ac:dyDescent="0.35">
      <c r="A13" t="s">
        <v>27</v>
      </c>
      <c r="B13">
        <v>2015</v>
      </c>
      <c r="C13">
        <v>426</v>
      </c>
      <c r="E13">
        <v>81518</v>
      </c>
      <c r="H13">
        <v>0.87</v>
      </c>
      <c r="I13" s="2">
        <f t="shared" si="0"/>
        <v>70920.66</v>
      </c>
      <c r="J13" s="2">
        <v>16200</v>
      </c>
      <c r="K13" s="2">
        <v>47000000</v>
      </c>
      <c r="L13" s="2">
        <f t="shared" si="1"/>
        <v>200220</v>
      </c>
      <c r="O13" s="3">
        <f t="shared" si="4"/>
        <v>0.43512466287084212</v>
      </c>
      <c r="R13" s="4">
        <f t="shared" si="7"/>
        <v>2.2981919558460646</v>
      </c>
      <c r="S13" s="5">
        <f t="shared" si="8"/>
        <v>0.18933347223846397</v>
      </c>
    </row>
    <row r="14" spans="1:19" x14ac:dyDescent="0.35">
      <c r="A14" t="s">
        <v>28</v>
      </c>
      <c r="B14">
        <v>2011</v>
      </c>
      <c r="I14" s="2">
        <f t="shared" si="0"/>
        <v>0</v>
      </c>
      <c r="K14" s="2">
        <v>6300000</v>
      </c>
      <c r="L14" s="2">
        <f t="shared" si="1"/>
        <v>0</v>
      </c>
      <c r="O14" s="3"/>
      <c r="R14" s="4"/>
      <c r="S14" s="5"/>
    </row>
    <row r="15" spans="1:19" x14ac:dyDescent="0.35">
      <c r="A15" t="s">
        <v>29</v>
      </c>
      <c r="B15">
        <v>2013</v>
      </c>
      <c r="I15" s="2">
        <f t="shared" si="0"/>
        <v>0</v>
      </c>
      <c r="K15" s="2">
        <v>16000000</v>
      </c>
      <c r="L15" s="2">
        <f t="shared" si="1"/>
        <v>0</v>
      </c>
      <c r="O15" s="3"/>
      <c r="R15" s="4"/>
      <c r="S15" s="5"/>
    </row>
    <row r="16" spans="1:19" x14ac:dyDescent="0.35">
      <c r="A16" t="s">
        <v>30</v>
      </c>
      <c r="B16">
        <v>2014</v>
      </c>
      <c r="I16" s="2">
        <f t="shared" si="0"/>
        <v>0</v>
      </c>
      <c r="K16" s="2">
        <v>2900000</v>
      </c>
      <c r="L16" s="2">
        <f t="shared" si="1"/>
        <v>0</v>
      </c>
      <c r="O16" s="3"/>
      <c r="R16" s="4"/>
      <c r="S16" s="5"/>
    </row>
    <row r="17" spans="1:19" x14ac:dyDescent="0.35">
      <c r="A17" t="s">
        <v>31</v>
      </c>
      <c r="B17">
        <v>2012</v>
      </c>
      <c r="C17">
        <v>323</v>
      </c>
      <c r="E17">
        <v>97853</v>
      </c>
      <c r="H17">
        <v>0.86</v>
      </c>
      <c r="I17" s="2">
        <f t="shared" si="0"/>
        <v>84153.58</v>
      </c>
      <c r="J17">
        <v>46000</v>
      </c>
      <c r="K17" s="2">
        <v>168000000</v>
      </c>
      <c r="L17" s="2">
        <f t="shared" si="1"/>
        <v>542640</v>
      </c>
      <c r="O17" s="3">
        <f t="shared" si="4"/>
        <v>0.23985253575114257</v>
      </c>
      <c r="R17" s="4">
        <f t="shared" si="7"/>
        <v>4.1692283838831017</v>
      </c>
      <c r="S17" s="5">
        <f t="shared" si="8"/>
        <v>5.7529238906253125E-2</v>
      </c>
    </row>
    <row r="18" spans="1:19" x14ac:dyDescent="0.35">
      <c r="A18" t="s">
        <v>32</v>
      </c>
      <c r="B18">
        <v>2010</v>
      </c>
      <c r="C18">
        <v>342</v>
      </c>
      <c r="E18">
        <v>269290</v>
      </c>
      <c r="H18">
        <v>0.91</v>
      </c>
      <c r="I18" s="2">
        <f t="shared" si="0"/>
        <v>245053.9</v>
      </c>
      <c r="J18">
        <v>58000</v>
      </c>
      <c r="K18" s="2">
        <v>173000000</v>
      </c>
      <c r="L18" s="2">
        <f t="shared" si="1"/>
        <v>591660</v>
      </c>
      <c r="O18" s="3">
        <f t="shared" si="4"/>
        <v>0.5122095460230538</v>
      </c>
      <c r="R18" s="4">
        <f t="shared" si="7"/>
        <v>1.9523259723765309</v>
      </c>
      <c r="S18" s="5">
        <f t="shared" si="8"/>
        <v>0.26235861903714286</v>
      </c>
    </row>
    <row r="19" spans="1:19" x14ac:dyDescent="0.35">
      <c r="A19" t="s">
        <v>33</v>
      </c>
      <c r="B19">
        <v>2012</v>
      </c>
      <c r="I19" s="2">
        <f t="shared" si="0"/>
        <v>0</v>
      </c>
      <c r="K19" s="2">
        <v>10000000</v>
      </c>
      <c r="L19" s="2">
        <f t="shared" si="1"/>
        <v>0</v>
      </c>
      <c r="O19" s="3"/>
      <c r="R19" s="4"/>
      <c r="S19" s="5"/>
    </row>
    <row r="20" spans="1:19" x14ac:dyDescent="0.35">
      <c r="A20" t="s">
        <v>34</v>
      </c>
      <c r="B20">
        <v>2013</v>
      </c>
      <c r="I20" s="2">
        <f t="shared" si="0"/>
        <v>0</v>
      </c>
      <c r="K20" s="2">
        <v>39000000</v>
      </c>
      <c r="L20" s="2">
        <f t="shared" si="1"/>
        <v>0</v>
      </c>
      <c r="O20" s="3"/>
      <c r="R20" s="4"/>
      <c r="S20" s="5"/>
    </row>
    <row r="21" spans="1:19" x14ac:dyDescent="0.35">
      <c r="A21" t="s">
        <v>35</v>
      </c>
      <c r="B21">
        <v>2014</v>
      </c>
      <c r="C21">
        <v>253</v>
      </c>
      <c r="E21">
        <v>46171</v>
      </c>
      <c r="H21">
        <v>0.75</v>
      </c>
      <c r="I21" s="2">
        <f t="shared" si="0"/>
        <v>34628.25</v>
      </c>
      <c r="J21">
        <v>10900</v>
      </c>
      <c r="K21" s="2">
        <v>37000000</v>
      </c>
      <c r="L21" s="2">
        <f t="shared" si="1"/>
        <v>93610</v>
      </c>
      <c r="O21" s="3">
        <f t="shared" si="4"/>
        <v>0.48636096570879178</v>
      </c>
      <c r="R21" s="4">
        <f t="shared" si="7"/>
        <v>2.056086056459451</v>
      </c>
      <c r="S21" s="5">
        <f t="shared" si="8"/>
        <v>0.23654698896518855</v>
      </c>
    </row>
    <row r="22" spans="1:19" x14ac:dyDescent="0.35">
      <c r="A22" t="s">
        <v>36</v>
      </c>
      <c r="B22">
        <v>2011</v>
      </c>
      <c r="I22" s="2">
        <f t="shared" si="0"/>
        <v>0</v>
      </c>
      <c r="K22" s="2">
        <v>48000000</v>
      </c>
      <c r="L22" s="2">
        <f t="shared" si="1"/>
        <v>0</v>
      </c>
      <c r="O22" s="3"/>
      <c r="R22" s="4"/>
      <c r="S22" s="5"/>
    </row>
    <row r="23" spans="1:19" x14ac:dyDescent="0.35">
      <c r="A23" t="s">
        <v>37</v>
      </c>
      <c r="B23">
        <v>2013</v>
      </c>
      <c r="I23" s="2">
        <f t="shared" si="0"/>
        <v>0</v>
      </c>
      <c r="K23" s="2">
        <v>16000000</v>
      </c>
      <c r="L23" s="2">
        <f t="shared" si="1"/>
        <v>0</v>
      </c>
      <c r="O23" s="3"/>
      <c r="R23" s="4"/>
      <c r="S23" s="5"/>
    </row>
    <row r="24" spans="1:19" x14ac:dyDescent="0.35">
      <c r="A24" t="s">
        <v>38</v>
      </c>
      <c r="B24">
        <v>2014</v>
      </c>
      <c r="C24">
        <v>275</v>
      </c>
      <c r="E24">
        <v>32016</v>
      </c>
      <c r="H24">
        <v>0.81</v>
      </c>
      <c r="I24" s="2">
        <f t="shared" si="0"/>
        <v>25932.960000000003</v>
      </c>
      <c r="J24">
        <v>7500</v>
      </c>
      <c r="K24" s="2">
        <v>15000000</v>
      </c>
      <c r="L24" s="2">
        <f t="shared" si="1"/>
        <v>41250</v>
      </c>
      <c r="O24" s="3">
        <f t="shared" si="4"/>
        <v>0.81049600000000011</v>
      </c>
      <c r="R24" s="4">
        <f t="shared" si="7"/>
        <v>1.2338123815540112</v>
      </c>
      <c r="S24" s="5">
        <f t="shared" si="8"/>
        <v>0.6569037660160002</v>
      </c>
    </row>
    <row r="25" spans="1:19" x14ac:dyDescent="0.35">
      <c r="S25" s="5"/>
    </row>
    <row r="26" spans="1:19" x14ac:dyDescent="0.35">
      <c r="S26" s="5"/>
    </row>
  </sheetData>
  <sortState xmlns:xlrd2="http://schemas.microsoft.com/office/spreadsheetml/2017/richdata2" ref="A2:Q8">
    <sortCondition ref="Q2:Q8"/>
  </sortState>
  <pageMargins left="0.7" right="0.7" top="0.75" bottom="0.75" header="0.3" footer="0.3"/>
  <pageSetup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C797-32B8-421D-BD60-8745820DD92B}">
  <sheetPr>
    <pageSetUpPr fitToPage="1"/>
  </sheetPr>
  <dimension ref="A1:Y8"/>
  <sheetViews>
    <sheetView workbookViewId="0">
      <selection activeCell="D2" sqref="D2"/>
    </sheetView>
  </sheetViews>
  <sheetFormatPr defaultRowHeight="14.5" x14ac:dyDescent="0.35"/>
  <cols>
    <col min="1" max="1" width="11.7265625" customWidth="1"/>
    <col min="2" max="2" width="10.1796875" customWidth="1"/>
    <col min="3" max="3" width="10.54296875" customWidth="1"/>
    <col min="4" max="4" width="13.453125" customWidth="1"/>
    <col min="5" max="5" width="11.81640625" customWidth="1"/>
    <col min="6" max="6" width="13.7265625" customWidth="1"/>
    <col min="7" max="7" width="11.1796875" customWidth="1"/>
    <col min="8" max="8" width="10.7265625" customWidth="1"/>
    <col min="9" max="9" width="14.7265625" customWidth="1"/>
    <col min="10" max="10" width="10.453125" customWidth="1"/>
    <col min="11" max="11" width="14.1796875" customWidth="1"/>
    <col min="12" max="12" width="10.54296875" customWidth="1"/>
    <col min="13" max="15" width="9.1796875" customWidth="1"/>
    <col min="16" max="17" width="10.54296875" customWidth="1"/>
    <col min="18" max="18" width="11.54296875" customWidth="1"/>
    <col min="19" max="19" width="9.1796875" hidden="1" customWidth="1"/>
    <col min="20" max="20" width="9.1796875" customWidth="1"/>
    <col min="21" max="21" width="0.1796875" customWidth="1"/>
    <col min="22" max="22" width="13.26953125" customWidth="1"/>
    <col min="23" max="23" width="11.1796875" customWidth="1"/>
    <col min="24" max="24" width="10.453125" customWidth="1"/>
    <col min="25" max="25" width="7.7265625" customWidth="1"/>
  </cols>
  <sheetData>
    <row r="1" spans="1:25" ht="203" x14ac:dyDescent="0.35">
      <c r="A1" s="1" t="s">
        <v>0</v>
      </c>
      <c r="B1" s="1" t="s">
        <v>1</v>
      </c>
      <c r="C1" s="1" t="s">
        <v>42</v>
      </c>
      <c r="D1" s="1" t="s">
        <v>17</v>
      </c>
      <c r="E1" s="1" t="s">
        <v>2</v>
      </c>
      <c r="F1" s="1" t="s">
        <v>12</v>
      </c>
      <c r="G1" s="1" t="s">
        <v>13</v>
      </c>
      <c r="H1" s="1" t="s">
        <v>3</v>
      </c>
      <c r="I1" s="1" t="s">
        <v>43</v>
      </c>
      <c r="J1" s="1" t="s">
        <v>4</v>
      </c>
      <c r="K1" s="1" t="s">
        <v>14</v>
      </c>
      <c r="L1" s="1" t="s">
        <v>44</v>
      </c>
      <c r="M1" s="1" t="s">
        <v>15</v>
      </c>
      <c r="N1" s="1" t="s">
        <v>46</v>
      </c>
      <c r="O1" s="1" t="s">
        <v>47</v>
      </c>
      <c r="P1" s="1" t="s">
        <v>18</v>
      </c>
      <c r="Q1" s="1" t="s">
        <v>48</v>
      </c>
      <c r="R1" s="1" t="s">
        <v>19</v>
      </c>
      <c r="S1" s="1" t="s">
        <v>20</v>
      </c>
      <c r="T1" s="1" t="s">
        <v>21</v>
      </c>
      <c r="U1" s="1" t="s">
        <v>45</v>
      </c>
      <c r="V1" s="1" t="s">
        <v>49</v>
      </c>
      <c r="W1" s="1" t="s">
        <v>51</v>
      </c>
      <c r="X1" s="1" t="s">
        <v>50</v>
      </c>
      <c r="Y1" s="1" t="s">
        <v>58</v>
      </c>
    </row>
    <row r="2" spans="1:25" x14ac:dyDescent="0.35">
      <c r="A2" t="s">
        <v>8</v>
      </c>
      <c r="B2">
        <v>2015</v>
      </c>
      <c r="C2">
        <v>260</v>
      </c>
      <c r="D2">
        <v>0.96199999999999997</v>
      </c>
      <c r="E2" s="2">
        <v>209500</v>
      </c>
      <c r="F2">
        <v>0.79</v>
      </c>
      <c r="G2">
        <v>0.72</v>
      </c>
      <c r="H2">
        <v>0.93</v>
      </c>
      <c r="I2" s="2">
        <f t="shared" ref="I2:I8" si="0">E2*H2</f>
        <v>194835</v>
      </c>
      <c r="J2" s="2">
        <v>73000</v>
      </c>
      <c r="K2" s="2">
        <v>161000000</v>
      </c>
      <c r="L2" s="2">
        <f t="shared" ref="L2:L8" si="1">(K2*C2)/100000</f>
        <v>418600</v>
      </c>
      <c r="M2" s="2">
        <f t="shared" ref="M2:M8" si="2">L2*D2</f>
        <v>402693.2</v>
      </c>
      <c r="N2" s="2">
        <f>L2-M2</f>
        <v>15906.799999999988</v>
      </c>
      <c r="O2" s="2">
        <f>J2+I2</f>
        <v>267835</v>
      </c>
      <c r="P2" s="2">
        <f t="shared" ref="P2:P8" si="3">L2-M2+J2+I2</f>
        <v>283741.8</v>
      </c>
      <c r="Q2" s="2">
        <f>(P2/K2)*100000</f>
        <v>176.23714285714286</v>
      </c>
      <c r="R2" s="3">
        <f t="shared" ref="R2:R8" si="4">(I2+J2)/L2</f>
        <v>0.63983516483516478</v>
      </c>
      <c r="S2">
        <f t="shared" ref="S2:S8" si="5">(I2+J2)/P2</f>
        <v>0.94393917286772699</v>
      </c>
      <c r="T2" s="4">
        <f t="shared" ref="T2:T8" si="6">L2/P2</f>
        <v>1.475284924533502</v>
      </c>
      <c r="U2" s="4">
        <f t="shared" ref="U2:U8" si="7">I2/P2</f>
        <v>0.68666301545983011</v>
      </c>
      <c r="V2" s="4">
        <f>O2/P2</f>
        <v>0.94393917286772699</v>
      </c>
      <c r="W2" s="5">
        <f>I2/L2</f>
        <v>0.46544433827042525</v>
      </c>
      <c r="X2" s="5">
        <f>I2/P2</f>
        <v>0.68666301545983011</v>
      </c>
      <c r="Y2" s="4">
        <f>J2/O2</f>
        <v>0.27255586461814174</v>
      </c>
    </row>
    <row r="3" spans="1:25" x14ac:dyDescent="0.35">
      <c r="A3" t="s">
        <v>5</v>
      </c>
      <c r="B3">
        <v>2010</v>
      </c>
      <c r="C3">
        <v>108</v>
      </c>
      <c r="D3">
        <v>1.0349999999999999</v>
      </c>
      <c r="E3" s="2">
        <v>923300</v>
      </c>
      <c r="F3">
        <v>0.99</v>
      </c>
      <c r="G3">
        <v>0.5</v>
      </c>
      <c r="H3">
        <v>0.96</v>
      </c>
      <c r="I3" s="2">
        <f t="shared" si="0"/>
        <v>886368</v>
      </c>
      <c r="J3" s="2">
        <v>54000</v>
      </c>
      <c r="K3" s="2">
        <v>1341000000</v>
      </c>
      <c r="L3" s="2">
        <f t="shared" si="1"/>
        <v>1448280</v>
      </c>
      <c r="M3" s="2">
        <f t="shared" si="2"/>
        <v>1498969.7999999998</v>
      </c>
      <c r="N3" s="2">
        <f t="shared" ref="N3:N8" si="8">L3-M3</f>
        <v>-50689.799999999814</v>
      </c>
      <c r="O3" s="2">
        <f t="shared" ref="O3:O8" si="9">J3+I3</f>
        <v>940368</v>
      </c>
      <c r="P3" s="2">
        <f t="shared" si="3"/>
        <v>889678.20000000019</v>
      </c>
      <c r="Q3" s="2">
        <f t="shared" ref="Q3:Q8" si="10">(P3/K3)*100000</f>
        <v>66.344384787472052</v>
      </c>
      <c r="R3" s="3">
        <f t="shared" si="4"/>
        <v>0.64929985914325961</v>
      </c>
      <c r="S3">
        <f t="shared" si="5"/>
        <v>1.056975432240556</v>
      </c>
      <c r="T3" s="4">
        <f t="shared" si="6"/>
        <v>1.6278694925873194</v>
      </c>
      <c r="U3" s="4">
        <f t="shared" si="7"/>
        <v>0.99627932886295267</v>
      </c>
      <c r="V3" s="4">
        <f t="shared" ref="V3:V8" si="11">O3/P3</f>
        <v>1.056975432240556</v>
      </c>
      <c r="W3" s="5">
        <f t="shared" ref="W3:W8" si="12">I3/L3</f>
        <v>0.61201425138785315</v>
      </c>
      <c r="X3" s="5">
        <f t="shared" ref="X3:X8" si="13">I3/P3</f>
        <v>0.99627932886295267</v>
      </c>
      <c r="Y3" s="4">
        <f t="shared" ref="Y3:Y8" si="14">J3/O3</f>
        <v>5.7424327497320196E-2</v>
      </c>
    </row>
    <row r="4" spans="1:25" x14ac:dyDescent="0.35">
      <c r="A4" t="s">
        <v>10</v>
      </c>
      <c r="B4">
        <v>2017</v>
      </c>
      <c r="C4">
        <v>544</v>
      </c>
      <c r="D4">
        <v>1.1200000000000001</v>
      </c>
      <c r="E4" s="2">
        <v>132000</v>
      </c>
      <c r="F4">
        <v>0.9</v>
      </c>
      <c r="G4">
        <v>0.41</v>
      </c>
      <c r="H4">
        <v>0.87</v>
      </c>
      <c r="I4" s="2">
        <f t="shared" si="0"/>
        <v>114840</v>
      </c>
      <c r="J4" s="2">
        <v>32000</v>
      </c>
      <c r="K4" s="2">
        <v>52300000</v>
      </c>
      <c r="L4" s="2">
        <f t="shared" si="1"/>
        <v>284512</v>
      </c>
      <c r="M4" s="2">
        <f t="shared" si="2"/>
        <v>318653.44</v>
      </c>
      <c r="N4" s="2">
        <f t="shared" si="8"/>
        <v>-34141.440000000002</v>
      </c>
      <c r="O4" s="2">
        <f t="shared" si="9"/>
        <v>146840</v>
      </c>
      <c r="P4" s="2">
        <f t="shared" si="3"/>
        <v>112698.56</v>
      </c>
      <c r="Q4" s="2">
        <f t="shared" si="10"/>
        <v>215.48481835564053</v>
      </c>
      <c r="R4" s="3">
        <f t="shared" si="4"/>
        <v>0.51611179844786859</v>
      </c>
      <c r="S4">
        <f t="shared" si="5"/>
        <v>1.3029447758693633</v>
      </c>
      <c r="T4" s="4">
        <f t="shared" si="6"/>
        <v>2.5245397989113614</v>
      </c>
      <c r="U4" s="4">
        <f t="shared" si="7"/>
        <v>1.019001485023411</v>
      </c>
      <c r="V4" s="4">
        <f t="shared" si="11"/>
        <v>1.3029447758693633</v>
      </c>
      <c r="W4" s="5">
        <f t="shared" si="12"/>
        <v>0.40363851085367225</v>
      </c>
      <c r="X4" s="5">
        <f t="shared" si="13"/>
        <v>1.019001485023411</v>
      </c>
      <c r="Y4" s="4">
        <f t="shared" si="14"/>
        <v>0.21792427131571779</v>
      </c>
    </row>
    <row r="5" spans="1:25" x14ac:dyDescent="0.35">
      <c r="A5" t="s">
        <v>6</v>
      </c>
      <c r="B5">
        <v>2010</v>
      </c>
      <c r="C5">
        <v>817</v>
      </c>
      <c r="D5">
        <v>1.0920000000000001</v>
      </c>
      <c r="E5" s="2">
        <v>41628</v>
      </c>
      <c r="F5">
        <v>0.66</v>
      </c>
      <c r="G5">
        <v>0.68</v>
      </c>
      <c r="H5">
        <v>0.94</v>
      </c>
      <c r="I5" s="2">
        <f t="shared" si="0"/>
        <v>39130.32</v>
      </c>
      <c r="J5" s="2">
        <v>8600</v>
      </c>
      <c r="K5" s="2">
        <v>14000000</v>
      </c>
      <c r="L5" s="2">
        <f t="shared" si="1"/>
        <v>114380</v>
      </c>
      <c r="M5" s="2">
        <f t="shared" si="2"/>
        <v>124902.96</v>
      </c>
      <c r="N5" s="2">
        <f t="shared" si="8"/>
        <v>-10522.960000000006</v>
      </c>
      <c r="O5" s="2">
        <f t="shared" si="9"/>
        <v>47730.32</v>
      </c>
      <c r="P5" s="2">
        <f t="shared" si="3"/>
        <v>37207.359999999993</v>
      </c>
      <c r="Q5" s="2">
        <f t="shared" si="10"/>
        <v>265.76685714285708</v>
      </c>
      <c r="R5" s="3">
        <f t="shared" si="4"/>
        <v>0.41729603077461097</v>
      </c>
      <c r="S5">
        <f t="shared" si="5"/>
        <v>1.2828193131681476</v>
      </c>
      <c r="T5" s="4">
        <f t="shared" si="6"/>
        <v>3.074122969218994</v>
      </c>
      <c r="U5" s="4">
        <f t="shared" si="7"/>
        <v>1.0516822478133361</v>
      </c>
      <c r="V5" s="4">
        <f t="shared" si="11"/>
        <v>1.2828193131681476</v>
      </c>
      <c r="W5" s="5">
        <f t="shared" si="12"/>
        <v>0.34210806084979889</v>
      </c>
      <c r="X5" s="5">
        <f t="shared" si="13"/>
        <v>1.0516822478133361</v>
      </c>
      <c r="Y5" s="4">
        <f t="shared" si="14"/>
        <v>0.18017897219209927</v>
      </c>
    </row>
    <row r="6" spans="1:25" x14ac:dyDescent="0.35">
      <c r="A6" t="s">
        <v>11</v>
      </c>
      <c r="B6">
        <v>2017</v>
      </c>
      <c r="C6">
        <v>279</v>
      </c>
      <c r="D6">
        <v>1.0369999999999999</v>
      </c>
      <c r="E6" s="2">
        <v>106000</v>
      </c>
      <c r="F6">
        <v>0.8</v>
      </c>
      <c r="G6">
        <v>0.7</v>
      </c>
      <c r="H6">
        <v>0.92</v>
      </c>
      <c r="I6" s="2">
        <f t="shared" si="0"/>
        <v>97520</v>
      </c>
      <c r="J6" s="2">
        <v>12000</v>
      </c>
      <c r="K6" s="2">
        <v>94000000</v>
      </c>
      <c r="L6" s="2">
        <f t="shared" si="1"/>
        <v>262260</v>
      </c>
      <c r="M6" s="2">
        <f t="shared" si="2"/>
        <v>271963.62</v>
      </c>
      <c r="N6" s="2">
        <f t="shared" si="8"/>
        <v>-9703.6199999999953</v>
      </c>
      <c r="O6" s="2">
        <f t="shared" si="9"/>
        <v>109520</v>
      </c>
      <c r="P6" s="2">
        <f t="shared" si="3"/>
        <v>99816.38</v>
      </c>
      <c r="Q6" s="2">
        <f t="shared" si="10"/>
        <v>106.18763829787234</v>
      </c>
      <c r="R6" s="3">
        <f t="shared" si="4"/>
        <v>0.41760085411423775</v>
      </c>
      <c r="S6">
        <f t="shared" si="5"/>
        <v>1.0972147056425008</v>
      </c>
      <c r="T6" s="4">
        <f t="shared" si="6"/>
        <v>2.6274244768243449</v>
      </c>
      <c r="U6" s="4">
        <f t="shared" si="7"/>
        <v>0.97699395630256269</v>
      </c>
      <c r="V6" s="4">
        <f t="shared" si="11"/>
        <v>1.0972147056425008</v>
      </c>
      <c r="W6" s="5">
        <f t="shared" si="12"/>
        <v>0.37184473423320369</v>
      </c>
      <c r="X6" s="5">
        <f t="shared" si="13"/>
        <v>0.97699395630256269</v>
      </c>
      <c r="Y6" s="4">
        <f t="shared" si="14"/>
        <v>0.1095690284879474</v>
      </c>
    </row>
    <row r="7" spans="1:25" x14ac:dyDescent="0.35">
      <c r="A7" t="s">
        <v>9</v>
      </c>
      <c r="B7">
        <v>2016</v>
      </c>
      <c r="C7">
        <v>982</v>
      </c>
      <c r="D7">
        <v>0.98939999999999995</v>
      </c>
      <c r="E7" s="2">
        <v>345000</v>
      </c>
      <c r="F7">
        <v>0.98</v>
      </c>
      <c r="G7">
        <v>0.37</v>
      </c>
      <c r="H7">
        <v>0.91</v>
      </c>
      <c r="I7" s="2">
        <f t="shared" si="0"/>
        <v>313950</v>
      </c>
      <c r="J7" s="2">
        <v>22000</v>
      </c>
      <c r="K7" s="2">
        <v>107000000</v>
      </c>
      <c r="L7" s="2">
        <f t="shared" si="1"/>
        <v>1050740</v>
      </c>
      <c r="M7" s="2">
        <f t="shared" si="2"/>
        <v>1039602.156</v>
      </c>
      <c r="N7" s="2">
        <f t="shared" si="8"/>
        <v>11137.844000000041</v>
      </c>
      <c r="O7" s="2">
        <f t="shared" si="9"/>
        <v>335950</v>
      </c>
      <c r="P7" s="2">
        <f t="shared" si="3"/>
        <v>347087.84400000004</v>
      </c>
      <c r="Q7" s="2">
        <f t="shared" si="10"/>
        <v>324.38116261682245</v>
      </c>
      <c r="R7" s="3">
        <f t="shared" si="4"/>
        <v>0.31972704950796582</v>
      </c>
      <c r="S7">
        <f t="shared" si="5"/>
        <v>0.9679105903806875</v>
      </c>
      <c r="T7" s="4">
        <f t="shared" si="6"/>
        <v>3.0273027942747537</v>
      </c>
      <c r="U7" s="4">
        <f t="shared" si="7"/>
        <v>0.90452605997921365</v>
      </c>
      <c r="V7" s="4">
        <f t="shared" si="11"/>
        <v>0.9679105903806875</v>
      </c>
      <c r="W7" s="5">
        <f t="shared" si="12"/>
        <v>0.298789424595999</v>
      </c>
      <c r="X7" s="5">
        <f t="shared" si="13"/>
        <v>0.90452605997921365</v>
      </c>
      <c r="Y7" s="4">
        <f t="shared" si="14"/>
        <v>6.5485935407054621E-2</v>
      </c>
    </row>
    <row r="8" spans="1:25" x14ac:dyDescent="0.35">
      <c r="A8" t="s">
        <v>7</v>
      </c>
      <c r="B8">
        <v>2013</v>
      </c>
      <c r="C8">
        <v>660</v>
      </c>
      <c r="D8">
        <v>0.95599999999999996</v>
      </c>
      <c r="E8" s="2">
        <v>327100</v>
      </c>
      <c r="F8">
        <v>0.94699999999999995</v>
      </c>
      <c r="G8">
        <v>0.63300000000000001</v>
      </c>
      <c r="H8">
        <v>0.88</v>
      </c>
      <c r="I8" s="2">
        <f t="shared" si="0"/>
        <v>287848</v>
      </c>
      <c r="J8" s="2">
        <v>66500</v>
      </c>
      <c r="K8" s="2">
        <v>251000000</v>
      </c>
      <c r="L8" s="2">
        <f t="shared" si="1"/>
        <v>1656600</v>
      </c>
      <c r="M8" s="2">
        <f t="shared" si="2"/>
        <v>1583709.5999999999</v>
      </c>
      <c r="N8" s="2">
        <f t="shared" si="8"/>
        <v>72890.40000000014</v>
      </c>
      <c r="O8" s="2">
        <f t="shared" si="9"/>
        <v>354348</v>
      </c>
      <c r="P8" s="2">
        <f t="shared" si="3"/>
        <v>427238.40000000014</v>
      </c>
      <c r="Q8" s="2">
        <f t="shared" si="10"/>
        <v>170.21450199203193</v>
      </c>
      <c r="R8" s="3">
        <f t="shared" si="4"/>
        <v>0.21390076059398769</v>
      </c>
      <c r="S8">
        <f t="shared" si="5"/>
        <v>0.82939174006830818</v>
      </c>
      <c r="T8" s="4">
        <f t="shared" si="6"/>
        <v>3.8774604529929881</v>
      </c>
      <c r="U8" s="4">
        <f t="shared" si="7"/>
        <v>0.67374093714422656</v>
      </c>
      <c r="V8" s="4">
        <f t="shared" si="11"/>
        <v>0.82939174006830818</v>
      </c>
      <c r="W8" s="5">
        <f t="shared" si="12"/>
        <v>0.17375830013280213</v>
      </c>
      <c r="X8" s="5">
        <f t="shared" si="13"/>
        <v>0.67374093714422656</v>
      </c>
      <c r="Y8" s="4">
        <f t="shared" si="14"/>
        <v>0.18766861954914377</v>
      </c>
    </row>
  </sheetData>
  <pageMargins left="0.7" right="0.7" top="0.75" bottom="0.75" header="0.3" footer="0.3"/>
  <pageSetup scale="3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9F65-D1E1-4ED5-AE4F-08378785C287}">
  <dimension ref="A1:F11"/>
  <sheetViews>
    <sheetView workbookViewId="0">
      <selection activeCell="G16" sqref="G16"/>
    </sheetView>
  </sheetViews>
  <sheetFormatPr defaultRowHeight="14.5" x14ac:dyDescent="0.35"/>
  <cols>
    <col min="1" max="1" width="16.453125" customWidth="1"/>
    <col min="2" max="2" width="17.453125" customWidth="1"/>
    <col min="3" max="3" width="17.7265625" customWidth="1"/>
    <col min="4" max="4" width="16.1796875" customWidth="1"/>
    <col min="5" max="5" width="16" customWidth="1"/>
    <col min="6" max="6" width="16.453125" customWidth="1"/>
  </cols>
  <sheetData>
    <row r="1" spans="1:6" ht="29" x14ac:dyDescent="0.35">
      <c r="A1" t="s">
        <v>52</v>
      </c>
      <c r="B1" s="1" t="s">
        <v>53</v>
      </c>
      <c r="C1" s="1" t="s">
        <v>54</v>
      </c>
      <c r="D1" s="1" t="s">
        <v>55</v>
      </c>
      <c r="E1" s="1" t="s">
        <v>57</v>
      </c>
      <c r="F1" s="1" t="s">
        <v>56</v>
      </c>
    </row>
    <row r="2" spans="1:6" x14ac:dyDescent="0.35">
      <c r="A2" s="2">
        <v>100</v>
      </c>
      <c r="B2">
        <f>A2/(16*0.5)</f>
        <v>12.5</v>
      </c>
      <c r="C2" s="4">
        <f>A2/(16*0.7)</f>
        <v>8.9285714285714288</v>
      </c>
      <c r="D2" s="4">
        <f>A2/(16*0.9)</f>
        <v>6.9444444444444446</v>
      </c>
      <c r="E2">
        <f>A2/(16)</f>
        <v>6.25</v>
      </c>
      <c r="F2" s="4">
        <f>A2/(16*1.2)</f>
        <v>5.2083333333333339</v>
      </c>
    </row>
    <row r="3" spans="1:6" x14ac:dyDescent="0.35">
      <c r="A3">
        <v>200</v>
      </c>
      <c r="B3">
        <f t="shared" ref="B3:B11" si="0">A3/(16*0.5)</f>
        <v>25</v>
      </c>
      <c r="C3" s="4">
        <f t="shared" ref="C3:C11" si="1">A3/(16*0.7)</f>
        <v>17.857142857142858</v>
      </c>
      <c r="D3" s="4">
        <f t="shared" ref="D3:D11" si="2">A3/(16*0.9)</f>
        <v>13.888888888888889</v>
      </c>
      <c r="E3">
        <f t="shared" ref="E3:E11" si="3">A3/(16)</f>
        <v>12.5</v>
      </c>
      <c r="F3" s="4">
        <f t="shared" ref="F3:F11" si="4">A3/(16*1.2)</f>
        <v>10.416666666666668</v>
      </c>
    </row>
    <row r="4" spans="1:6" x14ac:dyDescent="0.35">
      <c r="A4">
        <v>300</v>
      </c>
      <c r="B4">
        <f t="shared" si="0"/>
        <v>37.5</v>
      </c>
      <c r="C4" s="4">
        <f t="shared" si="1"/>
        <v>26.785714285714288</v>
      </c>
      <c r="D4" s="4">
        <f t="shared" si="2"/>
        <v>20.833333333333332</v>
      </c>
      <c r="E4">
        <f t="shared" si="3"/>
        <v>18.75</v>
      </c>
      <c r="F4" s="4">
        <f t="shared" si="4"/>
        <v>15.625</v>
      </c>
    </row>
    <row r="5" spans="1:6" x14ac:dyDescent="0.35">
      <c r="A5">
        <v>400</v>
      </c>
      <c r="B5">
        <f t="shared" si="0"/>
        <v>50</v>
      </c>
      <c r="C5" s="4">
        <f t="shared" si="1"/>
        <v>35.714285714285715</v>
      </c>
      <c r="D5" s="4">
        <f t="shared" si="2"/>
        <v>27.777777777777779</v>
      </c>
      <c r="E5">
        <f t="shared" si="3"/>
        <v>25</v>
      </c>
      <c r="F5" s="4">
        <f t="shared" si="4"/>
        <v>20.833333333333336</v>
      </c>
    </row>
    <row r="6" spans="1:6" x14ac:dyDescent="0.35">
      <c r="A6">
        <v>500</v>
      </c>
      <c r="B6">
        <f t="shared" si="0"/>
        <v>62.5</v>
      </c>
      <c r="C6" s="4">
        <f t="shared" si="1"/>
        <v>44.642857142857146</v>
      </c>
      <c r="D6" s="4">
        <f t="shared" si="2"/>
        <v>34.722222222222221</v>
      </c>
      <c r="E6">
        <f t="shared" si="3"/>
        <v>31.25</v>
      </c>
      <c r="F6" s="4">
        <f t="shared" si="4"/>
        <v>26.041666666666668</v>
      </c>
    </row>
    <row r="7" spans="1:6" x14ac:dyDescent="0.35">
      <c r="A7">
        <v>600</v>
      </c>
      <c r="B7">
        <f t="shared" si="0"/>
        <v>75</v>
      </c>
      <c r="C7" s="4">
        <f t="shared" si="1"/>
        <v>53.571428571428577</v>
      </c>
      <c r="D7" s="4">
        <f t="shared" si="2"/>
        <v>41.666666666666664</v>
      </c>
      <c r="E7">
        <f t="shared" si="3"/>
        <v>37.5</v>
      </c>
      <c r="F7" s="4">
        <f t="shared" si="4"/>
        <v>31.25</v>
      </c>
    </row>
    <row r="8" spans="1:6" x14ac:dyDescent="0.35">
      <c r="A8">
        <v>700</v>
      </c>
      <c r="B8">
        <f t="shared" si="0"/>
        <v>87.5</v>
      </c>
      <c r="C8" s="4">
        <f t="shared" si="1"/>
        <v>62.500000000000007</v>
      </c>
      <c r="D8" s="4">
        <f t="shared" si="2"/>
        <v>48.611111111111107</v>
      </c>
      <c r="E8">
        <f t="shared" si="3"/>
        <v>43.75</v>
      </c>
      <c r="F8" s="4">
        <f t="shared" si="4"/>
        <v>36.458333333333336</v>
      </c>
    </row>
    <row r="9" spans="1:6" x14ac:dyDescent="0.35">
      <c r="A9">
        <v>800</v>
      </c>
      <c r="B9">
        <f t="shared" si="0"/>
        <v>100</v>
      </c>
      <c r="C9" s="4">
        <f t="shared" si="1"/>
        <v>71.428571428571431</v>
      </c>
      <c r="D9" s="4">
        <f t="shared" si="2"/>
        <v>55.555555555555557</v>
      </c>
      <c r="E9">
        <f t="shared" si="3"/>
        <v>50</v>
      </c>
      <c r="F9" s="4">
        <f t="shared" si="4"/>
        <v>41.666666666666671</v>
      </c>
    </row>
    <row r="10" spans="1:6" x14ac:dyDescent="0.35">
      <c r="A10">
        <v>900</v>
      </c>
      <c r="B10">
        <f t="shared" si="0"/>
        <v>112.5</v>
      </c>
      <c r="C10" s="4">
        <f t="shared" si="1"/>
        <v>80.357142857142861</v>
      </c>
      <c r="D10" s="4">
        <f t="shared" si="2"/>
        <v>62.5</v>
      </c>
      <c r="E10">
        <f t="shared" si="3"/>
        <v>56.25</v>
      </c>
      <c r="F10" s="4">
        <f t="shared" si="4"/>
        <v>46.875</v>
      </c>
    </row>
    <row r="11" spans="1:6" x14ac:dyDescent="0.35">
      <c r="A11">
        <v>1000</v>
      </c>
      <c r="B11">
        <f t="shared" si="0"/>
        <v>125</v>
      </c>
      <c r="C11" s="4">
        <f t="shared" si="1"/>
        <v>89.285714285714292</v>
      </c>
      <c r="D11" s="4">
        <f t="shared" si="2"/>
        <v>69.444444444444443</v>
      </c>
      <c r="E11">
        <f t="shared" si="3"/>
        <v>62.5</v>
      </c>
      <c r="F11" s="4">
        <f t="shared" si="4"/>
        <v>52.083333333333336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F9EC-6BED-4B53-82B8-1145E3904697}">
  <dimension ref="A1:X11"/>
  <sheetViews>
    <sheetView tabSelected="1" topLeftCell="N1" workbookViewId="0">
      <selection activeCell="O4" sqref="O4:V10"/>
    </sheetView>
  </sheetViews>
  <sheetFormatPr defaultRowHeight="14.5" x14ac:dyDescent="0.35"/>
  <cols>
    <col min="1" max="1" width="14.54296875" customWidth="1"/>
    <col min="2" max="3" width="10.81640625" customWidth="1"/>
    <col min="4" max="4" width="10.453125" customWidth="1"/>
    <col min="5" max="8" width="14.81640625" customWidth="1"/>
    <col min="9" max="9" width="9.1796875" customWidth="1"/>
    <col min="10" max="10" width="11.54296875" customWidth="1"/>
    <col min="11" max="11" width="11.81640625" customWidth="1"/>
    <col min="12" max="12" width="14.81640625" customWidth="1"/>
    <col min="13" max="13" width="9.1796875" customWidth="1"/>
    <col min="14" max="14" width="13.7265625" customWidth="1"/>
    <col min="15" max="16" width="9.1796875" customWidth="1"/>
    <col min="17" max="17" width="11.26953125" customWidth="1"/>
    <col min="18" max="19" width="11.7265625" customWidth="1"/>
    <col min="20" max="20" width="12.81640625" customWidth="1"/>
    <col min="21" max="21" width="11.26953125" customWidth="1"/>
    <col min="22" max="22" width="11" customWidth="1"/>
    <col min="23" max="23" width="15.26953125" customWidth="1"/>
    <col min="24" max="24" width="14.1796875" customWidth="1"/>
  </cols>
  <sheetData>
    <row r="1" spans="1:24" x14ac:dyDescent="0.35">
      <c r="A1" s="21" t="s">
        <v>0</v>
      </c>
      <c r="B1" s="21" t="s">
        <v>59</v>
      </c>
      <c r="C1" s="21" t="s">
        <v>60</v>
      </c>
      <c r="D1" s="21" t="s">
        <v>61</v>
      </c>
      <c r="E1" s="6" t="s">
        <v>62</v>
      </c>
      <c r="F1" s="12"/>
      <c r="G1" s="12"/>
      <c r="H1" s="12"/>
    </row>
    <row r="2" spans="1:24" x14ac:dyDescent="0.35">
      <c r="A2" s="22"/>
      <c r="B2" s="22"/>
      <c r="C2" s="22"/>
      <c r="D2" s="22"/>
      <c r="E2" s="7" t="s">
        <v>63</v>
      </c>
      <c r="F2" s="12"/>
      <c r="G2" s="12"/>
      <c r="H2" s="12"/>
    </row>
    <row r="3" spans="1:24" ht="58.5" thickBot="1" x14ac:dyDescent="0.4">
      <c r="A3" s="23"/>
      <c r="B3" s="23"/>
      <c r="C3" s="23"/>
      <c r="D3" s="23"/>
      <c r="E3" s="8" t="s">
        <v>64</v>
      </c>
      <c r="F3" s="12" t="s">
        <v>75</v>
      </c>
      <c r="G3" s="12" t="s">
        <v>73</v>
      </c>
      <c r="H3" s="12" t="s">
        <v>74</v>
      </c>
      <c r="I3" s="1" t="s">
        <v>72</v>
      </c>
      <c r="J3" s="1" t="s">
        <v>2</v>
      </c>
      <c r="K3" s="1" t="s">
        <v>3</v>
      </c>
      <c r="L3" s="1" t="s">
        <v>43</v>
      </c>
      <c r="M3" s="1" t="s">
        <v>4</v>
      </c>
      <c r="N3" s="1" t="s">
        <v>76</v>
      </c>
      <c r="O3" s="1" t="s">
        <v>48</v>
      </c>
      <c r="P3" s="1" t="s">
        <v>21</v>
      </c>
      <c r="Q3" s="1" t="s">
        <v>77</v>
      </c>
      <c r="R3" s="1" t="s">
        <v>78</v>
      </c>
      <c r="S3" s="1" t="s">
        <v>84</v>
      </c>
      <c r="T3" s="1" t="s">
        <v>79</v>
      </c>
      <c r="U3" s="1" t="s">
        <v>80</v>
      </c>
      <c r="V3" s="1" t="s">
        <v>81</v>
      </c>
      <c r="W3" s="1" t="s">
        <v>83</v>
      </c>
      <c r="X3" s="1" t="s">
        <v>82</v>
      </c>
    </row>
    <row r="4" spans="1:24" ht="15" thickBot="1" x14ac:dyDescent="0.4">
      <c r="A4" s="10" t="s">
        <v>68</v>
      </c>
      <c r="B4" s="11">
        <v>2007</v>
      </c>
      <c r="C4" s="11">
        <v>2015</v>
      </c>
      <c r="D4" s="11">
        <v>260</v>
      </c>
      <c r="E4" s="16">
        <v>5.2999999999999999E-2</v>
      </c>
      <c r="F4" s="14">
        <f>1/(1-E4)</f>
        <v>1.0559662090813096</v>
      </c>
      <c r="G4" s="2">
        <v>161000000</v>
      </c>
      <c r="H4" s="2">
        <f>D4*G4/100000</f>
        <v>418600</v>
      </c>
      <c r="I4" s="15">
        <f>H4/F4</f>
        <v>396414.19999999995</v>
      </c>
      <c r="J4" s="2">
        <v>209500</v>
      </c>
      <c r="K4">
        <v>0.93</v>
      </c>
      <c r="L4" s="2">
        <f t="shared" ref="L4:L10" si="0">J4*K4</f>
        <v>194835</v>
      </c>
      <c r="M4" s="2">
        <v>73000</v>
      </c>
      <c r="N4" s="2">
        <f>H4-I4+L4+M4</f>
        <v>290020.80000000005</v>
      </c>
      <c r="O4" s="19">
        <f>N4*100000/G4</f>
        <v>180.13714285714289</v>
      </c>
      <c r="P4" s="20">
        <f>D4/O4</f>
        <v>1.4433447532039079</v>
      </c>
      <c r="Q4" s="20">
        <f>(L4+M4)/N4</f>
        <v>0.92350272808019274</v>
      </c>
      <c r="R4" s="20">
        <f>(L4+M4)/H4</f>
        <v>0.63983516483516478</v>
      </c>
      <c r="S4" s="20">
        <f>L4/H4</f>
        <v>0.46544433827042525</v>
      </c>
      <c r="T4" s="20">
        <f>M4/(L4+M4)</f>
        <v>0.27255586461814174</v>
      </c>
      <c r="U4" s="20">
        <f>M4/H4</f>
        <v>0.17439082656473961</v>
      </c>
      <c r="V4" s="18">
        <f>L4/N4</f>
        <v>0.67179664355108315</v>
      </c>
      <c r="W4" s="18">
        <f>(L4+M4)/(H4+N4)</f>
        <v>0.37796660781055252</v>
      </c>
      <c r="X4" s="18">
        <f>L4/(H4+N4)</f>
        <v>0.2749495922219613</v>
      </c>
    </row>
    <row r="5" spans="1:24" ht="15" thickBot="1" x14ac:dyDescent="0.4">
      <c r="A5" s="9" t="s">
        <v>5</v>
      </c>
      <c r="B5" s="8">
        <v>2000</v>
      </c>
      <c r="C5" s="8">
        <v>2010</v>
      </c>
      <c r="D5" s="8">
        <v>108</v>
      </c>
      <c r="E5" s="17">
        <v>-0.04</v>
      </c>
      <c r="F5" s="14">
        <f t="shared" ref="F5:F10" si="1">1/(1-E5)</f>
        <v>0.96153846153846145</v>
      </c>
      <c r="G5" s="2">
        <v>1341000000</v>
      </c>
      <c r="H5" s="2">
        <f t="shared" ref="H5:H10" si="2">D5*G5/100000</f>
        <v>1448280</v>
      </c>
      <c r="I5" s="15">
        <f t="shared" ref="I5:I10" si="3">H5/F5</f>
        <v>1506211.2000000002</v>
      </c>
      <c r="J5" s="2">
        <v>923300</v>
      </c>
      <c r="K5">
        <v>0.96</v>
      </c>
      <c r="L5" s="2">
        <f t="shared" si="0"/>
        <v>886368</v>
      </c>
      <c r="M5" s="2">
        <v>54000</v>
      </c>
      <c r="N5" s="2">
        <f t="shared" ref="N5:N10" si="4">H5-I5+L5+M5</f>
        <v>882436.79999999981</v>
      </c>
      <c r="O5" s="19">
        <f t="shared" ref="O5:O10" si="5">N5*100000/G5</f>
        <v>65.804384787472031</v>
      </c>
      <c r="P5" s="20">
        <f t="shared" ref="P5:P10" si="6">D5/O5</f>
        <v>1.6412280176891989</v>
      </c>
      <c r="Q5" s="20">
        <f t="shared" ref="Q5:Q10" si="7">(L5+M5)/N5</f>
        <v>1.0656491207075682</v>
      </c>
      <c r="R5" s="20">
        <f t="shared" ref="R5:R10" si="8">(L5+M5)/H5</f>
        <v>0.64929985914325961</v>
      </c>
      <c r="S5" s="20">
        <f t="shared" ref="S5:S10" si="9">L5/H5</f>
        <v>0.61201425138785315</v>
      </c>
      <c r="T5" s="20">
        <f t="shared" ref="T5:T10" si="10">M5/(L5+M5)</f>
        <v>5.7424327497320196E-2</v>
      </c>
      <c r="U5" s="20">
        <f t="shared" ref="U5:U10" si="11">M5/H5</f>
        <v>3.7285607755406416E-2</v>
      </c>
      <c r="V5" s="18">
        <f t="shared" ref="V5:V10" si="12">L5/N5</f>
        <v>1.0044549366028255</v>
      </c>
      <c r="W5" s="18">
        <f t="shared" ref="W5:W10" si="13">(L5+M5)/(H5+N5)</f>
        <v>0.40346729383853075</v>
      </c>
      <c r="X5" s="18">
        <f t="shared" ref="X5:X10" si="14">L5/(H5+N5)</f>
        <v>0.38029845582268945</v>
      </c>
    </row>
    <row r="6" spans="1:24" ht="15" thickBot="1" x14ac:dyDescent="0.4">
      <c r="A6" s="9" t="s">
        <v>69</v>
      </c>
      <c r="B6" s="8" t="s">
        <v>70</v>
      </c>
      <c r="C6" s="8" t="s">
        <v>71</v>
      </c>
      <c r="D6" s="8">
        <v>415</v>
      </c>
      <c r="E6" s="17">
        <v>-8.1000000000000003E-2</v>
      </c>
      <c r="F6" s="14">
        <f t="shared" si="1"/>
        <v>0.92506938020351526</v>
      </c>
      <c r="G6" s="2">
        <v>52300000</v>
      </c>
      <c r="H6" s="2">
        <f t="shared" si="2"/>
        <v>217045</v>
      </c>
      <c r="I6" s="15">
        <f t="shared" si="3"/>
        <v>234625.64499999999</v>
      </c>
      <c r="J6" s="2">
        <v>132000</v>
      </c>
      <c r="K6">
        <v>0.87</v>
      </c>
      <c r="L6" s="2">
        <f t="shared" si="0"/>
        <v>114840</v>
      </c>
      <c r="M6" s="2">
        <v>32000</v>
      </c>
      <c r="N6" s="2">
        <f t="shared" si="4"/>
        <v>129259.35500000001</v>
      </c>
      <c r="O6" s="19">
        <f t="shared" si="5"/>
        <v>247.14981835564058</v>
      </c>
      <c r="P6" s="20">
        <f t="shared" si="6"/>
        <v>1.6791434554195319</v>
      </c>
      <c r="Q6" s="20">
        <f t="shared" si="7"/>
        <v>1.1360106198889821</v>
      </c>
      <c r="R6" s="20">
        <f t="shared" si="8"/>
        <v>0.67654173097744708</v>
      </c>
      <c r="S6" s="20">
        <f t="shared" si="9"/>
        <v>0.5291068672395125</v>
      </c>
      <c r="T6" s="20">
        <f t="shared" si="10"/>
        <v>0.21792427131571779</v>
      </c>
      <c r="U6" s="20">
        <f t="shared" si="11"/>
        <v>0.14743486373793452</v>
      </c>
      <c r="V6" s="18">
        <f t="shared" si="12"/>
        <v>0.8884463333427588</v>
      </c>
      <c r="W6" s="18">
        <f t="shared" si="13"/>
        <v>0.42402007910065126</v>
      </c>
      <c r="X6" s="18">
        <f t="shared" si="14"/>
        <v>0.33161581233940879</v>
      </c>
    </row>
    <row r="7" spans="1:24" ht="15" thickBot="1" x14ac:dyDescent="0.4">
      <c r="A7" s="9" t="s">
        <v>6</v>
      </c>
      <c r="B7" s="8">
        <v>2002</v>
      </c>
      <c r="C7" s="8">
        <v>2011</v>
      </c>
      <c r="D7" s="8">
        <v>817</v>
      </c>
      <c r="E7" s="17">
        <v>-6.3E-2</v>
      </c>
      <c r="F7" s="14">
        <f t="shared" si="1"/>
        <v>0.94073377234242717</v>
      </c>
      <c r="G7" s="2">
        <v>14000000</v>
      </c>
      <c r="H7" s="2">
        <f t="shared" si="2"/>
        <v>114380</v>
      </c>
      <c r="I7" s="15">
        <f t="shared" si="3"/>
        <v>121585.93999999999</v>
      </c>
      <c r="J7" s="2">
        <v>41628</v>
      </c>
      <c r="K7">
        <v>0.94</v>
      </c>
      <c r="L7" s="2">
        <f t="shared" si="0"/>
        <v>39130.32</v>
      </c>
      <c r="M7" s="2">
        <v>8600</v>
      </c>
      <c r="N7" s="2">
        <f t="shared" si="4"/>
        <v>40524.380000000012</v>
      </c>
      <c r="O7" s="19">
        <f t="shared" si="5"/>
        <v>289.45985714285723</v>
      </c>
      <c r="P7" s="20">
        <f t="shared" si="6"/>
        <v>2.8224984564847126</v>
      </c>
      <c r="Q7" s="20">
        <f t="shared" si="7"/>
        <v>1.1778174027585366</v>
      </c>
      <c r="R7" s="20">
        <f t="shared" si="8"/>
        <v>0.41729603077461097</v>
      </c>
      <c r="S7" s="20">
        <f t="shared" si="9"/>
        <v>0.34210806084979889</v>
      </c>
      <c r="T7" s="20">
        <f t="shared" si="10"/>
        <v>0.18017897219209927</v>
      </c>
      <c r="U7" s="20">
        <f t="shared" si="11"/>
        <v>7.5187969924812026E-2</v>
      </c>
      <c r="V7" s="18">
        <f t="shared" si="12"/>
        <v>0.96559947369953569</v>
      </c>
      <c r="W7" s="18">
        <f t="shared" si="13"/>
        <v>0.30812763331805076</v>
      </c>
      <c r="X7" s="18">
        <f t="shared" si="14"/>
        <v>0.25260951304282037</v>
      </c>
    </row>
    <row r="8" spans="1:24" ht="15" thickBot="1" x14ac:dyDescent="0.4">
      <c r="A8" s="9" t="s">
        <v>11</v>
      </c>
      <c r="B8" s="8">
        <v>2007</v>
      </c>
      <c r="C8" s="8">
        <v>2017</v>
      </c>
      <c r="D8" s="8">
        <v>279</v>
      </c>
      <c r="E8" s="17">
        <v>-4.4999999999999998E-2</v>
      </c>
      <c r="F8" s="14">
        <f t="shared" si="1"/>
        <v>0.95693779904306231</v>
      </c>
      <c r="G8" s="2">
        <v>94000000</v>
      </c>
      <c r="H8" s="2">
        <f t="shared" si="2"/>
        <v>262260</v>
      </c>
      <c r="I8" s="15">
        <f t="shared" si="3"/>
        <v>274061.69999999995</v>
      </c>
      <c r="J8" s="2">
        <v>106000</v>
      </c>
      <c r="K8">
        <v>0.92</v>
      </c>
      <c r="L8" s="2">
        <f t="shared" si="0"/>
        <v>97520</v>
      </c>
      <c r="M8" s="2">
        <v>12000</v>
      </c>
      <c r="N8" s="2">
        <f t="shared" si="4"/>
        <v>97718.300000000047</v>
      </c>
      <c r="O8" s="19">
        <f t="shared" si="5"/>
        <v>103.95563829787238</v>
      </c>
      <c r="P8" s="20">
        <f t="shared" si="6"/>
        <v>2.6838371113701314</v>
      </c>
      <c r="Q8" s="20">
        <f t="shared" si="7"/>
        <v>1.1207726700116554</v>
      </c>
      <c r="R8" s="20">
        <f t="shared" si="8"/>
        <v>0.41760085411423775</v>
      </c>
      <c r="S8" s="20">
        <f t="shared" si="9"/>
        <v>0.37184473423320369</v>
      </c>
      <c r="T8" s="20">
        <f t="shared" si="10"/>
        <v>0.1095690284879474</v>
      </c>
      <c r="U8" s="20">
        <f t="shared" si="11"/>
        <v>4.5756119881034091E-2</v>
      </c>
      <c r="V8" s="18">
        <f t="shared" si="12"/>
        <v>0.99797069740263544</v>
      </c>
      <c r="W8" s="18">
        <f t="shared" si="13"/>
        <v>0.3042405611671592</v>
      </c>
      <c r="X8" s="18">
        <f t="shared" si="14"/>
        <v>0.27090521845344562</v>
      </c>
    </row>
    <row r="9" spans="1:24" ht="15" thickBot="1" x14ac:dyDescent="0.4">
      <c r="A9" s="9" t="s">
        <v>67</v>
      </c>
      <c r="B9" s="8">
        <v>2007</v>
      </c>
      <c r="C9" s="8">
        <v>2016</v>
      </c>
      <c r="D9" s="8">
        <v>512</v>
      </c>
      <c r="E9" s="17">
        <v>0.01</v>
      </c>
      <c r="F9" s="14">
        <f t="shared" si="1"/>
        <v>1.0101010101010102</v>
      </c>
      <c r="G9" s="2">
        <v>107000000</v>
      </c>
      <c r="H9" s="2">
        <f t="shared" si="2"/>
        <v>547840</v>
      </c>
      <c r="I9" s="15">
        <f t="shared" si="3"/>
        <v>542361.59999999998</v>
      </c>
      <c r="J9" s="2">
        <v>345000</v>
      </c>
      <c r="K9">
        <v>0.91</v>
      </c>
      <c r="L9" s="2">
        <f t="shared" si="0"/>
        <v>313950</v>
      </c>
      <c r="M9" s="2">
        <v>22000</v>
      </c>
      <c r="N9" s="2">
        <f t="shared" si="4"/>
        <v>341428.4</v>
      </c>
      <c r="O9" s="19">
        <f t="shared" si="5"/>
        <v>319.09196261682246</v>
      </c>
      <c r="P9" s="20">
        <f t="shared" si="6"/>
        <v>1.604553106888589</v>
      </c>
      <c r="Q9" s="20">
        <f t="shared" si="7"/>
        <v>0.98395446893111405</v>
      </c>
      <c r="R9" s="20">
        <f t="shared" si="8"/>
        <v>0.61322648948598135</v>
      </c>
      <c r="S9" s="20">
        <f t="shared" si="9"/>
        <v>0.5730687792056075</v>
      </c>
      <c r="T9" s="20">
        <f t="shared" si="10"/>
        <v>6.5485935407054621E-2</v>
      </c>
      <c r="U9" s="20">
        <f t="shared" si="11"/>
        <v>4.0157710280373834E-2</v>
      </c>
      <c r="V9" s="18">
        <f t="shared" si="12"/>
        <v>0.91951929013520839</v>
      </c>
      <c r="W9" s="18">
        <f t="shared" si="13"/>
        <v>0.37778245578050451</v>
      </c>
      <c r="X9" s="18">
        <f t="shared" si="14"/>
        <v>0.35304301828334389</v>
      </c>
    </row>
    <row r="10" spans="1:24" ht="15" thickBot="1" x14ac:dyDescent="0.4">
      <c r="A10" s="9" t="s">
        <v>65</v>
      </c>
      <c r="B10" s="8">
        <v>2004</v>
      </c>
      <c r="C10" s="8" t="s">
        <v>66</v>
      </c>
      <c r="D10" s="8">
        <v>660</v>
      </c>
      <c r="E10" s="17">
        <v>0.04</v>
      </c>
      <c r="F10" s="14">
        <f t="shared" si="1"/>
        <v>1.0416666666666667</v>
      </c>
      <c r="G10" s="2">
        <v>251000000</v>
      </c>
      <c r="H10" s="2">
        <f t="shared" si="2"/>
        <v>1656600</v>
      </c>
      <c r="I10" s="15">
        <f t="shared" si="3"/>
        <v>1590336</v>
      </c>
      <c r="J10" s="2">
        <v>327100</v>
      </c>
      <c r="K10">
        <v>0.88</v>
      </c>
      <c r="L10" s="2">
        <f t="shared" si="0"/>
        <v>287848</v>
      </c>
      <c r="M10" s="2">
        <v>66500</v>
      </c>
      <c r="N10" s="2">
        <f t="shared" si="4"/>
        <v>420612</v>
      </c>
      <c r="O10" s="19">
        <f t="shared" si="5"/>
        <v>167.57450199203188</v>
      </c>
      <c r="P10" s="20">
        <f t="shared" si="6"/>
        <v>3.9385466891101535</v>
      </c>
      <c r="Q10" s="20">
        <f t="shared" si="7"/>
        <v>0.84245813243559386</v>
      </c>
      <c r="R10" s="20">
        <f t="shared" si="8"/>
        <v>0.21390076059398769</v>
      </c>
      <c r="S10" s="20">
        <f t="shared" si="9"/>
        <v>0.17375830013280213</v>
      </c>
      <c r="T10" s="20">
        <f t="shared" si="10"/>
        <v>0.18766861954914377</v>
      </c>
      <c r="U10" s="20">
        <f t="shared" si="11"/>
        <v>4.014246046118556E-2</v>
      </c>
      <c r="V10" s="18">
        <f t="shared" si="12"/>
        <v>0.68435517769345622</v>
      </c>
      <c r="W10" s="18">
        <f t="shared" si="13"/>
        <v>0.17058826927631845</v>
      </c>
      <c r="X10" s="18">
        <f t="shared" si="14"/>
        <v>0.13857420426995415</v>
      </c>
    </row>
    <row r="11" spans="1:24" x14ac:dyDescent="0.35">
      <c r="G11" s="13"/>
      <c r="H11" s="13"/>
    </row>
  </sheetData>
  <mergeCells count="4">
    <mergeCell ref="A1:A3"/>
    <mergeCell ref="B1:B3"/>
    <mergeCell ref="C1:C3"/>
    <mergeCell ref="D1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6CC2F4ADDE9D4E99799DEAADC90EA4" ma:contentTypeVersion="12" ma:contentTypeDescription="Create a new document." ma:contentTypeScope="" ma:versionID="e3656c460cbf95e20abdb5fba59ebcfb">
  <xsd:schema xmlns:xsd="http://www.w3.org/2001/XMLSchema" xmlns:xs="http://www.w3.org/2001/XMLSchema" xmlns:p="http://schemas.microsoft.com/office/2006/metadata/properties" xmlns:ns3="5a37c1ad-6c6b-40f5-b327-cfdc7032dd34" targetNamespace="http://schemas.microsoft.com/office/2006/metadata/properties" ma:root="true" ma:fieldsID="37c38eec80d0e8bb692940cb0a297a10" ns3:_="">
    <xsd:import namespace="5a37c1ad-6c6b-40f5-b327-cfdc7032dd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7c1ad-6c6b-40f5-b327-cfdc7032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37c1ad-6c6b-40f5-b327-cfdc7032dd34" xsi:nil="true"/>
  </documentManagement>
</p:properties>
</file>

<file path=customXml/itemProps1.xml><?xml version="1.0" encoding="utf-8"?>
<ds:datastoreItem xmlns:ds="http://schemas.openxmlformats.org/officeDocument/2006/customXml" ds:itemID="{F8F725C1-4ABD-488D-B77D-F2AD2E2E1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55938-51BD-4941-A181-3AB369B65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7c1ad-6c6b-40f5-b327-cfdc7032d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5C8E88-AFF5-4646-9173-163E42099236}">
  <ds:schemaRefs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5a37c1ad-6c6b-40f5-b327-cfdc7032dd3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3.26.23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Horsburgh Jr, Charles R</dc:creator>
  <cp:lastModifiedBy>White, Laura F</cp:lastModifiedBy>
  <cp:lastPrinted>2023-03-08T15:23:14Z</cp:lastPrinted>
  <dcterms:created xsi:type="dcterms:W3CDTF">2023-02-08T18:51:55Z</dcterms:created>
  <dcterms:modified xsi:type="dcterms:W3CDTF">2023-05-30T19:39:52Z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0x0101002B6CC2F4ADDE9D4E99799DEAADC90EA4</vt:lpwstr>
  </property>
</Properties>
</file>