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489C6FF7-B47C-44A2-B83A-E5CE84C31CA9}" xr6:coauthVersionLast="47" xr6:coauthVersionMax="47" xr10:uidLastSave="{00000000-0000-0000-0000-000000000000}"/>
  <bookViews>
    <workbookView xWindow="6480" yWindow="600" windowWidth="26400" windowHeight="15680" xr2:uid="{6261F06C-D557-46FE-A12C-85F75D4D4D2C}"/>
  </bookViews>
  <sheets>
    <sheet name="6.1" sheetId="18" r:id="rId1"/>
    <sheet name="5.7old" sheetId="19" r:id="rId2"/>
    <sheet name="5.8old" sheetId="20" r:id="rId3"/>
  </sheets>
  <externalReferences>
    <externalReference r:id="rId4"/>
    <externalReference r:id="rId5"/>
    <externalReference r:id="rId6"/>
  </externalReferences>
  <definedNames>
    <definedName name="__123Graph_A" localSheetId="1" hidden="1">[1]DATE!#REF!</definedName>
    <definedName name="__123Graph_A" localSheetId="2" hidden="1">[1]DATE!#REF!</definedName>
    <definedName name="__123Graph_A" localSheetId="0" hidden="1">[1]DATE!#REF!</definedName>
    <definedName name="__123Graph_A" hidden="1">[1]DATE!#REF!</definedName>
    <definedName name="__123Graph_B" localSheetId="1" hidden="1">[1]DATE!#REF!</definedName>
    <definedName name="__123Graph_B" localSheetId="2" hidden="1">[1]DATE!#REF!</definedName>
    <definedName name="__123Graph_B" localSheetId="0" hidden="1">[1]DATE!#REF!</definedName>
    <definedName name="__123Graph_B" hidden="1">[1]DATE!#REF!</definedName>
    <definedName name="__123Graph_C" localSheetId="1" hidden="1">[1]DATE!#REF!</definedName>
    <definedName name="__123Graph_C" localSheetId="2" hidden="1">[1]DATE!#REF!</definedName>
    <definedName name="__123Graph_C" localSheetId="0" hidden="1">[1]DATE!#REF!</definedName>
    <definedName name="__123Graph_C" hidden="1">[1]DATE!#REF!</definedName>
    <definedName name="__123Graph_D" localSheetId="1" hidden="1">[1]DATE!#REF!</definedName>
    <definedName name="__123Graph_D" localSheetId="2" hidden="1">[1]DATE!#REF!</definedName>
    <definedName name="__123Graph_D" localSheetId="0" hidden="1">[1]DATE!#REF!</definedName>
    <definedName name="__123Graph_D" hidden="1">[1]DATE!#REF!</definedName>
    <definedName name="__123Graph_E" localSheetId="1" hidden="1">[1]DATE!#REF!</definedName>
    <definedName name="__123Graph_E" localSheetId="2" hidden="1">[1]DATE!#REF!</definedName>
    <definedName name="__123Graph_E" localSheetId="0" hidden="1">[1]DATE!#REF!</definedName>
    <definedName name="__123Graph_E" hidden="1">[1]DATE!#REF!</definedName>
    <definedName name="__123Graph_F" localSheetId="1" hidden="1">[1]DATE!#REF!</definedName>
    <definedName name="__123Graph_F" localSheetId="2" hidden="1">[1]DATE!#REF!</definedName>
    <definedName name="__123Graph_F" localSheetId="0" hidden="1">[1]DATE!#REF!</definedName>
    <definedName name="__123Graph_F" hidden="1">[1]DATE!#REF!</definedName>
    <definedName name="__123Graph_LBL_A" localSheetId="1" hidden="1">[1]DATE!#REF!</definedName>
    <definedName name="__123Graph_LBL_A" localSheetId="2" hidden="1">[1]DATE!#REF!</definedName>
    <definedName name="__123Graph_LBL_A" localSheetId="0" hidden="1">[1]DATE!#REF!</definedName>
    <definedName name="__123Graph_LBL_A" hidden="1">[1]DATE!#REF!</definedName>
    <definedName name="__123Graph_LBL_B" localSheetId="1" hidden="1">[1]DATE!#REF!</definedName>
    <definedName name="__123Graph_LBL_B" localSheetId="2" hidden="1">[1]DATE!#REF!</definedName>
    <definedName name="__123Graph_LBL_B" localSheetId="0" hidden="1">[1]DATE!#REF!</definedName>
    <definedName name="__123Graph_LBL_B" hidden="1">[1]DATE!#REF!</definedName>
    <definedName name="__123Graph_X" localSheetId="1" hidden="1">[1]DATE!#REF!</definedName>
    <definedName name="__123Graph_X" localSheetId="2" hidden="1">[1]DATE!#REF!</definedName>
    <definedName name="__123Graph_X" localSheetId="0" hidden="1">[1]DATE!#REF!</definedName>
    <definedName name="__123Graph_X" hidden="1">[1]DATE!#REF!</definedName>
    <definedName name="PartialBarrier" localSheetId="1">[2]!PartialBarrier</definedName>
    <definedName name="PartialBarrier" localSheetId="0">[2]!PartialBarrier</definedName>
    <definedName name="PartialBarrier">[2]!PartialBarrier</definedName>
    <definedName name="Ta" localSheetId="1">#REF!</definedName>
    <definedName name="Ta" localSheetId="2">#REF!</definedName>
    <definedName name="Ta">#REF!</definedName>
    <definedName name="Tb" localSheetId="1">#REF!</definedName>
    <definedName name="Tb" localSheetId="2">#REF!</definedName>
    <definedName name="Tb">#REF!</definedName>
    <definedName name="Tc" localSheetId="1">#REF!</definedName>
    <definedName name="Tc" localSheetId="2">#REF!</definedName>
    <definedName name="Tc">#REF!</definedName>
    <definedName name="Td" localSheetId="1">#REF!</definedName>
    <definedName name="Td">#REF!</definedName>
    <definedName name="Ti" localSheetId="1">#REF!</definedName>
    <definedName name="Ti">#REF!</definedName>
    <definedName name="va" localSheetId="1">#REF!</definedName>
    <definedName name="va">#REF!</definedName>
    <definedName name="vb" localSheetId="1">#REF!</definedName>
    <definedName name="vb">#REF!</definedName>
    <definedName name="vc" localSheetId="1">#REF!</definedName>
    <definedName name="vc">#REF!</definedName>
    <definedName name="vd" localSheetId="1">#REF!</definedName>
    <definedName name="vd">#REF!</definedName>
    <definedName name="ya" localSheetId="1">#REF!</definedName>
    <definedName name="ya">#REF!</definedName>
    <definedName name="yb" localSheetId="1">#REF!</definedName>
    <definedName name="yb">#REF!</definedName>
    <definedName name="yc" localSheetId="1">#REF!</definedName>
    <definedName name="yc">#REF!</definedName>
    <definedName name="yd" localSheetId="1">#REF!</definedName>
    <definedName name="y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0" l="1"/>
  <c r="B30" i="20"/>
  <c r="B29" i="20"/>
  <c r="B28" i="20"/>
  <c r="B27" i="20"/>
  <c r="B26" i="20"/>
  <c r="B25" i="20"/>
  <c r="B24" i="20"/>
  <c r="B23" i="20"/>
  <c r="B22" i="20"/>
  <c r="U21" i="20"/>
  <c r="U31" i="20" s="1"/>
  <c r="T21" i="20"/>
  <c r="T31" i="20" s="1"/>
  <c r="S21" i="20"/>
  <c r="S31" i="20" s="1"/>
  <c r="R21" i="20"/>
  <c r="R31" i="20" s="1"/>
  <c r="Q21" i="20"/>
  <c r="Q31" i="20" s="1"/>
  <c r="P21" i="20"/>
  <c r="P31" i="20" s="1"/>
  <c r="O21" i="20"/>
  <c r="O31" i="20" s="1"/>
  <c r="N21" i="20"/>
  <c r="N31" i="20" s="1"/>
  <c r="B21" i="20"/>
  <c r="U20" i="20"/>
  <c r="U30" i="20" s="1"/>
  <c r="T20" i="20"/>
  <c r="T30" i="20" s="1"/>
  <c r="S20" i="20"/>
  <c r="S30" i="20" s="1"/>
  <c r="R20" i="20"/>
  <c r="R30" i="20" s="1"/>
  <c r="Q20" i="20"/>
  <c r="Q30" i="20" s="1"/>
  <c r="P20" i="20"/>
  <c r="P30" i="20" s="1"/>
  <c r="O20" i="20"/>
  <c r="O30" i="20" s="1"/>
  <c r="N20" i="20"/>
  <c r="N30" i="20" s="1"/>
  <c r="B20" i="20"/>
  <c r="U19" i="20"/>
  <c r="U29" i="20" s="1"/>
  <c r="T19" i="20"/>
  <c r="T29" i="20" s="1"/>
  <c r="S19" i="20"/>
  <c r="S29" i="20" s="1"/>
  <c r="R19" i="20"/>
  <c r="R29" i="20" s="1"/>
  <c r="Q19" i="20"/>
  <c r="Q29" i="20" s="1"/>
  <c r="P19" i="20"/>
  <c r="P29" i="20" s="1"/>
  <c r="O19" i="20"/>
  <c r="O29" i="20" s="1"/>
  <c r="N19" i="20"/>
  <c r="N29" i="20" s="1"/>
  <c r="B19" i="20"/>
  <c r="U18" i="20"/>
  <c r="U28" i="20" s="1"/>
  <c r="T18" i="20"/>
  <c r="T28" i="20" s="1"/>
  <c r="S18" i="20"/>
  <c r="S28" i="20" s="1"/>
  <c r="R18" i="20"/>
  <c r="R28" i="20" s="1"/>
  <c r="Q18" i="20"/>
  <c r="Q28" i="20" s="1"/>
  <c r="P18" i="20"/>
  <c r="P28" i="20" s="1"/>
  <c r="O18" i="20"/>
  <c r="O28" i="20" s="1"/>
  <c r="N18" i="20"/>
  <c r="N28" i="20" s="1"/>
  <c r="B18" i="20"/>
  <c r="U17" i="20"/>
  <c r="U27" i="20" s="1"/>
  <c r="T17" i="20"/>
  <c r="T27" i="20" s="1"/>
  <c r="S17" i="20"/>
  <c r="S27" i="20" s="1"/>
  <c r="R17" i="20"/>
  <c r="R27" i="20" s="1"/>
  <c r="Q17" i="20"/>
  <c r="Q27" i="20" s="1"/>
  <c r="P17" i="20"/>
  <c r="P27" i="20" s="1"/>
  <c r="O17" i="20"/>
  <c r="O27" i="20" s="1"/>
  <c r="N17" i="20"/>
  <c r="N27" i="20" s="1"/>
  <c r="B17" i="20"/>
  <c r="U16" i="20"/>
  <c r="U26" i="20" s="1"/>
  <c r="T16" i="20"/>
  <c r="T26" i="20" s="1"/>
  <c r="S16" i="20"/>
  <c r="S26" i="20" s="1"/>
  <c r="R16" i="20"/>
  <c r="R26" i="20" s="1"/>
  <c r="Q16" i="20"/>
  <c r="Q26" i="20" s="1"/>
  <c r="P16" i="20"/>
  <c r="P26" i="20" s="1"/>
  <c r="O16" i="20"/>
  <c r="O26" i="20" s="1"/>
  <c r="N16" i="20"/>
  <c r="N26" i="20" s="1"/>
  <c r="B16" i="20"/>
  <c r="U15" i="20"/>
  <c r="U25" i="20" s="1"/>
  <c r="T15" i="20"/>
  <c r="T25" i="20" s="1"/>
  <c r="S15" i="20"/>
  <c r="S25" i="20" s="1"/>
  <c r="R15" i="20"/>
  <c r="R25" i="20" s="1"/>
  <c r="Q15" i="20"/>
  <c r="Q25" i="20" s="1"/>
  <c r="P15" i="20"/>
  <c r="P25" i="20" s="1"/>
  <c r="O15" i="20"/>
  <c r="O25" i="20" s="1"/>
  <c r="N15" i="20"/>
  <c r="N25" i="20" s="1"/>
  <c r="B15" i="20"/>
  <c r="U14" i="20"/>
  <c r="U24" i="20" s="1"/>
  <c r="T14" i="20"/>
  <c r="T24" i="20" s="1"/>
  <c r="S14" i="20"/>
  <c r="S24" i="20" s="1"/>
  <c r="R14" i="20"/>
  <c r="R24" i="20" s="1"/>
  <c r="Q14" i="20"/>
  <c r="Q24" i="20" s="1"/>
  <c r="P14" i="20"/>
  <c r="P24" i="20" s="1"/>
  <c r="O14" i="20"/>
  <c r="O24" i="20" s="1"/>
  <c r="N14" i="20"/>
  <c r="N24" i="20" s="1"/>
  <c r="B14" i="20"/>
  <c r="U13" i="20"/>
  <c r="U23" i="20" s="1"/>
  <c r="T13" i="20"/>
  <c r="T23" i="20" s="1"/>
  <c r="S13" i="20"/>
  <c r="S23" i="20" s="1"/>
  <c r="R13" i="20"/>
  <c r="R23" i="20" s="1"/>
  <c r="Q13" i="20"/>
  <c r="Q23" i="20" s="1"/>
  <c r="P13" i="20"/>
  <c r="P23" i="20" s="1"/>
  <c r="O13" i="20"/>
  <c r="O23" i="20" s="1"/>
  <c r="N13" i="20"/>
  <c r="N23" i="20" s="1"/>
  <c r="B13" i="20"/>
  <c r="U12" i="20"/>
  <c r="U22" i="20" s="1"/>
  <c r="T12" i="20"/>
  <c r="T22" i="20" s="1"/>
  <c r="S12" i="20"/>
  <c r="S22" i="20" s="1"/>
  <c r="R12" i="20"/>
  <c r="R22" i="20" s="1"/>
  <c r="Q12" i="20"/>
  <c r="Q22" i="20" s="1"/>
  <c r="P12" i="20"/>
  <c r="P22" i="20" s="1"/>
  <c r="O12" i="20"/>
  <c r="O22" i="20" s="1"/>
  <c r="N12" i="20"/>
  <c r="N22" i="20" s="1"/>
  <c r="B12" i="20"/>
  <c r="H6" i="20"/>
  <c r="F6" i="20"/>
  <c r="E6" i="20"/>
  <c r="C6" i="20"/>
  <c r="B4" i="19"/>
  <c r="B5" i="19" s="1"/>
  <c r="C14" i="20" l="1"/>
  <c r="D14" i="20" s="1"/>
  <c r="E14" i="20" s="1"/>
  <c r="F14" i="20" s="1"/>
  <c r="G14" i="20" s="1"/>
  <c r="H14" i="20" s="1"/>
  <c r="I14" i="20" s="1"/>
  <c r="J14" i="20" s="1"/>
  <c r="K14" i="20" s="1"/>
  <c r="C18" i="20"/>
  <c r="D18" i="20" s="1"/>
  <c r="E18" i="20" s="1"/>
  <c r="F18" i="20" s="1"/>
  <c r="G18" i="20" s="1"/>
  <c r="H18" i="20" s="1"/>
  <c r="I18" i="20" s="1"/>
  <c r="J18" i="20" s="1"/>
  <c r="K18" i="20" s="1"/>
  <c r="C23" i="20"/>
  <c r="D23" i="20" s="1"/>
  <c r="E23" i="20" s="1"/>
  <c r="F23" i="20" s="1"/>
  <c r="G23" i="20" s="1"/>
  <c r="H23" i="20" s="1"/>
  <c r="I23" i="20" s="1"/>
  <c r="J23" i="20" s="1"/>
  <c r="K23" i="20" s="1"/>
  <c r="C13" i="20"/>
  <c r="D13" i="20" s="1"/>
  <c r="E13" i="20" s="1"/>
  <c r="F13" i="20" s="1"/>
  <c r="G13" i="20" s="1"/>
  <c r="H13" i="20" s="1"/>
  <c r="I13" i="20" s="1"/>
  <c r="J13" i="20" s="1"/>
  <c r="K13" i="20" s="1"/>
  <c r="C17" i="20"/>
  <c r="D17" i="20" s="1"/>
  <c r="E17" i="20" s="1"/>
  <c r="F17" i="20" s="1"/>
  <c r="G17" i="20" s="1"/>
  <c r="H17" i="20" s="1"/>
  <c r="I17" i="20" s="1"/>
  <c r="J17" i="20" s="1"/>
  <c r="K17" i="20" s="1"/>
  <c r="C21" i="20"/>
  <c r="D21" i="20" s="1"/>
  <c r="E21" i="20" s="1"/>
  <c r="F21" i="20" s="1"/>
  <c r="G21" i="20" s="1"/>
  <c r="H21" i="20" s="1"/>
  <c r="I21" i="20" s="1"/>
  <c r="J21" i="20" s="1"/>
  <c r="K21" i="20" s="1"/>
  <c r="C12" i="20"/>
  <c r="D12" i="20" s="1"/>
  <c r="E12" i="20" s="1"/>
  <c r="F12" i="20" s="1"/>
  <c r="G12" i="20" s="1"/>
  <c r="H12" i="20" s="1"/>
  <c r="I12" i="20" s="1"/>
  <c r="J12" i="20" s="1"/>
  <c r="K12" i="20" s="1"/>
  <c r="C16" i="20"/>
  <c r="D16" i="20" s="1"/>
  <c r="E16" i="20" s="1"/>
  <c r="F16" i="20" s="1"/>
  <c r="G16" i="20" s="1"/>
  <c r="H16" i="20" s="1"/>
  <c r="I16" i="20" s="1"/>
  <c r="J16" i="20" s="1"/>
  <c r="K16" i="20" s="1"/>
  <c r="C20" i="20"/>
  <c r="D20" i="20" s="1"/>
  <c r="E20" i="20" s="1"/>
  <c r="F20" i="20" s="1"/>
  <c r="G20" i="20" s="1"/>
  <c r="H20" i="20" s="1"/>
  <c r="I20" i="20" s="1"/>
  <c r="J20" i="20" s="1"/>
  <c r="K20" i="20" s="1"/>
  <c r="C27" i="20"/>
  <c r="D27" i="20" s="1"/>
  <c r="E27" i="20" s="1"/>
  <c r="F27" i="20" s="1"/>
  <c r="G27" i="20" s="1"/>
  <c r="H27" i="20" s="1"/>
  <c r="I27" i="20" s="1"/>
  <c r="J27" i="20" s="1"/>
  <c r="K27" i="20" s="1"/>
  <c r="C28" i="20"/>
  <c r="D28" i="20" s="1"/>
  <c r="E28" i="20" s="1"/>
  <c r="F28" i="20" s="1"/>
  <c r="G28" i="20" s="1"/>
  <c r="H28" i="20" s="1"/>
  <c r="I28" i="20" s="1"/>
  <c r="J28" i="20" s="1"/>
  <c r="K28" i="20" s="1"/>
  <c r="C29" i="20"/>
  <c r="D29" i="20" s="1"/>
  <c r="E29" i="20" s="1"/>
  <c r="F29" i="20" s="1"/>
  <c r="G29" i="20" s="1"/>
  <c r="H29" i="20" s="1"/>
  <c r="I29" i="20" s="1"/>
  <c r="J29" i="20" s="1"/>
  <c r="K29" i="20" s="1"/>
  <c r="C15" i="20"/>
  <c r="D15" i="20" s="1"/>
  <c r="E15" i="20" s="1"/>
  <c r="F15" i="20" s="1"/>
  <c r="G15" i="20" s="1"/>
  <c r="H15" i="20" s="1"/>
  <c r="I15" i="20" s="1"/>
  <c r="J15" i="20" s="1"/>
  <c r="K15" i="20" s="1"/>
  <c r="C19" i="20"/>
  <c r="D19" i="20" s="1"/>
  <c r="E19" i="20" s="1"/>
  <c r="F19" i="20" s="1"/>
  <c r="G19" i="20" s="1"/>
  <c r="H19" i="20" s="1"/>
  <c r="I19" i="20" s="1"/>
  <c r="J19" i="20" s="1"/>
  <c r="K19" i="20" s="1"/>
  <c r="C31" i="20"/>
  <c r="D31" i="20" s="1"/>
  <c r="E31" i="20" s="1"/>
  <c r="F31" i="20" s="1"/>
  <c r="G31" i="20" s="1"/>
  <c r="H31" i="20" s="1"/>
  <c r="I31" i="20" s="1"/>
  <c r="J31" i="20" s="1"/>
  <c r="K31" i="20" s="1"/>
  <c r="C30" i="20"/>
  <c r="D30" i="20" s="1"/>
  <c r="E30" i="20" s="1"/>
  <c r="F30" i="20" s="1"/>
  <c r="G30" i="20" s="1"/>
  <c r="H30" i="20" s="1"/>
  <c r="I30" i="20" s="1"/>
  <c r="J30" i="20" s="1"/>
  <c r="K30" i="20" s="1"/>
  <c r="C22" i="20"/>
  <c r="D22" i="20" s="1"/>
  <c r="E22" i="20" s="1"/>
  <c r="F22" i="20" s="1"/>
  <c r="G22" i="20" s="1"/>
  <c r="H22" i="20" s="1"/>
  <c r="I22" i="20" s="1"/>
  <c r="J22" i="20" s="1"/>
  <c r="K22" i="20" s="1"/>
  <c r="C24" i="20"/>
  <c r="D24" i="20" s="1"/>
  <c r="E24" i="20" s="1"/>
  <c r="F24" i="20" s="1"/>
  <c r="G24" i="20" s="1"/>
  <c r="H24" i="20" s="1"/>
  <c r="I24" i="20" s="1"/>
  <c r="J24" i="20" s="1"/>
  <c r="K24" i="20" s="1"/>
  <c r="C25" i="20"/>
  <c r="D25" i="20" s="1"/>
  <c r="E25" i="20" s="1"/>
  <c r="F25" i="20" s="1"/>
  <c r="G25" i="20" s="1"/>
  <c r="H25" i="20" s="1"/>
  <c r="I25" i="20" s="1"/>
  <c r="J25" i="20" s="1"/>
  <c r="K25" i="20" s="1"/>
  <c r="C26" i="20"/>
  <c r="D26" i="20" s="1"/>
  <c r="E26" i="20" s="1"/>
  <c r="F26" i="20" s="1"/>
  <c r="G26" i="20" s="1"/>
  <c r="H26" i="20" s="1"/>
  <c r="I26" i="20" s="1"/>
  <c r="J26" i="20" s="1"/>
  <c r="K26" i="20" s="1"/>
  <c r="B9" i="19"/>
  <c r="B7" i="19"/>
  <c r="K10" i="20" l="1"/>
  <c r="B11" i="19"/>
  <c r="B13" i="19" s="1"/>
  <c r="B10" i="19"/>
  <c r="B12" i="19" s="1"/>
  <c r="B10" i="18" l="1"/>
  <c r="B11" i="18" s="1"/>
  <c r="B5" i="18"/>
  <c r="B12" i="18" l="1"/>
  <c r="B13" i="18"/>
  <c r="B16" i="18" s="1"/>
  <c r="B15" i="18" l="1"/>
  <c r="B18" i="18"/>
  <c r="F25" i="18" s="1"/>
  <c r="B17" i="18" l="1"/>
  <c r="B20" i="18" s="1"/>
  <c r="B21" i="18" s="1"/>
  <c r="B19" i="18"/>
  <c r="F23" i="18" s="1"/>
  <c r="F24" i="18" l="1"/>
  <c r="B22" i="18"/>
  <c r="B24" i="18"/>
  <c r="B23" i="18"/>
  <c r="B25" i="18" l="1"/>
</calcChain>
</file>

<file path=xl/sharedStrings.xml><?xml version="1.0" encoding="utf-8"?>
<sst xmlns="http://schemas.openxmlformats.org/spreadsheetml/2006/main" count="135" uniqueCount="110">
  <si>
    <t>X : 行使価格</t>
    <rPh sb="4" eb="6">
      <t>コウシ</t>
    </rPh>
    <rPh sb="6" eb="8">
      <t>カカク</t>
    </rPh>
    <phoneticPr fontId="4"/>
  </si>
  <si>
    <t>連続複利</t>
    <rPh sb="0" eb="2">
      <t>レンゾク</t>
    </rPh>
    <rPh sb="2" eb="4">
      <t>フクリ</t>
    </rPh>
    <phoneticPr fontId="4"/>
  </si>
  <si>
    <t>σ: ボラティリティー</t>
    <phoneticPr fontId="4"/>
  </si>
  <si>
    <t xml:space="preserve"> </t>
    <phoneticPr fontId="4"/>
  </si>
  <si>
    <t>取引日</t>
    <rPh sb="0" eb="3">
      <t>トリヒキビ</t>
    </rPh>
    <phoneticPr fontId="4"/>
  </si>
  <si>
    <t>満期日</t>
    <rPh sb="0" eb="3">
      <t>マンキビ</t>
    </rPh>
    <phoneticPr fontId="4"/>
  </si>
  <si>
    <t>満期日数</t>
    <rPh sb="0" eb="3">
      <t>マンキビ</t>
    </rPh>
    <rPh sb="3" eb="4">
      <t>スウ</t>
    </rPh>
    <phoneticPr fontId="4"/>
  </si>
  <si>
    <t>(基本的計算項目)</t>
    <rPh sb="1" eb="4">
      <t>キホンテキ</t>
    </rPh>
    <rPh sb="4" eb="6">
      <t>ケイサン</t>
    </rPh>
    <rPh sb="6" eb="8">
      <t>コウモク</t>
    </rPh>
    <phoneticPr fontId="2"/>
  </si>
  <si>
    <t>(オプション計算項目)</t>
    <rPh sb="6" eb="8">
      <t>ケイサン</t>
    </rPh>
    <rPh sb="8" eb="10">
      <t>コウモク</t>
    </rPh>
    <phoneticPr fontId="2"/>
  </si>
  <si>
    <t>T : オプション満期年数</t>
    <rPh sb="9" eb="11">
      <t>マンキ</t>
    </rPh>
    <rPh sb="11" eb="12">
      <t>ネン</t>
    </rPh>
    <rPh sb="12" eb="13">
      <t>スウ</t>
    </rPh>
    <phoneticPr fontId="4"/>
  </si>
  <si>
    <t>Ｆ: 先物価格</t>
    <rPh sb="3" eb="5">
      <t>サキモノ</t>
    </rPh>
    <rPh sb="5" eb="7">
      <t>カカク</t>
    </rPh>
    <phoneticPr fontId="4"/>
  </si>
  <si>
    <t>=B4-B3</t>
    <phoneticPr fontId="2"/>
  </si>
  <si>
    <t>(B列 数式/コメント)</t>
    <rPh sb="2" eb="3">
      <t>レツ</t>
    </rPh>
    <rPh sb="4" eb="6">
      <t>スウシキ</t>
    </rPh>
    <phoneticPr fontId="2"/>
  </si>
  <si>
    <t>=B10/365</t>
    <phoneticPr fontId="4"/>
  </si>
  <si>
    <t>=EXP(-B8*B11)</t>
    <phoneticPr fontId="2"/>
  </si>
  <si>
    <t>=107-6 3/4</t>
    <phoneticPr fontId="2"/>
  </si>
  <si>
    <t>σ√T</t>
    <phoneticPr fontId="4"/>
  </si>
  <si>
    <t>=B7*B11^0.5</t>
    <phoneticPr fontId="2"/>
  </si>
  <si>
    <t>債券先物 (Blackモデル)</t>
    <rPh sb="0" eb="2">
      <t>サイケン</t>
    </rPh>
    <rPh sb="2" eb="4">
      <t>サキモノ</t>
    </rPh>
    <phoneticPr fontId="4"/>
  </si>
  <si>
    <r>
      <t>D</t>
    </r>
    <r>
      <rPr>
        <sz val="8"/>
        <rFont val="Arial Unicode MS"/>
        <family val="3"/>
        <charset val="128"/>
      </rPr>
      <t>T</t>
    </r>
    <r>
      <rPr>
        <sz val="11"/>
        <rFont val="Arial Unicode MS"/>
        <family val="3"/>
        <charset val="128"/>
      </rPr>
      <t xml:space="preserve"> : ディスカウント</t>
    </r>
    <phoneticPr fontId="4"/>
  </si>
  <si>
    <t>デルタ</t>
    <phoneticPr fontId="2"/>
  </si>
  <si>
    <t>ガンマ</t>
    <phoneticPr fontId="2"/>
  </si>
  <si>
    <t>ベガ</t>
    <phoneticPr fontId="2"/>
  </si>
  <si>
    <t>セータ</t>
    <phoneticPr fontId="2"/>
  </si>
  <si>
    <t>=NORMDIST(B15,0,1,1)</t>
    <phoneticPr fontId="2"/>
  </si>
  <si>
    <t>=NORMDIST(B16,0,1,1)</t>
    <phoneticPr fontId="2"/>
  </si>
  <si>
    <t>=NORMDIST(B15,0,1,0)</t>
    <phoneticPr fontId="2"/>
  </si>
  <si>
    <t>=B12*B19/(B5*B13)</t>
    <phoneticPr fontId="2"/>
  </si>
  <si>
    <t>=B5*B19*B7/(2*B11^0.5)</t>
    <phoneticPr fontId="2"/>
  </si>
  <si>
    <t>=B12*B5*B11^0.5*B19</t>
    <phoneticPr fontId="2"/>
  </si>
  <si>
    <t>d1*pc</t>
    <phoneticPr fontId="4"/>
  </si>
  <si>
    <t>d2*pc</t>
    <phoneticPr fontId="4"/>
  </si>
  <si>
    <t>N(d1*pc)</t>
    <phoneticPr fontId="4"/>
  </si>
  <si>
    <t>N(d2*pc)</t>
    <phoneticPr fontId="2"/>
  </si>
  <si>
    <t>n(d1*pc)</t>
    <phoneticPr fontId="2"/>
  </si>
  <si>
    <t>=B2*(LN(B5/B6)/B13+B13/2)</t>
    <phoneticPr fontId="2"/>
  </si>
  <si>
    <t>=B2*(LN(B5/B6)/B13-B13/2)</t>
    <phoneticPr fontId="2"/>
  </si>
  <si>
    <t>=B2*B12*B17</t>
    <phoneticPr fontId="2"/>
  </si>
  <si>
    <t>=B2*-B8*B5*B17</t>
    <phoneticPr fontId="2"/>
  </si>
  <si>
    <t>=B2*B8*B6*B18</t>
    <phoneticPr fontId="2"/>
  </si>
  <si>
    <t>pc: コール=1, プット= -1</t>
    <phoneticPr fontId="2"/>
  </si>
  <si>
    <t>ブラックコア</t>
    <phoneticPr fontId="2"/>
  </si>
  <si>
    <t>=B2*(B5*B17-B6*B18)</t>
    <phoneticPr fontId="2"/>
  </si>
  <si>
    <t>オプション NPV</t>
    <phoneticPr fontId="4"/>
  </si>
  <si>
    <t>=B12*B20</t>
    <phoneticPr fontId="2"/>
  </si>
  <si>
    <t>セータ第1項</t>
    <rPh sb="3" eb="4">
      <t>ダイ</t>
    </rPh>
    <rPh sb="5" eb="6">
      <t>コウ</t>
    </rPh>
    <phoneticPr fontId="2"/>
  </si>
  <si>
    <t>セータ第2項</t>
    <rPh sb="3" eb="4">
      <t>ダイ</t>
    </rPh>
    <rPh sb="5" eb="6">
      <t>コウ</t>
    </rPh>
    <phoneticPr fontId="2"/>
  </si>
  <si>
    <t>セータ第3項</t>
    <rPh sb="3" eb="4">
      <t>ダイ</t>
    </rPh>
    <rPh sb="5" eb="6">
      <t>コウ</t>
    </rPh>
    <phoneticPr fontId="2"/>
  </si>
  <si>
    <t>=-B12*SUM(F23:F25)/365</t>
    <phoneticPr fontId="2"/>
  </si>
  <si>
    <t>r : リスクフリーレート</t>
    <phoneticPr fontId="4"/>
  </si>
  <si>
    <t>(注)Bloomberg価格は36.5/64へrounded(取引所のルールと思われる)</t>
    <rPh sb="1" eb="2">
      <t>チュウ</t>
    </rPh>
    <rPh sb="12" eb="14">
      <t>カカク</t>
    </rPh>
    <rPh sb="31" eb="34">
      <t>トリヒキジョ</t>
    </rPh>
    <rPh sb="39" eb="40">
      <t>オモ</t>
    </rPh>
    <phoneticPr fontId="2"/>
  </si>
  <si>
    <t>モンテカルロシミュレーションの
解析解 BS価格式</t>
  </si>
  <si>
    <t>（Ｂ列の数式等）</t>
    <phoneticPr fontId="4"/>
  </si>
  <si>
    <t>S : 現物価格</t>
  </si>
  <si>
    <t xml:space="preserve">    満期日数</t>
    <rPh sb="4" eb="6">
      <t>マンキ</t>
    </rPh>
    <rPh sb="6" eb="8">
      <t>ニッスウ</t>
    </rPh>
    <phoneticPr fontId="4"/>
  </si>
  <si>
    <t xml:space="preserve"> 8週間</t>
    <rPh sb="2" eb="4">
      <t>シュウカン</t>
    </rPh>
    <phoneticPr fontId="4"/>
  </si>
  <si>
    <t>T : オプション満期年</t>
    <rPh sb="9" eb="11">
      <t>マンキ</t>
    </rPh>
    <rPh sb="11" eb="12">
      <t>ネン</t>
    </rPh>
    <phoneticPr fontId="4"/>
  </si>
  <si>
    <t>=B4/365</t>
    <phoneticPr fontId="4"/>
  </si>
  <si>
    <t xml:space="preserve"> r : リスクフリーレート</t>
    <phoneticPr fontId="4"/>
  </si>
  <si>
    <t>D : ディスカウント</t>
    <phoneticPr fontId="4"/>
  </si>
  <si>
    <t>=EXP(-B6*B5)</t>
    <phoneticPr fontId="4"/>
  </si>
  <si>
    <t>d1</t>
    <phoneticPr fontId="4"/>
  </si>
  <si>
    <t>d2</t>
    <phoneticPr fontId="4"/>
  </si>
  <si>
    <t>N(d1)</t>
    <phoneticPr fontId="4"/>
  </si>
  <si>
    <t>=NORMSDIST(B9)</t>
    <phoneticPr fontId="4"/>
  </si>
  <si>
    <t>N(d2)</t>
  </si>
  <si>
    <t>=NORMSDIST(B10)</t>
    <phoneticPr fontId="4"/>
  </si>
  <si>
    <t>ヨーロピアン(BS式)</t>
  </si>
  <si>
    <t>=B2*B11-B7*B3*B12</t>
  </si>
  <si>
    <t>BSモデル モンテカルロ シミュレーション例</t>
    <phoneticPr fontId="4"/>
  </si>
  <si>
    <t>パラメータ: dt=1/52</t>
    <phoneticPr fontId="4"/>
  </si>
  <si>
    <r>
      <t>(r- .5σ</t>
    </r>
    <r>
      <rPr>
        <vertAlign val="superscript"/>
        <sz val="11"/>
        <color theme="1"/>
        <rFont val="Arial Unicode MS"/>
        <family val="3"/>
        <charset val="128"/>
      </rPr>
      <t>2</t>
    </r>
    <r>
      <rPr>
        <sz val="11"/>
        <color theme="1"/>
        <rFont val="Arial Unicode MS"/>
        <family val="3"/>
        <charset val="128"/>
      </rPr>
      <t>)</t>
    </r>
    <phoneticPr fontId="4"/>
  </si>
  <si>
    <t>So</t>
  </si>
  <si>
    <t>K</t>
  </si>
  <si>
    <t xml:space="preserve">r </t>
  </si>
  <si>
    <t>σ</t>
  </si>
  <si>
    <r>
      <rPr>
        <sz val="9"/>
        <color theme="1"/>
        <rFont val="Arial Unicode MS"/>
        <family val="3"/>
        <charset val="128"/>
      </rPr>
      <t>x</t>
    </r>
    <r>
      <rPr>
        <sz val="11"/>
        <color theme="1"/>
        <rFont val="Arial Unicode MS"/>
        <family val="3"/>
        <charset val="128"/>
      </rPr>
      <t xml:space="preserve"> dt</t>
    </r>
    <phoneticPr fontId="4"/>
  </si>
  <si>
    <t>σ√ dt</t>
    <phoneticPr fontId="4"/>
  </si>
  <si>
    <t>DF</t>
    <phoneticPr fontId="4"/>
  </si>
  <si>
    <t>H6=EXP(-C6*8/52)</t>
    <phoneticPr fontId="4"/>
  </si>
  <si>
    <t xml:space="preserve">E6=(C6-0.5*D6^2)*(1/52),   </t>
    <phoneticPr fontId="4"/>
  </si>
  <si>
    <t>F6=D6*(1/52)^0.5</t>
    <phoneticPr fontId="4"/>
  </si>
  <si>
    <t>8週後</t>
  </si>
  <si>
    <t>Call価格</t>
  </si>
  <si>
    <t xml:space="preserve">Week -&gt; </t>
  </si>
  <si>
    <t>株価S</t>
  </si>
  <si>
    <t>K10=AVERAGE(K12:K31)*H6</t>
    <phoneticPr fontId="4"/>
  </si>
  <si>
    <t>Scenario</t>
  </si>
  <si>
    <t>max(S-K)</t>
  </si>
  <si>
    <t xml:space="preserve">正規乱数: =NORMSINV( RAND() ) </t>
    <phoneticPr fontId="4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</si>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</sst>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000;[Red]\-#,##0.00000"/>
    <numFmt numFmtId="177" formatCode="0.0000%"/>
    <numFmt numFmtId="178" formatCode="#,##0.0000"/>
    <numFmt numFmtId="179" formatCode="0.0000"/>
    <numFmt numFmtId="180" formatCode="0.0000_ "/>
    <numFmt numFmtId="184" formatCode="#,##0.000;[Red]\-#,##0.000"/>
    <numFmt numFmtId="185" formatCode="#,##0.000000;[Red]\-#,##0.000000"/>
    <numFmt numFmtId="186" formatCode="#,##0.0000;[Red]\-#,##0.0000"/>
    <numFmt numFmtId="187" formatCode="0.000%"/>
    <numFmt numFmtId="188" formatCode="0.0"/>
  </numFmts>
  <fonts count="23">
    <font>
      <sz val="11"/>
      <color theme="1"/>
      <name val="Arial Unicode MS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Arial Unicode MS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Arial Unicode MS"/>
      <family val="2"/>
      <charset val="128"/>
    </font>
    <font>
      <sz val="11"/>
      <color theme="1"/>
      <name val="游ゴシック"/>
      <family val="2"/>
      <scheme val="minor"/>
    </font>
    <font>
      <sz val="11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1"/>
      <color theme="1"/>
      <name val="游ゴシック"/>
      <family val="2"/>
      <charset val="128"/>
      <scheme val="minor"/>
    </font>
    <font>
      <sz val="8"/>
      <name val="Arial Unicode MS"/>
      <family val="3"/>
      <charset val="128"/>
    </font>
    <font>
      <b/>
      <sz val="8"/>
      <name val="Arial Unicode MS"/>
      <family val="3"/>
      <charset val="128"/>
    </font>
    <font>
      <b/>
      <sz val="9"/>
      <name val="Arial Unicode MS"/>
      <family val="3"/>
      <charset val="128"/>
    </font>
    <font>
      <sz val="10"/>
      <name val="Arial Unicode MS"/>
      <family val="3"/>
      <charset val="128"/>
    </font>
    <font>
      <sz val="9"/>
      <name val="Arial Unicode MS"/>
      <family val="3"/>
      <charset val="128"/>
    </font>
    <font>
      <b/>
      <sz val="10"/>
      <name val="Arial Unicode MS"/>
      <family val="3"/>
      <charset val="128"/>
    </font>
    <font>
      <b/>
      <sz val="11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vertAlign val="superscript"/>
      <sz val="11"/>
      <color theme="1"/>
      <name val="Arial Unicode MS"/>
      <family val="3"/>
      <charset val="128"/>
    </font>
    <font>
      <sz val="8"/>
      <color theme="1"/>
      <name val="Arial Unicode MS"/>
      <family val="3"/>
      <charset val="128"/>
    </font>
    <font>
      <sz val="11"/>
      <color theme="0" tint="-0.499984740745262"/>
      <name val="Arial Unicode MS"/>
      <family val="3"/>
      <charset val="128"/>
    </font>
    <font>
      <sz val="11"/>
      <color theme="1" tint="0.34998626667073579"/>
      <name val="Arial Unicode MS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9" fontId="10" fillId="0" borderId="0" applyFont="0" applyFill="0" applyBorder="0" applyAlignment="0" applyProtection="0">
      <alignment vertical="center"/>
    </xf>
    <xf numFmtId="0" fontId="1" fillId="0" borderId="0"/>
  </cellStyleXfs>
  <cellXfs count="84">
    <xf numFmtId="0" fontId="0" fillId="0" borderId="0" xfId="0">
      <alignment vertical="center"/>
    </xf>
    <xf numFmtId="0" fontId="7" fillId="0" borderId="0" xfId="1" applyFont="1">
      <alignment vertical="center"/>
    </xf>
    <xf numFmtId="0" fontId="7" fillId="0" borderId="0" xfId="1" applyFont="1" applyAlignment="1"/>
    <xf numFmtId="0" fontId="7" fillId="0" borderId="1" xfId="1" applyFont="1" applyBorder="1" applyAlignment="1">
      <alignment horizontal="center"/>
    </xf>
    <xf numFmtId="0" fontId="7" fillId="0" borderId="0" xfId="1" applyFont="1" applyAlignment="1">
      <alignment horizontal="left"/>
    </xf>
    <xf numFmtId="176" fontId="7" fillId="3" borderId="0" xfId="2" applyNumberFormat="1" applyFont="1" applyFill="1" applyAlignment="1">
      <alignment vertical="center"/>
    </xf>
    <xf numFmtId="177" fontId="7" fillId="3" borderId="0" xfId="3" applyNumberFormat="1" applyFont="1" applyFill="1" applyAlignment="1">
      <alignment vertical="center"/>
    </xf>
    <xf numFmtId="0" fontId="8" fillId="0" borderId="0" xfId="1" applyFont="1" applyAlignment="1">
      <alignment horizontal="center"/>
    </xf>
    <xf numFmtId="176" fontId="9" fillId="0" borderId="0" xfId="2" applyNumberFormat="1" applyFont="1" applyAlignment="1">
      <alignment vertical="center"/>
    </xf>
    <xf numFmtId="0" fontId="7" fillId="0" borderId="0" xfId="1" quotePrefix="1" applyFont="1">
      <alignment vertical="center"/>
    </xf>
    <xf numFmtId="178" fontId="7" fillId="0" borderId="0" xfId="2" applyNumberFormat="1" applyFont="1" applyAlignment="1"/>
    <xf numFmtId="178" fontId="7" fillId="0" borderId="0" xfId="2" applyNumberFormat="1" applyFont="1" applyAlignment="1">
      <alignment vertical="center"/>
    </xf>
    <xf numFmtId="0" fontId="7" fillId="2" borderId="2" xfId="1" applyFont="1" applyFill="1" applyBorder="1" applyAlignment="1"/>
    <xf numFmtId="0" fontId="8" fillId="0" borderId="0" xfId="1" quotePrefix="1" applyFont="1">
      <alignment vertical="center"/>
    </xf>
    <xf numFmtId="0" fontId="7" fillId="4" borderId="0" xfId="1" quotePrefix="1" applyFont="1" applyFill="1" applyAlignment="1">
      <alignment horizontal="center"/>
    </xf>
    <xf numFmtId="0" fontId="11" fillId="0" borderId="0" xfId="1" applyFont="1" applyAlignment="1"/>
    <xf numFmtId="0" fontId="11" fillId="0" borderId="0" xfId="1" quotePrefix="1" applyFont="1" applyAlignment="1"/>
    <xf numFmtId="0" fontId="11" fillId="0" borderId="0" xfId="1" applyFont="1">
      <alignment vertical="center"/>
    </xf>
    <xf numFmtId="0" fontId="11" fillId="0" borderId="0" xfId="1" quotePrefix="1" applyFont="1">
      <alignment vertical="center"/>
    </xf>
    <xf numFmtId="178" fontId="11" fillId="0" borderId="0" xfId="2" quotePrefix="1" applyNumberFormat="1" applyFont="1" applyAlignment="1"/>
    <xf numFmtId="176" fontId="7" fillId="0" borderId="0" xfId="2" applyNumberFormat="1" applyFont="1" applyAlignment="1">
      <alignment vertical="center"/>
    </xf>
    <xf numFmtId="0" fontId="7" fillId="2" borderId="0" xfId="1" applyFont="1" applyFill="1">
      <alignment vertical="center"/>
    </xf>
    <xf numFmtId="178" fontId="7" fillId="2" borderId="2" xfId="2" applyNumberFormat="1" applyFont="1" applyFill="1" applyBorder="1" applyAlignment="1"/>
    <xf numFmtId="178" fontId="7" fillId="2" borderId="0" xfId="1" applyNumberFormat="1" applyFont="1" applyFill="1">
      <alignment vertical="center"/>
    </xf>
    <xf numFmtId="14" fontId="7" fillId="4" borderId="0" xfId="4" quotePrefix="1" applyNumberFormat="1" applyFont="1" applyFill="1" applyAlignment="1">
      <alignment horizontal="right" vertical="center"/>
    </xf>
    <xf numFmtId="0" fontId="12" fillId="0" borderId="1" xfId="1" applyFont="1" applyBorder="1" applyAlignment="1"/>
    <xf numFmtId="0" fontId="12" fillId="0" borderId="0" xfId="1" applyFont="1" applyAlignment="1"/>
    <xf numFmtId="0" fontId="12" fillId="0" borderId="0" xfId="1" quotePrefix="1" applyFont="1" applyAlignment="1"/>
    <xf numFmtId="0" fontId="12" fillId="0" borderId="0" xfId="1" applyFont="1">
      <alignment vertical="center"/>
    </xf>
    <xf numFmtId="0" fontId="12" fillId="0" borderId="0" xfId="1" quotePrefix="1" applyFont="1">
      <alignment vertical="center"/>
    </xf>
    <xf numFmtId="178" fontId="12" fillId="0" borderId="0" xfId="2" quotePrefix="1" applyNumberFormat="1" applyFont="1" applyAlignment="1"/>
    <xf numFmtId="0" fontId="8" fillId="0" borderId="0" xfId="1" quotePrefix="1" applyFont="1" applyAlignment="1"/>
    <xf numFmtId="0" fontId="13" fillId="0" borderId="0" xfId="1" applyFont="1" applyAlignment="1">
      <alignment horizontal="right"/>
    </xf>
    <xf numFmtId="179" fontId="13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right" vertical="center"/>
    </xf>
    <xf numFmtId="180" fontId="7" fillId="0" borderId="0" xfId="2" applyNumberFormat="1" applyFont="1" applyFill="1" applyBorder="1" applyAlignment="1"/>
    <xf numFmtId="0" fontId="7" fillId="0" borderId="0" xfId="1" applyFont="1" applyAlignment="1">
      <alignment horizontal="center" vertical="center"/>
    </xf>
    <xf numFmtId="177" fontId="7" fillId="0" borderId="0" xfId="5" quotePrefix="1" applyNumberFormat="1" applyFont="1" applyFill="1" applyBorder="1" applyAlignment="1">
      <alignment horizontal="right"/>
    </xf>
    <xf numFmtId="0" fontId="14" fillId="0" borderId="0" xfId="1" applyFont="1">
      <alignment vertical="center"/>
    </xf>
    <xf numFmtId="0" fontId="7" fillId="0" borderId="1" xfId="1" applyFont="1" applyBorder="1" applyAlignment="1">
      <alignment horizontal="center"/>
    </xf>
    <xf numFmtId="0" fontId="7" fillId="0" borderId="0" xfId="1" quotePrefix="1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13" fillId="0" borderId="0" xfId="1" applyFont="1" applyAlignment="1">
      <alignment horizontal="left"/>
    </xf>
    <xf numFmtId="0" fontId="8" fillId="0" borderId="1" xfId="1" applyFont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/>
    </xf>
    <xf numFmtId="184" fontId="7" fillId="0" borderId="0" xfId="2" applyNumberFormat="1" applyFont="1">
      <alignment vertical="center"/>
    </xf>
    <xf numFmtId="0" fontId="15" fillId="0" borderId="0" xfId="1" applyFont="1">
      <alignment vertical="center"/>
    </xf>
    <xf numFmtId="0" fontId="15" fillId="0" borderId="0" xfId="1" quotePrefix="1" applyFont="1">
      <alignment vertical="center"/>
    </xf>
    <xf numFmtId="176" fontId="7" fillId="0" borderId="0" xfId="2" applyNumberFormat="1" applyFont="1">
      <alignment vertical="center"/>
    </xf>
    <xf numFmtId="0" fontId="14" fillId="0" borderId="0" xfId="1" quotePrefix="1" applyFont="1">
      <alignment vertical="center"/>
    </xf>
    <xf numFmtId="177" fontId="7" fillId="0" borderId="0" xfId="3" applyNumberFormat="1" applyFont="1">
      <alignment vertical="center"/>
    </xf>
    <xf numFmtId="185" fontId="7" fillId="0" borderId="0" xfId="2" applyNumberFormat="1" applyFont="1">
      <alignment vertical="center"/>
    </xf>
    <xf numFmtId="0" fontId="16" fillId="0" borderId="0" xfId="1" quotePrefix="1" applyFont="1">
      <alignment vertical="center"/>
    </xf>
    <xf numFmtId="0" fontId="14" fillId="0" borderId="0" xfId="1" quotePrefix="1" applyFont="1" applyAlignment="1">
      <alignment wrapText="1"/>
    </xf>
    <xf numFmtId="178" fontId="7" fillId="0" borderId="0" xfId="2" applyNumberFormat="1" applyFont="1">
      <alignment vertical="center"/>
    </xf>
    <xf numFmtId="186" fontId="7" fillId="0" borderId="0" xfId="2" applyNumberFormat="1" applyFont="1">
      <alignment vertical="center"/>
    </xf>
    <xf numFmtId="186" fontId="7" fillId="0" borderId="0" xfId="2" applyNumberFormat="1" applyFont="1" applyAlignment="1"/>
    <xf numFmtId="0" fontId="7" fillId="0" borderId="0" xfId="1" applyFont="1" applyAlignment="1">
      <alignment horizontal="left" vertical="center" indent="1"/>
    </xf>
    <xf numFmtId="0" fontId="17" fillId="0" borderId="1" xfId="10" applyFont="1" applyBorder="1"/>
    <xf numFmtId="0" fontId="9" fillId="0" borderId="1" xfId="10" applyFont="1" applyBorder="1"/>
    <xf numFmtId="0" fontId="9" fillId="0" borderId="0" xfId="10" applyFont="1"/>
    <xf numFmtId="0" fontId="18" fillId="0" borderId="0" xfId="10" quotePrefix="1" applyFont="1"/>
    <xf numFmtId="0" fontId="9" fillId="0" borderId="0" xfId="10" applyFont="1" applyAlignment="1">
      <alignment horizontal="center"/>
    </xf>
    <xf numFmtId="0" fontId="9" fillId="0" borderId="1" xfId="10" applyFont="1" applyBorder="1" applyAlignment="1">
      <alignment horizontal="center"/>
    </xf>
    <xf numFmtId="0" fontId="9" fillId="0" borderId="1" xfId="10" applyFont="1" applyBorder="1" applyAlignment="1">
      <alignment horizontal="center"/>
    </xf>
    <xf numFmtId="187" fontId="18" fillId="0" borderId="0" xfId="10" applyNumberFormat="1" applyFont="1" applyAlignment="1">
      <alignment horizontal="center"/>
    </xf>
    <xf numFmtId="9" fontId="9" fillId="0" borderId="0" xfId="10" applyNumberFormat="1" applyFont="1" applyAlignment="1">
      <alignment horizontal="center"/>
    </xf>
    <xf numFmtId="185" fontId="9" fillId="0" borderId="0" xfId="2" applyNumberFormat="1" applyFont="1" applyAlignment="1">
      <alignment horizontal="center"/>
    </xf>
    <xf numFmtId="0" fontId="18" fillId="0" borderId="0" xfId="10" quotePrefix="1" applyFont="1" applyAlignment="1">
      <alignment horizontal="right"/>
    </xf>
    <xf numFmtId="0" fontId="20" fillId="0" borderId="0" xfId="10" applyFont="1"/>
    <xf numFmtId="0" fontId="9" fillId="0" borderId="0" xfId="10" applyFont="1" applyAlignment="1">
      <alignment horizontal="left"/>
    </xf>
    <xf numFmtId="0" fontId="17" fillId="6" borderId="3" xfId="10" applyFont="1" applyFill="1" applyBorder="1" applyAlignment="1">
      <alignment horizontal="center"/>
    </xf>
    <xf numFmtId="0" fontId="9" fillId="0" borderId="4" xfId="10" applyFont="1" applyBorder="1" applyAlignment="1">
      <alignment horizontal="center"/>
    </xf>
    <xf numFmtId="0" fontId="9" fillId="4" borderId="1" xfId="10" applyFont="1" applyFill="1" applyBorder="1"/>
    <xf numFmtId="0" fontId="17" fillId="6" borderId="5" xfId="10" applyFont="1" applyFill="1" applyBorder="1" applyAlignment="1">
      <alignment horizontal="center"/>
    </xf>
    <xf numFmtId="0" fontId="9" fillId="0" borderId="6" xfId="10" applyFont="1" applyBorder="1" applyAlignment="1">
      <alignment horizontal="center"/>
    </xf>
    <xf numFmtId="0" fontId="9" fillId="6" borderId="1" xfId="10" applyFont="1" applyFill="1" applyBorder="1" applyAlignment="1">
      <alignment horizontal="center"/>
    </xf>
    <xf numFmtId="0" fontId="9" fillId="0" borderId="1" xfId="10" applyFont="1" applyBorder="1" applyAlignment="1">
      <alignment horizontal="left"/>
    </xf>
    <xf numFmtId="188" fontId="9" fillId="0" borderId="0" xfId="10" applyNumberFormat="1" applyFont="1" applyAlignment="1">
      <alignment horizontal="right"/>
    </xf>
    <xf numFmtId="188" fontId="9" fillId="0" borderId="0" xfId="10" applyNumberFormat="1" applyFont="1"/>
    <xf numFmtId="0" fontId="7" fillId="0" borderId="0" xfId="10" applyFont="1" applyAlignment="1">
      <alignment horizontal="center"/>
    </xf>
    <xf numFmtId="179" fontId="7" fillId="0" borderId="0" xfId="10" applyNumberFormat="1" applyFont="1"/>
    <xf numFmtId="0" fontId="21" fillId="0" borderId="0" xfId="10" applyFont="1" applyAlignment="1">
      <alignment horizontal="center"/>
    </xf>
    <xf numFmtId="179" fontId="22" fillId="0" borderId="0" xfId="10" applyNumberFormat="1" applyFont="1"/>
  </cellXfs>
  <cellStyles count="11">
    <cellStyle name="Normal 2" xfId="10" xr:uid="{857B0D23-D448-4267-83B1-7397A190D2A5}"/>
    <cellStyle name="パーセント" xfId="5" builtinId="5"/>
    <cellStyle name="パーセント 2" xfId="3" xr:uid="{7674314B-11C4-41A5-B859-42343F300B86}"/>
    <cellStyle name="パーセント 3" xfId="9" xr:uid="{374877F2-4EB9-4E4C-B8D3-6E0A549D262C}"/>
    <cellStyle name="桁区切り" xfId="4" builtinId="6"/>
    <cellStyle name="桁区切り 2" xfId="2" xr:uid="{BDAE2540-214A-48E3-8A2A-7D2B9D788718}"/>
    <cellStyle name="標準" xfId="0" builtinId="0"/>
    <cellStyle name="標準 2" xfId="1" xr:uid="{53CA2028-0C5A-4D66-A8EA-20DCC6C761D7}"/>
    <cellStyle name="標準 2 2" xfId="8" xr:uid="{415A4CB9-0F7A-4F77-8C5A-30523EBF40F4}"/>
    <cellStyle name="標準 3" xfId="6" xr:uid="{A594CD0A-DA7A-433B-8A91-8FA2014B49BB}"/>
    <cellStyle name="標準 4" xfId="7" xr:uid="{4DBDDAA2-0E02-4DF5-9646-54B0335165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'5.8old'!$B$11:$J$11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6-4F39-998D-1BC16DC59812}"/>
            </c:ext>
          </c:extLst>
        </c:ser>
        <c:ser>
          <c:idx val="1"/>
          <c:order val="1"/>
          <c:marker>
            <c:symbol val="none"/>
          </c:marker>
          <c:val>
            <c:numRef>
              <c:f>'5.8old'!$B$12:$J$12</c:f>
              <c:numCache>
                <c:formatCode>0.0</c:formatCode>
                <c:ptCount val="9"/>
                <c:pt idx="0" formatCode="General">
                  <c:v>100</c:v>
                </c:pt>
                <c:pt idx="1">
                  <c:v>107.36031219259053</c:v>
                </c:pt>
                <c:pt idx="2">
                  <c:v>101.17231023038208</c:v>
                </c:pt>
                <c:pt idx="3">
                  <c:v>105.12933377452939</c:v>
                </c:pt>
                <c:pt idx="4">
                  <c:v>107.04353315068516</c:v>
                </c:pt>
                <c:pt idx="5">
                  <c:v>107.99707745864919</c:v>
                </c:pt>
                <c:pt idx="6">
                  <c:v>108.95444695564468</c:v>
                </c:pt>
                <c:pt idx="7">
                  <c:v>104.2086118302414</c:v>
                </c:pt>
                <c:pt idx="8">
                  <c:v>106.10685209985107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6-4F39-998D-1BC16DC59812}"/>
            </c:ext>
          </c:extLst>
        </c:ser>
        <c:ser>
          <c:idx val="2"/>
          <c:order val="2"/>
          <c:marker>
            <c:symbol val="none"/>
          </c:marker>
          <c:val>
            <c:numRef>
              <c:f>'5.8old'!$B$13:$J$13</c:f>
              <c:numCache>
                <c:formatCode>0.0</c:formatCode>
                <c:ptCount val="9"/>
                <c:pt idx="0" formatCode="General">
                  <c:v>100</c:v>
                </c:pt>
                <c:pt idx="1">
                  <c:v>96.256483598033071</c:v>
                </c:pt>
                <c:pt idx="2">
                  <c:v>98.967888750045773</c:v>
                </c:pt>
                <c:pt idx="3">
                  <c:v>94.148612502734153</c:v>
                </c:pt>
                <c:pt idx="4">
                  <c:v>97.125477816671079</c:v>
                </c:pt>
                <c:pt idx="5">
                  <c:v>88.31125525619052</c:v>
                </c:pt>
                <c:pt idx="6">
                  <c:v>85.257255461831932</c:v>
                </c:pt>
                <c:pt idx="7">
                  <c:v>83.15186247792694</c:v>
                </c:pt>
                <c:pt idx="8">
                  <c:v>82.777680331671888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6-4F39-998D-1BC16DC59812}"/>
            </c:ext>
          </c:extLst>
        </c:ser>
        <c:ser>
          <c:idx val="3"/>
          <c:order val="3"/>
          <c:marker>
            <c:symbol val="none"/>
          </c:marker>
          <c:val>
            <c:numRef>
              <c:f>'5.8old'!$B$14:$J$14</c:f>
              <c:numCache>
                <c:formatCode>0.0</c:formatCode>
                <c:ptCount val="9"/>
                <c:pt idx="0" formatCode="General">
                  <c:v>100</c:v>
                </c:pt>
                <c:pt idx="1">
                  <c:v>102.50870891066938</c:v>
                </c:pt>
                <c:pt idx="2">
                  <c:v>105.80528576831745</c:v>
                </c:pt>
                <c:pt idx="3">
                  <c:v>109.93648880301342</c:v>
                </c:pt>
                <c:pt idx="4">
                  <c:v>109.51746317251011</c:v>
                </c:pt>
                <c:pt idx="5">
                  <c:v>110.15922116845815</c:v>
                </c:pt>
                <c:pt idx="6">
                  <c:v>102.75908112060995</c:v>
                </c:pt>
                <c:pt idx="7">
                  <c:v>107.96529504720809</c:v>
                </c:pt>
                <c:pt idx="8">
                  <c:v>110.7446392730177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6-4F39-998D-1BC16DC59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22592"/>
        <c:axId val="256624128"/>
      </c:lineChart>
      <c:catAx>
        <c:axId val="256622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256624128"/>
        <c:crosses val="autoZero"/>
        <c:auto val="1"/>
        <c:lblAlgn val="ctr"/>
        <c:lblOffset val="100"/>
        <c:noMultiLvlLbl val="0"/>
      </c:catAx>
      <c:valAx>
        <c:axId val="256624128"/>
        <c:scaling>
          <c:orientation val="minMax"/>
          <c:max val="125"/>
          <c:min val="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25662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368300</xdr:colOff>
      <xdr:row>0</xdr:row>
      <xdr:rowOff>190500</xdr:rowOff>
    </xdr:from>
    <xdr:to>
      <xdr:col>14</xdr:col>
      <xdr:colOff>463145</xdr:colOff>
      <xdr:row>28</xdr:row>
      <xdr:rowOff>101600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08D0313-3D46-40C7-8F99-A748B474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90500"/>
          <a:ext cx="4717645" cy="572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481013</xdr:colOff>
      <xdr:row>0</xdr:row>
      <xdr:rowOff>69850</xdr:rowOff>
    </xdr:from>
    <xdr:to>
      <xdr:col>20</xdr:col>
      <xdr:colOff>542925</xdr:colOff>
      <xdr:row>9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25F25-D870-4472-8644-2FE4165C8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14</xdr:row>
      <xdr:rowOff>31750</xdr:rowOff>
    </xdr:from>
    <xdr:to>
      <xdr:col>9</xdr:col>
      <xdr:colOff>450850</xdr:colOff>
      <xdr:row>17</xdr:row>
      <xdr:rowOff>63500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7F99140-9B24-47FF-9299-2FBAD4F62AB5}"/>
            </a:ext>
          </a:extLst>
        </xdr:cNvPr>
        <xdr:cNvSpPr txBox="1"/>
      </xdr:nvSpPr>
      <xdr:spPr>
        <a:xfrm>
          <a:off x="1460500" y="2387600"/>
          <a:ext cx="3073400" cy="5270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</a:t>
          </a:r>
          <a:r>
            <a:rPr kumimoji="1" lang="ja-JP" altLang="en-US" sz="1100"/>
            <a:t>行計算式 </a:t>
          </a:r>
          <a:r>
            <a:rPr kumimoji="1" lang="en-US" altLang="ja-JP" sz="1100"/>
            <a:t>:  C12=B12*EXP($E$6+$F$6*N12)</a:t>
          </a:r>
        </a:p>
        <a:p>
          <a:r>
            <a:rPr kumimoji="1" lang="en-US" altLang="ja-JP" sz="1100" baseline="0"/>
            <a:t>                          </a:t>
          </a:r>
          <a:r>
            <a:rPr kumimoji="1" lang="en-US" altLang="ja-JP" sz="1100"/>
            <a:t>D12=C12*EXP($E$6+$F$6*O12)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・・・・・・・・・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14</xdr:col>
      <xdr:colOff>63500</xdr:colOff>
      <xdr:row>12</xdr:row>
      <xdr:rowOff>63500</xdr:rowOff>
    </xdr:from>
    <xdr:to>
      <xdr:col>19</xdr:col>
      <xdr:colOff>342900</xdr:colOff>
      <xdr:row>15</xdr:row>
      <xdr:rowOff>101600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EA1B5C5-A2B5-4D99-906F-C008F487C299}"/>
            </a:ext>
          </a:extLst>
        </xdr:cNvPr>
        <xdr:cNvSpPr txBox="1"/>
      </xdr:nvSpPr>
      <xdr:spPr>
        <a:xfrm>
          <a:off x="6940550" y="2089150"/>
          <a:ext cx="3073400" cy="533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</a:t>
          </a:r>
          <a:r>
            <a:rPr kumimoji="1" lang="ja-JP" altLang="en-US" sz="1100"/>
            <a:t>行計算式 </a:t>
          </a:r>
          <a:r>
            <a:rPr kumimoji="1" lang="en-US" altLang="ja-JP" sz="1100"/>
            <a:t>:  N12=NORMSINV(RAND())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O12=NORMSINV(RAND())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・・・・・・・・・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aguraoka-old\ISPT&#26908;&#35342;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ExcelPC\Chapter1and2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esktop\04%20ch5,6-Option.xlsx" TargetMode="External"/><Relationship Id="rId1" Type="http://schemas.openxmlformats.org/officeDocument/2006/relationships/externalLinkPath" Target="04%20ch5,6-O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_siguma (5)"/>
      <sheetName val="cap_siguma (4)"/>
      <sheetName val="大和"/>
      <sheetName val="swaption_siguma"/>
      <sheetName val="USDN"/>
      <sheetName val="swaption"/>
      <sheetName val="cap_siguma＿ｆ) (2)"/>
      <sheetName val="cap_siguma (3)"/>
      <sheetName val="cap_siguma (2)"/>
      <sheetName val="Calc (2)"/>
      <sheetName val="cap_siguma"/>
      <sheetName val="TS"/>
      <sheetName val="USD_old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pter1and2"/>
    </sheetNames>
    <definedNames>
      <definedName name="PartialBarrier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.4"/>
      <sheetName val="5.7"/>
      <sheetName val="5.8"/>
      <sheetName val="5.9"/>
      <sheetName val="5.10"/>
      <sheetName val="5.12"/>
      <sheetName val="6.3"/>
      <sheetName val="6.4"/>
      <sheetName val="6.8"/>
      <sheetName val="6.11"/>
      <sheetName val="6.12"/>
    </sheetNames>
    <sheetDataSet>
      <sheetData sheetId="0" refreshError="1"/>
      <sheetData sheetId="1" refreshError="1"/>
      <sheetData sheetId="2">
        <row r="11">
          <cell r="B11" t="str">
            <v>So</v>
          </cell>
          <cell r="C11">
            <v>1</v>
          </cell>
          <cell r="D11">
            <v>2</v>
          </cell>
          <cell r="E11">
            <v>3</v>
          </cell>
          <cell r="F11">
            <v>4</v>
          </cell>
          <cell r="G11">
            <v>5</v>
          </cell>
          <cell r="H11">
            <v>6</v>
          </cell>
          <cell r="I11">
            <v>7</v>
          </cell>
          <cell r="J11">
            <v>8</v>
          </cell>
        </row>
        <row r="12">
          <cell r="B12">
            <v>100</v>
          </cell>
          <cell r="C12">
            <v>100.37252044621199</v>
          </cell>
          <cell r="D12">
            <v>96.978433603630933</v>
          </cell>
          <cell r="E12">
            <v>101.73168907177295</v>
          </cell>
          <cell r="F12">
            <v>97.935600420627239</v>
          </cell>
          <cell r="G12">
            <v>104.8017528987894</v>
          </cell>
          <cell r="H12">
            <v>101.49791763630142</v>
          </cell>
          <cell r="I12">
            <v>103.89705127552632</v>
          </cell>
          <cell r="J12">
            <v>107.85761446806669</v>
          </cell>
        </row>
        <row r="13">
          <cell r="B13">
            <v>100</v>
          </cell>
          <cell r="C13">
            <v>100.27703168279507</v>
          </cell>
          <cell r="D13">
            <v>99.523530681446587</v>
          </cell>
          <cell r="E13">
            <v>92.765123450544735</v>
          </cell>
          <cell r="F13">
            <v>96.130624949680808</v>
          </cell>
          <cell r="G13">
            <v>101.85358241620425</v>
          </cell>
          <cell r="H13">
            <v>104.97470552455232</v>
          </cell>
          <cell r="I13">
            <v>113.72820444404623</v>
          </cell>
          <cell r="J13">
            <v>108.44736183459915</v>
          </cell>
        </row>
        <row r="14">
          <cell r="B14">
            <v>100</v>
          </cell>
          <cell r="C14">
            <v>98.598733166473536</v>
          </cell>
          <cell r="D14">
            <v>97.448949808833575</v>
          </cell>
          <cell r="E14">
            <v>95.248268219656353</v>
          </cell>
          <cell r="F14">
            <v>89.148921107130136</v>
          </cell>
          <cell r="G14">
            <v>85.948886062078955</v>
          </cell>
          <cell r="H14">
            <v>89.234695523222143</v>
          </cell>
          <cell r="I14">
            <v>89.489661756495835</v>
          </cell>
          <cell r="J14">
            <v>91.301733002304402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A26A-9D6B-4D76-9AEE-434F72B94AE3}">
  <sheetPr codeName="Sheet11"/>
  <dimension ref="A1:G37"/>
  <sheetViews>
    <sheetView tabSelected="1" zoomScale="120" zoomScaleNormal="120" workbookViewId="0">
      <selection activeCell="E21" sqref="E21"/>
    </sheetView>
  </sheetViews>
  <sheetFormatPr defaultColWidth="8.6328125" defaultRowHeight="13"/>
  <cols>
    <col min="1" max="1" width="25.36328125" style="1" customWidth="1"/>
    <col min="2" max="2" width="10.26953125" style="1" bestFit="1" customWidth="1"/>
    <col min="3" max="3" width="19.90625" style="1" customWidth="1"/>
    <col min="4" max="4" width="1.81640625" style="1" customWidth="1"/>
    <col min="5" max="5" width="8.54296875" style="1" customWidth="1"/>
    <col min="6" max="6" width="9.54296875" style="1" customWidth="1"/>
    <col min="7" max="7" width="33.6328125" style="1" bestFit="1" customWidth="1"/>
    <col min="8" max="16384" width="8.6328125" style="1"/>
  </cols>
  <sheetData>
    <row r="1" spans="1:7">
      <c r="A1" s="39" t="s">
        <v>18</v>
      </c>
      <c r="B1" s="39"/>
      <c r="C1" s="25" t="s">
        <v>12</v>
      </c>
      <c r="D1" s="15"/>
      <c r="E1" s="40"/>
      <c r="F1" s="40"/>
      <c r="G1" s="26"/>
    </row>
    <row r="2" spans="1:7">
      <c r="A2" s="4" t="s">
        <v>40</v>
      </c>
      <c r="B2" s="14">
        <v>1</v>
      </c>
      <c r="C2" s="26"/>
      <c r="D2" s="15"/>
      <c r="E2" s="34"/>
      <c r="F2" s="35"/>
      <c r="G2" s="27"/>
    </row>
    <row r="3" spans="1:7">
      <c r="A3" s="1" t="s">
        <v>4</v>
      </c>
      <c r="B3" s="24">
        <v>45128</v>
      </c>
      <c r="C3" s="26"/>
      <c r="D3" s="15"/>
      <c r="E3" s="34"/>
      <c r="F3" s="35"/>
      <c r="G3" s="27"/>
    </row>
    <row r="4" spans="1:7">
      <c r="A4" s="1" t="s">
        <v>5</v>
      </c>
      <c r="B4" s="24">
        <v>45164</v>
      </c>
      <c r="C4" s="26"/>
      <c r="D4" s="15"/>
      <c r="E4" s="34"/>
      <c r="F4" s="35"/>
      <c r="G4" s="27"/>
    </row>
    <row r="5" spans="1:7">
      <c r="A5" s="1" t="s">
        <v>10</v>
      </c>
      <c r="B5" s="5">
        <f>107+6.75/32</f>
        <v>107.2109375</v>
      </c>
      <c r="C5" s="27" t="s">
        <v>15</v>
      </c>
      <c r="D5" s="16"/>
      <c r="E5" s="34"/>
      <c r="F5" s="35"/>
      <c r="G5" s="27"/>
    </row>
    <row r="6" spans="1:7">
      <c r="A6" s="1" t="s">
        <v>0</v>
      </c>
      <c r="B6" s="5">
        <v>107.5</v>
      </c>
      <c r="C6" s="26"/>
      <c r="D6" s="15"/>
      <c r="E6" s="34"/>
      <c r="F6" s="35"/>
      <c r="G6" s="27"/>
    </row>
    <row r="7" spans="1:7">
      <c r="A7" s="1" t="s">
        <v>2</v>
      </c>
      <c r="B7" s="6">
        <v>5.2519999999999997E-2</v>
      </c>
      <c r="C7" s="28"/>
      <c r="D7" s="17"/>
      <c r="G7" s="27"/>
    </row>
    <row r="8" spans="1:7">
      <c r="A8" s="1" t="s">
        <v>49</v>
      </c>
      <c r="B8" s="6">
        <v>5.2760000000000001E-2</v>
      </c>
      <c r="C8" s="28" t="s">
        <v>1</v>
      </c>
      <c r="D8" s="17"/>
      <c r="E8" s="41"/>
      <c r="F8" s="41"/>
      <c r="G8" s="27"/>
    </row>
    <row r="9" spans="1:7">
      <c r="A9" s="3" t="s">
        <v>7</v>
      </c>
      <c r="B9" s="7"/>
      <c r="C9" s="28"/>
      <c r="D9" s="17"/>
      <c r="E9" s="36"/>
      <c r="F9" s="37"/>
      <c r="G9" s="27"/>
    </row>
    <row r="10" spans="1:7">
      <c r="A10" s="1" t="s">
        <v>6</v>
      </c>
      <c r="B10" s="1">
        <f>B4-B3</f>
        <v>36</v>
      </c>
      <c r="C10" s="29" t="s">
        <v>11</v>
      </c>
      <c r="D10" s="18"/>
    </row>
    <row r="11" spans="1:7">
      <c r="A11" s="1" t="s">
        <v>9</v>
      </c>
      <c r="B11" s="8">
        <f>B10/365</f>
        <v>9.8630136986301367E-2</v>
      </c>
      <c r="C11" s="29" t="s">
        <v>13</v>
      </c>
      <c r="D11" s="18"/>
    </row>
    <row r="12" spans="1:7">
      <c r="A12" s="1" t="s">
        <v>19</v>
      </c>
      <c r="B12" s="20">
        <f>EXP(-B8*B11)</f>
        <v>0.99480978990032887</v>
      </c>
      <c r="C12" s="29" t="s">
        <v>14</v>
      </c>
      <c r="D12" s="18"/>
    </row>
    <row r="13" spans="1:7">
      <c r="A13" s="1" t="s">
        <v>16</v>
      </c>
      <c r="B13" s="20">
        <f>B7*B11^0.5</f>
        <v>1.6494134648662812E-2</v>
      </c>
      <c r="C13" s="29" t="s">
        <v>17</v>
      </c>
      <c r="D13" s="18"/>
    </row>
    <row r="14" spans="1:7">
      <c r="A14" s="3" t="s">
        <v>8</v>
      </c>
      <c r="C14" s="28"/>
      <c r="D14" s="17"/>
    </row>
    <row r="15" spans="1:7">
      <c r="A15" s="2" t="s">
        <v>30</v>
      </c>
      <c r="B15" s="10">
        <f>B2*(LN(B5/B6)/B13+B13/2)</f>
        <v>-0.15499733894827755</v>
      </c>
      <c r="C15" s="30" t="s">
        <v>35</v>
      </c>
      <c r="D15" s="19"/>
    </row>
    <row r="16" spans="1:7">
      <c r="A16" s="1" t="s">
        <v>31</v>
      </c>
      <c r="B16" s="11">
        <f>B2*(LN(B5/B6)/B13-B13/2)</f>
        <v>-0.17149147359694039</v>
      </c>
      <c r="C16" s="30" t="s">
        <v>36</v>
      </c>
      <c r="D16" s="19"/>
    </row>
    <row r="17" spans="1:7">
      <c r="A17" s="1" t="s">
        <v>32</v>
      </c>
      <c r="B17" s="11">
        <f>NORMDIST(B15,0,1,TRUE)</f>
        <v>0.43841170758275849</v>
      </c>
      <c r="C17" s="29" t="s">
        <v>24</v>
      </c>
      <c r="D17" s="18"/>
    </row>
    <row r="18" spans="1:7">
      <c r="A18" s="1" t="s">
        <v>33</v>
      </c>
      <c r="B18" s="11">
        <f>NORMDIST(B16,0,1,TRUE)</f>
        <v>0.43191866710855242</v>
      </c>
      <c r="C18" s="29" t="s">
        <v>25</v>
      </c>
      <c r="D18" s="18"/>
    </row>
    <row r="19" spans="1:7">
      <c r="A19" s="1" t="s">
        <v>34</v>
      </c>
      <c r="B19" s="11">
        <f>NORMDIST(B15,0,1,0)</f>
        <v>0.39417881764805973</v>
      </c>
      <c r="C19" s="29" t="s">
        <v>26</v>
      </c>
      <c r="D19" s="18"/>
    </row>
    <row r="20" spans="1:7">
      <c r="A20" s="1" t="s">
        <v>41</v>
      </c>
      <c r="B20" s="11">
        <f>B2*(B5*B17-B6*B18)</f>
        <v>0.57127346675400759</v>
      </c>
      <c r="C20" s="29" t="s">
        <v>42</v>
      </c>
      <c r="D20" s="18"/>
    </row>
    <row r="21" spans="1:7">
      <c r="A21" s="12" t="s">
        <v>43</v>
      </c>
      <c r="B21" s="22">
        <f>B12*B20</f>
        <v>0.56830843743718684</v>
      </c>
      <c r="C21" s="29" t="s">
        <v>44</v>
      </c>
      <c r="D21" s="18"/>
      <c r="E21" s="42" t="s">
        <v>50</v>
      </c>
    </row>
    <row r="22" spans="1:7">
      <c r="A22" s="21" t="s">
        <v>20</v>
      </c>
      <c r="B22" s="23">
        <f>B2*B12*B17</f>
        <v>0.43613625871024841</v>
      </c>
      <c r="C22" s="29" t="s">
        <v>37</v>
      </c>
      <c r="D22" s="13"/>
    </row>
    <row r="23" spans="1:7">
      <c r="A23" s="21" t="s">
        <v>21</v>
      </c>
      <c r="B23" s="23">
        <f>B12*B19/(B5*B13)</f>
        <v>0.22175054900502122</v>
      </c>
      <c r="C23" s="29" t="s">
        <v>27</v>
      </c>
      <c r="D23" s="31"/>
      <c r="E23" s="32" t="s">
        <v>45</v>
      </c>
      <c r="F23" s="33">
        <f>B5*B19*B7/(2*B11^0.5)</f>
        <v>3.5336398159822693</v>
      </c>
      <c r="G23" s="29" t="s">
        <v>28</v>
      </c>
    </row>
    <row r="24" spans="1:7" ht="12.75" customHeight="1">
      <c r="A24" s="21" t="s">
        <v>22</v>
      </c>
      <c r="B24" s="23">
        <f>B12*B5*B11^0.5*B19</f>
        <v>13.203140500698733</v>
      </c>
      <c r="C24" s="29" t="s">
        <v>29</v>
      </c>
      <c r="D24" s="13"/>
      <c r="E24" s="32" t="s">
        <v>46</v>
      </c>
      <c r="F24" s="33">
        <f>B2*-B8*B5*B17</f>
        <v>-2.4798534923455184</v>
      </c>
      <c r="G24" s="29" t="s">
        <v>38</v>
      </c>
    </row>
    <row r="25" spans="1:7">
      <c r="A25" s="21" t="s">
        <v>23</v>
      </c>
      <c r="B25" s="23">
        <f>-B12*SUM(F23:F25)/365</f>
        <v>-9.5488096705796492E-3</v>
      </c>
      <c r="C25" s="29" t="s">
        <v>48</v>
      </c>
      <c r="D25" s="13"/>
      <c r="E25" s="32" t="s">
        <v>47</v>
      </c>
      <c r="F25" s="33">
        <f>B2*B8*B6*B18</f>
        <v>2.449713104239577</v>
      </c>
      <c r="G25" s="29" t="s">
        <v>39</v>
      </c>
    </row>
    <row r="29" spans="1:7">
      <c r="A29" s="2"/>
      <c r="B29" s="9"/>
      <c r="C29" s="9"/>
      <c r="D29" s="9"/>
    </row>
    <row r="30" spans="1:7">
      <c r="C30" s="9"/>
      <c r="D30" s="9"/>
    </row>
    <row r="37" spans="2:2">
      <c r="B37" s="1" t="s">
        <v>3</v>
      </c>
    </row>
  </sheetData>
  <mergeCells count="3">
    <mergeCell ref="A1:B1"/>
    <mergeCell ref="E1:F1"/>
    <mergeCell ref="E8:F8"/>
  </mergeCells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76E5-3DAA-4F2B-80BC-C2D52D38D533}">
  <sheetPr codeName="Sheet1"/>
  <dimension ref="A1:C25"/>
  <sheetViews>
    <sheetView zoomScaleNormal="100" workbookViewId="0">
      <selection activeCell="B13" sqref="B13"/>
    </sheetView>
  </sheetViews>
  <sheetFormatPr defaultRowHeight="13"/>
  <cols>
    <col min="1" max="1" width="23.08984375" style="1" bestFit="1" customWidth="1"/>
    <col min="2" max="2" width="10.1796875" style="1" bestFit="1" customWidth="1"/>
    <col min="3" max="3" width="17.36328125" style="1" customWidth="1"/>
    <col min="4" max="16384" width="8.7265625" style="1"/>
  </cols>
  <sheetData>
    <row r="1" spans="1:3" ht="47.5" customHeight="1">
      <c r="A1" s="43" t="s">
        <v>51</v>
      </c>
      <c r="B1" s="43"/>
      <c r="C1" s="44" t="s">
        <v>52</v>
      </c>
    </row>
    <row r="2" spans="1:3">
      <c r="A2" s="1" t="s">
        <v>53</v>
      </c>
      <c r="B2" s="45">
        <v>100</v>
      </c>
      <c r="C2" s="46"/>
    </row>
    <row r="3" spans="1:3">
      <c r="A3" s="1" t="s">
        <v>0</v>
      </c>
      <c r="B3" s="45">
        <v>110</v>
      </c>
      <c r="C3" s="47"/>
    </row>
    <row r="4" spans="1:3">
      <c r="A4" s="1" t="s">
        <v>54</v>
      </c>
      <c r="B4" s="1">
        <f>8*7</f>
        <v>56</v>
      </c>
      <c r="C4" s="46" t="s">
        <v>55</v>
      </c>
    </row>
    <row r="5" spans="1:3">
      <c r="A5" s="1" t="s">
        <v>56</v>
      </c>
      <c r="B5" s="48">
        <f>B4/365</f>
        <v>0.15342465753424658</v>
      </c>
      <c r="C5" s="49" t="s">
        <v>57</v>
      </c>
    </row>
    <row r="6" spans="1:3">
      <c r="A6" s="1" t="s">
        <v>58</v>
      </c>
      <c r="B6" s="50">
        <v>1E-3</v>
      </c>
      <c r="C6" s="38" t="s">
        <v>1</v>
      </c>
    </row>
    <row r="7" spans="1:3">
      <c r="A7" s="1" t="s">
        <v>59</v>
      </c>
      <c r="B7" s="51">
        <f>EXP(-B6*B5)</f>
        <v>0.9998465871114266</v>
      </c>
      <c r="C7" s="49" t="s">
        <v>60</v>
      </c>
    </row>
    <row r="8" spans="1:3">
      <c r="A8" s="1" t="s">
        <v>2</v>
      </c>
      <c r="B8" s="50">
        <v>0.3</v>
      </c>
      <c r="C8" s="52"/>
    </row>
    <row r="9" spans="1:3">
      <c r="A9" s="2" t="s">
        <v>61</v>
      </c>
      <c r="B9" s="10">
        <f>(LN(B2/B3)+(B8^2/2)*B5)/(B8*B5^0.5)</f>
        <v>-0.75233843603640616</v>
      </c>
      <c r="C9" s="53"/>
    </row>
    <row r="10" spans="1:3">
      <c r="A10" s="1" t="s">
        <v>62</v>
      </c>
      <c r="B10" s="54">
        <f>B9-B8*B5^0.5</f>
        <v>-0.869846815218838</v>
      </c>
      <c r="C10" s="49"/>
    </row>
    <row r="11" spans="1:3">
      <c r="A11" s="1" t="s">
        <v>63</v>
      </c>
      <c r="B11" s="55">
        <f>NORMSDIST(B9)</f>
        <v>0.22592377954797557</v>
      </c>
      <c r="C11" s="49" t="s">
        <v>64</v>
      </c>
    </row>
    <row r="12" spans="1:3">
      <c r="A12" s="1" t="s">
        <v>65</v>
      </c>
      <c r="B12" s="55">
        <f>NORMSDIST(B10)</f>
        <v>0.19219206178115297</v>
      </c>
      <c r="C12" s="49" t="s">
        <v>66</v>
      </c>
    </row>
    <row r="13" spans="1:3">
      <c r="A13" s="2" t="s">
        <v>67</v>
      </c>
      <c r="B13" s="56">
        <f>B2*B11-B7*B3*B12</f>
        <v>1.4544944802001893</v>
      </c>
      <c r="C13" s="53" t="s">
        <v>68</v>
      </c>
    </row>
    <row r="15" spans="1:3">
      <c r="A15" s="57"/>
      <c r="C15" s="53"/>
    </row>
    <row r="16" spans="1:3">
      <c r="A16" s="57"/>
      <c r="C16" s="53"/>
    </row>
    <row r="25" spans="2:2">
      <c r="B25" s="1" t="s">
        <v>3</v>
      </c>
    </row>
  </sheetData>
  <mergeCells count="1">
    <mergeCell ref="A1:B1"/>
  </mergeCells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5332-C451-4195-A066-A2FC7EAABEE7}">
  <sheetPr codeName="Sheet2"/>
  <dimension ref="A1:U31"/>
  <sheetViews>
    <sheetView workbookViewId="0">
      <selection activeCell="K10" sqref="K10"/>
    </sheetView>
  </sheetViews>
  <sheetFormatPr defaultColWidth="8" defaultRowHeight="13"/>
  <cols>
    <col min="1" max="1" width="7.453125" style="60" customWidth="1"/>
    <col min="2" max="3" width="6.26953125" style="60" customWidth="1"/>
    <col min="4" max="4" width="6.1796875" style="60" bestFit="1" customWidth="1"/>
    <col min="5" max="5" width="7.1796875" style="60" customWidth="1"/>
    <col min="6" max="9" width="6.26953125" style="60" customWidth="1"/>
    <col min="10" max="16384" width="8" style="60"/>
  </cols>
  <sheetData>
    <row r="1" spans="1:21">
      <c r="A1" s="58" t="s">
        <v>69</v>
      </c>
      <c r="B1" s="59"/>
      <c r="C1" s="59"/>
      <c r="D1" s="59"/>
      <c r="E1" s="59"/>
      <c r="F1" s="59"/>
    </row>
    <row r="3" spans="1:21">
      <c r="G3" s="61"/>
    </row>
    <row r="4" spans="1:21" ht="15.5">
      <c r="A4" s="60" t="s">
        <v>70</v>
      </c>
      <c r="E4" s="62" t="s">
        <v>71</v>
      </c>
    </row>
    <row r="5" spans="1:21">
      <c r="A5" s="63" t="s">
        <v>72</v>
      </c>
      <c r="B5" s="63" t="s">
        <v>73</v>
      </c>
      <c r="C5" s="63" t="s">
        <v>74</v>
      </c>
      <c r="D5" s="63" t="s">
        <v>75</v>
      </c>
      <c r="E5" s="63" t="s">
        <v>76</v>
      </c>
      <c r="F5" s="63" t="s">
        <v>77</v>
      </c>
      <c r="H5" s="64" t="s">
        <v>78</v>
      </c>
      <c r="I5" s="64"/>
    </row>
    <row r="6" spans="1:21">
      <c r="A6" s="62">
        <v>100</v>
      </c>
      <c r="B6" s="62">
        <v>110</v>
      </c>
      <c r="C6" s="65">
        <f>0.1%</f>
        <v>1E-3</v>
      </c>
      <c r="D6" s="66">
        <v>0.3</v>
      </c>
      <c r="E6" s="65">
        <f>(C6-0.5*D6^2)*(1/52)</f>
        <v>-8.461538461538462E-4</v>
      </c>
      <c r="F6" s="62">
        <f>D6*(1/52)^0.5</f>
        <v>4.1602514716892185E-2</v>
      </c>
      <c r="H6" s="67">
        <f>EXP(-C6*8/52)</f>
        <v>0.99984616567986651</v>
      </c>
      <c r="I6" s="67"/>
      <c r="J6" s="61" t="s">
        <v>79</v>
      </c>
    </row>
    <row r="7" spans="1:21">
      <c r="E7" s="68" t="s">
        <v>80</v>
      </c>
      <c r="F7" s="61" t="s">
        <v>81</v>
      </c>
    </row>
    <row r="8" spans="1:21" ht="13.5" thickBot="1">
      <c r="E8" s="69"/>
      <c r="I8" s="70"/>
    </row>
    <row r="9" spans="1:21">
      <c r="J9" s="71" t="s">
        <v>82</v>
      </c>
      <c r="K9" s="72" t="s">
        <v>83</v>
      </c>
    </row>
    <row r="10" spans="1:21" ht="13.5" thickBot="1">
      <c r="C10" s="73" t="s">
        <v>84</v>
      </c>
      <c r="D10" s="73"/>
      <c r="E10" s="73"/>
      <c r="F10" s="73"/>
      <c r="G10" s="73"/>
      <c r="H10" s="73"/>
      <c r="I10" s="73"/>
      <c r="J10" s="74" t="s">
        <v>85</v>
      </c>
      <c r="K10" s="75">
        <f ca="1">AVERAGE(K12:K31)*H6</f>
        <v>0.69274205176683046</v>
      </c>
      <c r="L10" s="61" t="s">
        <v>86</v>
      </c>
    </row>
    <row r="11" spans="1:21">
      <c r="A11" s="59" t="s">
        <v>87</v>
      </c>
      <c r="B11" s="63" t="s">
        <v>72</v>
      </c>
      <c r="C11" s="63">
        <v>1</v>
      </c>
      <c r="D11" s="63">
        <v>2</v>
      </c>
      <c r="E11" s="63">
        <v>3</v>
      </c>
      <c r="F11" s="63">
        <v>4</v>
      </c>
      <c r="G11" s="63">
        <v>5</v>
      </c>
      <c r="H11" s="63">
        <v>6</v>
      </c>
      <c r="I11" s="63">
        <v>7</v>
      </c>
      <c r="J11" s="76">
        <v>8</v>
      </c>
      <c r="K11" s="59" t="s">
        <v>88</v>
      </c>
      <c r="M11" s="77" t="s">
        <v>89</v>
      </c>
      <c r="N11" s="59"/>
      <c r="O11" s="59"/>
      <c r="P11" s="59"/>
      <c r="Q11" s="59"/>
      <c r="R11" s="59"/>
      <c r="S11" s="59"/>
      <c r="T11" s="59"/>
      <c r="U11" s="59"/>
    </row>
    <row r="12" spans="1:21">
      <c r="A12" s="62" t="s">
        <v>90</v>
      </c>
      <c r="B12" s="62">
        <f t="shared" ref="B12:B31" si="0">$A$6</f>
        <v>100</v>
      </c>
      <c r="C12" s="78">
        <f ca="1">B12*EXP($E$6+$F$6*N12)</f>
        <v>107.36031219259053</v>
      </c>
      <c r="D12" s="78">
        <f ca="1">C12*EXP($E$6+$F$6*O12)</f>
        <v>101.17231023038208</v>
      </c>
      <c r="E12" s="78">
        <f t="shared" ref="E12:J12" ca="1" si="1">D12*EXP($E$6+$F$6*P12)</f>
        <v>105.12933377452939</v>
      </c>
      <c r="F12" s="78">
        <f t="shared" ca="1" si="1"/>
        <v>107.04353315068516</v>
      </c>
      <c r="G12" s="78">
        <f t="shared" ca="1" si="1"/>
        <v>107.99707745864919</v>
      </c>
      <c r="H12" s="78">
        <f t="shared" ca="1" si="1"/>
        <v>108.95444695564468</v>
      </c>
      <c r="I12" s="78">
        <f t="shared" ca="1" si="1"/>
        <v>104.2086118302414</v>
      </c>
      <c r="J12" s="78">
        <f t="shared" ca="1" si="1"/>
        <v>106.10685209985107</v>
      </c>
      <c r="K12" s="79">
        <f t="shared" ref="K12:K31" ca="1" si="2">MAX(J12-$B$6,0)</f>
        <v>0</v>
      </c>
      <c r="M12" s="80" t="s">
        <v>90</v>
      </c>
      <c r="N12" s="81">
        <f ca="1">NORMSINV(RAND())</f>
        <v>1.7274568489530471</v>
      </c>
      <c r="O12" s="81">
        <f t="shared" ref="O12:U21" ca="1" si="3">NORMSINV(RAND())</f>
        <v>-1.4066294450113919</v>
      </c>
      <c r="P12" s="81">
        <f t="shared" ca="1" si="3"/>
        <v>0.94254857987146456</v>
      </c>
      <c r="Q12" s="81">
        <f t="shared" ca="1" si="3"/>
        <v>0.45406906676691994</v>
      </c>
      <c r="R12" s="81">
        <f t="shared" ca="1" si="3"/>
        <v>0.23351272168497572</v>
      </c>
      <c r="S12" s="81">
        <f t="shared" ca="1" si="3"/>
        <v>0.2324826939184402</v>
      </c>
      <c r="T12" s="81">
        <f t="shared" ca="1" si="3"/>
        <v>-1.0501516666181532</v>
      </c>
      <c r="U12" s="81">
        <f t="shared" ca="1" si="3"/>
        <v>0.45425152800101104</v>
      </c>
    </row>
    <row r="13" spans="1:21">
      <c r="A13" s="62" t="s">
        <v>91</v>
      </c>
      <c r="B13" s="62">
        <f t="shared" si="0"/>
        <v>100</v>
      </c>
      <c r="C13" s="78">
        <f ca="1">B13*EXP($E$6+$F$6*N13)</f>
        <v>96.256483598033071</v>
      </c>
      <c r="D13" s="78">
        <f t="shared" ref="D13:J28" ca="1" si="4">C13*EXP($E$6+$F$6*O13)</f>
        <v>98.967888750045773</v>
      </c>
      <c r="E13" s="78">
        <f t="shared" ca="1" si="4"/>
        <v>94.148612502734153</v>
      </c>
      <c r="F13" s="78">
        <f t="shared" ca="1" si="4"/>
        <v>97.125477816671079</v>
      </c>
      <c r="G13" s="78">
        <f t="shared" ca="1" si="4"/>
        <v>88.31125525619052</v>
      </c>
      <c r="H13" s="78">
        <f t="shared" ca="1" si="4"/>
        <v>85.257255461831932</v>
      </c>
      <c r="I13" s="78">
        <f t="shared" ca="1" si="4"/>
        <v>83.15186247792694</v>
      </c>
      <c r="J13" s="78">
        <f t="shared" ca="1" si="4"/>
        <v>82.777680331671888</v>
      </c>
      <c r="K13" s="79">
        <f t="shared" ca="1" si="2"/>
        <v>0</v>
      </c>
      <c r="M13" s="80" t="s">
        <v>91</v>
      </c>
      <c r="N13" s="81">
        <f t="shared" ref="N13:N21" ca="1" si="5">NORMSINV(RAND())</f>
        <v>-0.89676548254739685</v>
      </c>
      <c r="O13" s="81">
        <f t="shared" ca="1" si="3"/>
        <v>0.68806567448948386</v>
      </c>
      <c r="P13" s="81">
        <f t="shared" ca="1" si="3"/>
        <v>-1.17961065684249</v>
      </c>
      <c r="Q13" s="81">
        <f t="shared" ca="1" si="3"/>
        <v>0.76859210177144877</v>
      </c>
      <c r="R13" s="81">
        <f t="shared" ca="1" si="3"/>
        <v>-2.2664497445586229</v>
      </c>
      <c r="S13" s="81">
        <f t="shared" ca="1" si="3"/>
        <v>-0.82562776242234359</v>
      </c>
      <c r="T13" s="81">
        <f t="shared" ca="1" si="3"/>
        <v>-0.58069716496784729</v>
      </c>
      <c r="U13" s="81">
        <f t="shared" ca="1" si="3"/>
        <v>-8.8071279787917331E-2</v>
      </c>
    </row>
    <row r="14" spans="1:21">
      <c r="A14" s="62" t="s">
        <v>92</v>
      </c>
      <c r="B14" s="62">
        <f t="shared" si="0"/>
        <v>100</v>
      </c>
      <c r="C14" s="78">
        <f t="shared" ref="C14:J31" ca="1" si="6">B14*EXP($E$6+$F$6*N14)</f>
        <v>102.50870891066938</v>
      </c>
      <c r="D14" s="78">
        <f t="shared" ca="1" si="4"/>
        <v>105.80528576831745</v>
      </c>
      <c r="E14" s="78">
        <f t="shared" ca="1" si="4"/>
        <v>109.93648880301342</v>
      </c>
      <c r="F14" s="78">
        <f t="shared" ca="1" si="4"/>
        <v>109.51746317251011</v>
      </c>
      <c r="G14" s="78">
        <f t="shared" ca="1" si="4"/>
        <v>110.15922116845815</v>
      </c>
      <c r="H14" s="78">
        <f t="shared" ca="1" si="4"/>
        <v>102.75908112060995</v>
      </c>
      <c r="I14" s="78">
        <f t="shared" ca="1" si="4"/>
        <v>107.96529504720809</v>
      </c>
      <c r="J14" s="78">
        <f t="shared" ca="1" si="4"/>
        <v>110.7446392730177</v>
      </c>
      <c r="K14" s="79">
        <f t="shared" ca="1" si="2"/>
        <v>0.74463927301769672</v>
      </c>
      <c r="M14" s="80" t="s">
        <v>92</v>
      </c>
      <c r="N14" s="81">
        <f t="shared" ca="1" si="5"/>
        <v>0.61591776323419667</v>
      </c>
      <c r="O14" s="81">
        <f t="shared" ca="1" si="3"/>
        <v>0.78117566438633179</v>
      </c>
      <c r="P14" s="81">
        <f t="shared" ca="1" si="3"/>
        <v>0.94101283210462794</v>
      </c>
      <c r="Q14" s="81">
        <f t="shared" ca="1" si="3"/>
        <v>-7.1453688203243507E-2</v>
      </c>
      <c r="R14" s="81">
        <f t="shared" ca="1" si="3"/>
        <v>0.16078164302513898</v>
      </c>
      <c r="S14" s="81">
        <f t="shared" ca="1" si="3"/>
        <v>-1.6511838480618941</v>
      </c>
      <c r="T14" s="81">
        <f t="shared" ca="1" si="3"/>
        <v>1.2083105386455886</v>
      </c>
      <c r="U14" s="81">
        <f t="shared" ca="1" si="3"/>
        <v>0.63129175233665791</v>
      </c>
    </row>
    <row r="15" spans="1:21">
      <c r="A15" s="62" t="s">
        <v>93</v>
      </c>
      <c r="B15" s="62">
        <f t="shared" si="0"/>
        <v>100</v>
      </c>
      <c r="C15" s="78">
        <f t="shared" ca="1" si="6"/>
        <v>110.07581710767182</v>
      </c>
      <c r="D15" s="78">
        <f t="shared" ca="1" si="4"/>
        <v>117.73016052300483</v>
      </c>
      <c r="E15" s="78">
        <f t="shared" ca="1" si="4"/>
        <v>113.09263630981707</v>
      </c>
      <c r="F15" s="78">
        <f t="shared" ca="1" si="4"/>
        <v>114.53828808109891</v>
      </c>
      <c r="G15" s="78">
        <f t="shared" ca="1" si="4"/>
        <v>113.77863184836781</v>
      </c>
      <c r="H15" s="78">
        <f t="shared" ca="1" si="4"/>
        <v>112.87270905334017</v>
      </c>
      <c r="I15" s="78">
        <f t="shared" ca="1" si="4"/>
        <v>104.98469506936527</v>
      </c>
      <c r="J15" s="78">
        <f t="shared" ca="1" si="4"/>
        <v>105.5990332814105</v>
      </c>
      <c r="K15" s="79">
        <f t="shared" ca="1" si="2"/>
        <v>0</v>
      </c>
      <c r="M15" s="80" t="s">
        <v>93</v>
      </c>
      <c r="N15" s="81">
        <f t="shared" ca="1" si="5"/>
        <v>2.3278723250664788</v>
      </c>
      <c r="O15" s="81">
        <f t="shared" ca="1" si="3"/>
        <v>1.6362474739396673</v>
      </c>
      <c r="P15" s="81">
        <f t="shared" ca="1" si="3"/>
        <v>-0.94565926542906142</v>
      </c>
      <c r="Q15" s="81">
        <f t="shared" ca="1" si="3"/>
        <v>0.32565438740381669</v>
      </c>
      <c r="R15" s="81">
        <f t="shared" ca="1" si="3"/>
        <v>-0.13961348964308765</v>
      </c>
      <c r="S15" s="81">
        <f t="shared" ca="1" si="3"/>
        <v>-0.1718133074909057</v>
      </c>
      <c r="T15" s="81">
        <f t="shared" ca="1" si="3"/>
        <v>-1.7210494021133453</v>
      </c>
      <c r="U15" s="81">
        <f t="shared" ca="1" si="3"/>
        <v>0.16058626024404865</v>
      </c>
    </row>
    <row r="16" spans="1:21">
      <c r="A16" s="62" t="s">
        <v>94</v>
      </c>
      <c r="B16" s="62">
        <f t="shared" si="0"/>
        <v>100</v>
      </c>
      <c r="C16" s="78">
        <f t="shared" ca="1" si="6"/>
        <v>88.869904518922738</v>
      </c>
      <c r="D16" s="78">
        <f t="shared" ca="1" si="4"/>
        <v>99.552695867658713</v>
      </c>
      <c r="E16" s="78">
        <f t="shared" ca="1" si="4"/>
        <v>101.42876644306381</v>
      </c>
      <c r="F16" s="78">
        <f t="shared" ca="1" si="4"/>
        <v>104.66447813326333</v>
      </c>
      <c r="G16" s="78">
        <f t="shared" ca="1" si="4"/>
        <v>108.19895566940353</v>
      </c>
      <c r="H16" s="78">
        <f t="shared" ca="1" si="4"/>
        <v>112.30173273742687</v>
      </c>
      <c r="I16" s="78">
        <f t="shared" ca="1" si="4"/>
        <v>115.84249037965682</v>
      </c>
      <c r="J16" s="78">
        <f t="shared" ca="1" si="4"/>
        <v>113.93132144554397</v>
      </c>
      <c r="K16" s="79">
        <f t="shared" ca="1" si="2"/>
        <v>3.931321445543972</v>
      </c>
      <c r="M16" s="80" t="s">
        <v>94</v>
      </c>
      <c r="N16" s="81">
        <f t="shared" ca="1" si="5"/>
        <v>-2.8159470546377943</v>
      </c>
      <c r="O16" s="81">
        <f t="shared" ca="1" si="3"/>
        <v>2.7488653497882654</v>
      </c>
      <c r="P16" s="81">
        <f t="shared" ca="1" si="3"/>
        <v>0.46910113373449858</v>
      </c>
      <c r="Q16" s="81">
        <f t="shared" ca="1" si="3"/>
        <v>0.77517423828932974</v>
      </c>
      <c r="R16" s="81">
        <f t="shared" ca="1" si="3"/>
        <v>0.81865437998290669</v>
      </c>
      <c r="S16" s="81">
        <f t="shared" ca="1" si="3"/>
        <v>0.9149382136978742</v>
      </c>
      <c r="T16" s="81">
        <f t="shared" ca="1" si="3"/>
        <v>0.76649908657024024</v>
      </c>
      <c r="U16" s="81">
        <f t="shared" ca="1" si="3"/>
        <v>-0.37953113455773491</v>
      </c>
    </row>
    <row r="17" spans="1:21">
      <c r="A17" s="62" t="s">
        <v>95</v>
      </c>
      <c r="B17" s="62">
        <f t="shared" si="0"/>
        <v>100</v>
      </c>
      <c r="C17" s="78">
        <f t="shared" ca="1" si="6"/>
        <v>99.099922383106815</v>
      </c>
      <c r="D17" s="78">
        <f t="shared" ca="1" si="4"/>
        <v>95.874472559419885</v>
      </c>
      <c r="E17" s="78">
        <f t="shared" ca="1" si="4"/>
        <v>100.056581401907</v>
      </c>
      <c r="F17" s="78">
        <f t="shared" ca="1" si="4"/>
        <v>102.03953579317775</v>
      </c>
      <c r="G17" s="78">
        <f t="shared" ca="1" si="4"/>
        <v>104.32805307149533</v>
      </c>
      <c r="H17" s="78">
        <f t="shared" ca="1" si="4"/>
        <v>101.95717360287537</v>
      </c>
      <c r="I17" s="78">
        <f t="shared" ca="1" si="4"/>
        <v>99.414537779045617</v>
      </c>
      <c r="J17" s="78">
        <f t="shared" ca="1" si="4"/>
        <v>102.72073473635902</v>
      </c>
      <c r="K17" s="79">
        <f t="shared" ca="1" si="2"/>
        <v>0</v>
      </c>
      <c r="M17" s="80" t="s">
        <v>95</v>
      </c>
      <c r="N17" s="81">
        <f t="shared" ca="1" si="5"/>
        <v>-0.19699227510559994</v>
      </c>
      <c r="O17" s="81">
        <f t="shared" ca="1" si="3"/>
        <v>-0.77501915820768041</v>
      </c>
      <c r="P17" s="81">
        <f t="shared" ca="1" si="3"/>
        <v>1.0466250850662648</v>
      </c>
      <c r="Q17" s="81">
        <f t="shared" ca="1" si="3"/>
        <v>0.49205337683800859</v>
      </c>
      <c r="R17" s="81">
        <f t="shared" ca="1" si="3"/>
        <v>0.55347858310469233</v>
      </c>
      <c r="S17" s="81">
        <f t="shared" ca="1" si="3"/>
        <v>-0.53221010509475797</v>
      </c>
      <c r="T17" s="81">
        <f t="shared" ca="1" si="3"/>
        <v>-0.58670362852850855</v>
      </c>
      <c r="U17" s="81">
        <f t="shared" ca="1" si="3"/>
        <v>0.80672499023665523</v>
      </c>
    </row>
    <row r="18" spans="1:21">
      <c r="A18" s="62" t="s">
        <v>96</v>
      </c>
      <c r="B18" s="62">
        <f t="shared" si="0"/>
        <v>100</v>
      </c>
      <c r="C18" s="78">
        <f t="shared" ca="1" si="6"/>
        <v>93.334281692596292</v>
      </c>
      <c r="D18" s="78">
        <f t="shared" ca="1" si="4"/>
        <v>95.013292575860604</v>
      </c>
      <c r="E18" s="78">
        <f t="shared" ca="1" si="4"/>
        <v>87.291515605551268</v>
      </c>
      <c r="F18" s="78">
        <f t="shared" ca="1" si="4"/>
        <v>93.616258975461463</v>
      </c>
      <c r="G18" s="78">
        <f t="shared" ca="1" si="4"/>
        <v>99.182287595757231</v>
      </c>
      <c r="H18" s="78">
        <f t="shared" ca="1" si="4"/>
        <v>97.123224848501224</v>
      </c>
      <c r="I18" s="78">
        <f t="shared" ca="1" si="4"/>
        <v>98.747472172066338</v>
      </c>
      <c r="J18" s="78">
        <f t="shared" ca="1" si="4"/>
        <v>96.482816104887476</v>
      </c>
      <c r="K18" s="79">
        <f t="shared" ca="1" si="2"/>
        <v>0</v>
      </c>
      <c r="M18" s="80" t="s">
        <v>96</v>
      </c>
      <c r="N18" s="81">
        <f t="shared" ca="1" si="5"/>
        <v>-1.6377989927770178</v>
      </c>
      <c r="O18" s="81">
        <f t="shared" ca="1" si="3"/>
        <v>0.44890272127002495</v>
      </c>
      <c r="P18" s="81">
        <f t="shared" ca="1" si="3"/>
        <v>-2.0171227368041182</v>
      </c>
      <c r="Q18" s="81">
        <f t="shared" ca="1" si="3"/>
        <v>1.7017470759935098</v>
      </c>
      <c r="R18" s="81">
        <f t="shared" ca="1" si="3"/>
        <v>1.4086053386491113</v>
      </c>
      <c r="S18" s="81">
        <f t="shared" ca="1" si="3"/>
        <v>-0.48393133526873527</v>
      </c>
      <c r="T18" s="81">
        <f t="shared" ca="1" si="3"/>
        <v>0.4189993710267948</v>
      </c>
      <c r="U18" s="81">
        <f t="shared" ca="1" si="3"/>
        <v>-0.53734084262963866</v>
      </c>
    </row>
    <row r="19" spans="1:21">
      <c r="A19" s="62" t="s">
        <v>97</v>
      </c>
      <c r="B19" s="62">
        <f t="shared" si="0"/>
        <v>100</v>
      </c>
      <c r="C19" s="78">
        <f t="shared" ca="1" si="6"/>
        <v>94.909416044606658</v>
      </c>
      <c r="D19" s="78">
        <f t="shared" ca="1" si="4"/>
        <v>93.920172727134855</v>
      </c>
      <c r="E19" s="78">
        <f t="shared" ca="1" si="4"/>
        <v>94.380668643067096</v>
      </c>
      <c r="F19" s="78">
        <f t="shared" ca="1" si="4"/>
        <v>101.59170452253942</v>
      </c>
      <c r="G19" s="78">
        <f t="shared" ca="1" si="4"/>
        <v>99.873609984893164</v>
      </c>
      <c r="H19" s="78">
        <f t="shared" ca="1" si="4"/>
        <v>96.768543106440404</v>
      </c>
      <c r="I19" s="78">
        <f t="shared" ca="1" si="4"/>
        <v>97.83068884122207</v>
      </c>
      <c r="J19" s="78">
        <f t="shared" ca="1" si="4"/>
        <v>97.924854234977033</v>
      </c>
      <c r="K19" s="79">
        <f t="shared" ca="1" si="2"/>
        <v>0</v>
      </c>
      <c r="M19" s="80" t="s">
        <v>97</v>
      </c>
      <c r="N19" s="81">
        <f t="shared" ca="1" si="5"/>
        <v>-1.2355289360758603</v>
      </c>
      <c r="O19" s="81">
        <f t="shared" ca="1" si="3"/>
        <v>-0.23151418728164741</v>
      </c>
      <c r="P19" s="81">
        <f t="shared" ca="1" si="3"/>
        <v>0.13790583517999899</v>
      </c>
      <c r="Q19" s="81">
        <f t="shared" ca="1" si="3"/>
        <v>1.7900784821843332</v>
      </c>
      <c r="R19" s="81">
        <f t="shared" ca="1" si="3"/>
        <v>-0.38964575178542304</v>
      </c>
      <c r="S19" s="81">
        <f t="shared" ca="1" si="3"/>
        <v>-0.73883416048900874</v>
      </c>
      <c r="T19" s="81">
        <f t="shared" ca="1" si="3"/>
        <v>0.28273531099745774</v>
      </c>
      <c r="U19" s="81">
        <f t="shared" ca="1" si="3"/>
        <v>4.3464324714936643E-2</v>
      </c>
    </row>
    <row r="20" spans="1:21">
      <c r="A20" s="62" t="s">
        <v>98</v>
      </c>
      <c r="B20" s="62">
        <f t="shared" si="0"/>
        <v>100</v>
      </c>
      <c r="C20" s="78">
        <f t="shared" ca="1" si="6"/>
        <v>102.64754801334557</v>
      </c>
      <c r="D20" s="78">
        <f t="shared" ca="1" si="4"/>
        <v>103.89072945641063</v>
      </c>
      <c r="E20" s="78">
        <f t="shared" ca="1" si="4"/>
        <v>105.20124464282294</v>
      </c>
      <c r="F20" s="78">
        <f t="shared" ca="1" si="4"/>
        <v>114.67295920694069</v>
      </c>
      <c r="G20" s="78">
        <f t="shared" ca="1" si="4"/>
        <v>112.19133114591989</v>
      </c>
      <c r="H20" s="78">
        <f t="shared" ca="1" si="4"/>
        <v>109.85322977188268</v>
      </c>
      <c r="I20" s="78">
        <f t="shared" ca="1" si="4"/>
        <v>100.93747954635135</v>
      </c>
      <c r="J20" s="78">
        <f t="shared" ca="1" si="4"/>
        <v>96.144434091494858</v>
      </c>
      <c r="K20" s="79">
        <f t="shared" ca="1" si="2"/>
        <v>0</v>
      </c>
      <c r="M20" s="80" t="s">
        <v>98</v>
      </c>
      <c r="N20" s="81">
        <f t="shared" ca="1" si="5"/>
        <v>0.64845176683812622</v>
      </c>
      <c r="O20" s="81">
        <f t="shared" ca="1" si="3"/>
        <v>0.30970642296674461</v>
      </c>
      <c r="P20" s="81">
        <f t="shared" ca="1" si="3"/>
        <v>0.32165403673618392</v>
      </c>
      <c r="Q20" s="81">
        <f t="shared" ca="1" si="3"/>
        <v>2.0925481789679088</v>
      </c>
      <c r="R20" s="81">
        <f t="shared" ca="1" si="3"/>
        <v>-0.505555077900669</v>
      </c>
      <c r="S20" s="81">
        <f t="shared" ca="1" si="3"/>
        <v>-0.48589307225492667</v>
      </c>
      <c r="T20" s="81">
        <f t="shared" ca="1" si="3"/>
        <v>-2.0142468790178318</v>
      </c>
      <c r="U20" s="81">
        <f t="shared" ca="1" si="3"/>
        <v>-1.1490549228592906</v>
      </c>
    </row>
    <row r="21" spans="1:21">
      <c r="A21" s="62" t="s">
        <v>99</v>
      </c>
      <c r="B21" s="62">
        <f t="shared" si="0"/>
        <v>100</v>
      </c>
      <c r="C21" s="78">
        <f t="shared" ca="1" si="6"/>
        <v>103.9642372431083</v>
      </c>
      <c r="D21" s="78">
        <f t="shared" ca="1" si="4"/>
        <v>97.815136177264407</v>
      </c>
      <c r="E21" s="78">
        <f t="shared" ca="1" si="4"/>
        <v>102.87664914770407</v>
      </c>
      <c r="F21" s="78">
        <f t="shared" ca="1" si="4"/>
        <v>105.62772772093169</v>
      </c>
      <c r="G21" s="78">
        <f t="shared" ca="1" si="4"/>
        <v>98.889048327145645</v>
      </c>
      <c r="H21" s="78">
        <f t="shared" ca="1" si="4"/>
        <v>90.697169609090466</v>
      </c>
      <c r="I21" s="78">
        <f t="shared" ca="1" si="4"/>
        <v>93.148004992161901</v>
      </c>
      <c r="J21" s="78">
        <f t="shared" ca="1" si="4"/>
        <v>90.357110326057452</v>
      </c>
      <c r="K21" s="79">
        <f t="shared" ca="1" si="2"/>
        <v>0</v>
      </c>
      <c r="M21" s="80" t="s">
        <v>99</v>
      </c>
      <c r="N21" s="81">
        <f t="shared" ca="1" si="5"/>
        <v>0.95482053115227683</v>
      </c>
      <c r="O21" s="81">
        <f t="shared" ca="1" si="3"/>
        <v>-1.4451405690213963</v>
      </c>
      <c r="P21" s="81">
        <f t="shared" ca="1" si="3"/>
        <v>1.2330387227070783</v>
      </c>
      <c r="Q21" s="81">
        <f t="shared" ca="1" si="3"/>
        <v>0.65468096066174886</v>
      </c>
      <c r="R21" s="81">
        <f t="shared" ca="1" si="3"/>
        <v>-1.5642385762448916</v>
      </c>
      <c r="S21" s="81">
        <f t="shared" ca="1" si="3"/>
        <v>-2.0581975359419156</v>
      </c>
      <c r="T21" s="81">
        <f t="shared" ca="1" si="3"/>
        <v>0.66125048300617384</v>
      </c>
      <c r="U21" s="81">
        <f t="shared" ca="1" si="3"/>
        <v>-0.71086602580354041</v>
      </c>
    </row>
    <row r="22" spans="1:21">
      <c r="A22" s="62" t="s">
        <v>100</v>
      </c>
      <c r="B22" s="62">
        <f t="shared" si="0"/>
        <v>100</v>
      </c>
      <c r="C22" s="78">
        <f t="shared" ca="1" si="6"/>
        <v>92.986794008393986</v>
      </c>
      <c r="D22" s="78">
        <f t="shared" ca="1" si="4"/>
        <v>98.507299447835365</v>
      </c>
      <c r="E22" s="78">
        <f t="shared" ca="1" si="4"/>
        <v>94.639232171754358</v>
      </c>
      <c r="F22" s="78">
        <f t="shared" ca="1" si="4"/>
        <v>92.789690290339749</v>
      </c>
      <c r="G22" s="78">
        <f t="shared" ca="1" si="4"/>
        <v>91.814906748462931</v>
      </c>
      <c r="H22" s="78">
        <f t="shared" ca="1" si="4"/>
        <v>90.854256780274625</v>
      </c>
      <c r="I22" s="78">
        <f t="shared" ca="1" si="4"/>
        <v>94.831292561336255</v>
      </c>
      <c r="J22" s="78">
        <f t="shared" ca="1" si="4"/>
        <v>92.977291449781291</v>
      </c>
      <c r="K22" s="79">
        <f t="shared" ca="1" si="2"/>
        <v>0</v>
      </c>
      <c r="M22" s="82" t="s">
        <v>100</v>
      </c>
      <c r="N22" s="83">
        <f ca="1">-N12</f>
        <v>-1.7274568489530471</v>
      </c>
      <c r="O22" s="83">
        <f t="shared" ref="O22:U22" ca="1" si="7">-O12</f>
        <v>1.4066294450113919</v>
      </c>
      <c r="P22" s="83">
        <f t="shared" ca="1" si="7"/>
        <v>-0.94254857987146456</v>
      </c>
      <c r="Q22" s="83">
        <f t="shared" ca="1" si="7"/>
        <v>-0.45406906676691994</v>
      </c>
      <c r="R22" s="83">
        <f t="shared" ca="1" si="7"/>
        <v>-0.23351272168497572</v>
      </c>
      <c r="S22" s="83">
        <f t="shared" ca="1" si="7"/>
        <v>-0.2324826939184402</v>
      </c>
      <c r="T22" s="83">
        <f t="shared" ca="1" si="7"/>
        <v>1.0501516666181532</v>
      </c>
      <c r="U22" s="83">
        <f t="shared" ca="1" si="7"/>
        <v>-0.45425152800101104</v>
      </c>
    </row>
    <row r="23" spans="1:21">
      <c r="A23" s="62" t="s">
        <v>101</v>
      </c>
      <c r="B23" s="62">
        <f t="shared" si="0"/>
        <v>100</v>
      </c>
      <c r="C23" s="78">
        <f t="shared" ca="1" si="6"/>
        <v>103.71344205984772</v>
      </c>
      <c r="D23" s="78">
        <f t="shared" ca="1" si="4"/>
        <v>100.70146171213473</v>
      </c>
      <c r="E23" s="78">
        <f t="shared" ca="1" si="4"/>
        <v>105.67717529411924</v>
      </c>
      <c r="F23" s="78">
        <f t="shared" ca="1" si="4"/>
        <v>102.26499278988283</v>
      </c>
      <c r="G23" s="78">
        <f t="shared" ca="1" si="4"/>
        <v>112.28174219930271</v>
      </c>
      <c r="H23" s="78">
        <f t="shared" ca="1" si="4"/>
        <v>116.10713067690213</v>
      </c>
      <c r="I23" s="78">
        <f t="shared" ca="1" si="4"/>
        <v>118.84565253733952</v>
      </c>
      <c r="J23" s="78">
        <f t="shared" ca="1" si="4"/>
        <v>119.1810119947514</v>
      </c>
      <c r="K23" s="79">
        <f t="shared" ca="1" si="2"/>
        <v>9.1810119947514011</v>
      </c>
      <c r="M23" s="82" t="s">
        <v>101</v>
      </c>
      <c r="N23" s="83">
        <f t="shared" ref="N23:U31" ca="1" si="8">-N13</f>
        <v>0.89676548254739685</v>
      </c>
      <c r="O23" s="83">
        <f t="shared" ca="1" si="8"/>
        <v>-0.68806567448948386</v>
      </c>
      <c r="P23" s="83">
        <f t="shared" ca="1" si="8"/>
        <v>1.17961065684249</v>
      </c>
      <c r="Q23" s="83">
        <f t="shared" ca="1" si="8"/>
        <v>-0.76859210177144877</v>
      </c>
      <c r="R23" s="83">
        <f t="shared" ca="1" si="8"/>
        <v>2.2664497445586229</v>
      </c>
      <c r="S23" s="83">
        <f t="shared" ca="1" si="8"/>
        <v>0.82562776242234359</v>
      </c>
      <c r="T23" s="83">
        <f t="shared" ca="1" si="8"/>
        <v>0.58069716496784729</v>
      </c>
      <c r="U23" s="83">
        <f t="shared" ca="1" si="8"/>
        <v>8.8071279787917331E-2</v>
      </c>
    </row>
    <row r="24" spans="1:21">
      <c r="A24" s="62" t="s">
        <v>102</v>
      </c>
      <c r="B24" s="62">
        <f t="shared" si="0"/>
        <v>100</v>
      </c>
      <c r="C24" s="78">
        <f t="shared" ca="1" si="6"/>
        <v>97.387737496811042</v>
      </c>
      <c r="D24" s="78">
        <f t="shared" ca="1" si="4"/>
        <v>94.19388631978768</v>
      </c>
      <c r="E24" s="78">
        <f t="shared" ca="1" si="4"/>
        <v>90.500975021833028</v>
      </c>
      <c r="F24" s="78">
        <f t="shared" ca="1" si="4"/>
        <v>90.693630046837598</v>
      </c>
      <c r="G24" s="78">
        <f t="shared" ca="1" si="4"/>
        <v>90.012815003557535</v>
      </c>
      <c r="H24" s="78">
        <f t="shared" ca="1" si="4"/>
        <v>96.331878342142502</v>
      </c>
      <c r="I24" s="78">
        <f t="shared" ca="1" si="4"/>
        <v>91.531610704748346</v>
      </c>
      <c r="J24" s="78">
        <f t="shared" ca="1" si="4"/>
        <v>89.083568985992159</v>
      </c>
      <c r="K24" s="79">
        <f t="shared" ca="1" si="2"/>
        <v>0</v>
      </c>
      <c r="M24" s="82" t="s">
        <v>102</v>
      </c>
      <c r="N24" s="83">
        <f t="shared" ca="1" si="8"/>
        <v>-0.61591776323419667</v>
      </c>
      <c r="O24" s="83">
        <f t="shared" ca="1" si="8"/>
        <v>-0.78117566438633179</v>
      </c>
      <c r="P24" s="83">
        <f t="shared" ca="1" si="8"/>
        <v>-0.94101283210462794</v>
      </c>
      <c r="Q24" s="83">
        <f t="shared" ca="1" si="8"/>
        <v>7.1453688203243507E-2</v>
      </c>
      <c r="R24" s="83">
        <f t="shared" ca="1" si="8"/>
        <v>-0.16078164302513898</v>
      </c>
      <c r="S24" s="83">
        <f t="shared" ca="1" si="8"/>
        <v>1.6511838480618941</v>
      </c>
      <c r="T24" s="83">
        <f t="shared" ca="1" si="8"/>
        <v>-1.2083105386455886</v>
      </c>
      <c r="U24" s="83">
        <f t="shared" ca="1" si="8"/>
        <v>-0.63129175233665791</v>
      </c>
    </row>
    <row r="25" spans="1:21">
      <c r="A25" s="62" t="s">
        <v>103</v>
      </c>
      <c r="B25" s="62">
        <f t="shared" si="0"/>
        <v>100</v>
      </c>
      <c r="C25" s="78">
        <f t="shared" ca="1" si="6"/>
        <v>90.692865125536329</v>
      </c>
      <c r="D25" s="78">
        <f t="shared" ca="1" si="4"/>
        <v>84.652998139301076</v>
      </c>
      <c r="E25" s="78">
        <f t="shared" ca="1" si="4"/>
        <v>87.975307250715176</v>
      </c>
      <c r="F25" s="78">
        <f t="shared" ca="1" si="4"/>
        <v>86.718043852751251</v>
      </c>
      <c r="G25" s="78">
        <f t="shared" ca="1" si="4"/>
        <v>87.149418435502525</v>
      </c>
      <c r="H25" s="78">
        <f t="shared" ca="1" si="4"/>
        <v>87.700343015449363</v>
      </c>
      <c r="I25" s="78">
        <f t="shared" ca="1" si="4"/>
        <v>94.130266791316345</v>
      </c>
      <c r="J25" s="78">
        <f t="shared" ca="1" si="4"/>
        <v>93.424413140374867</v>
      </c>
      <c r="K25" s="79">
        <f t="shared" ca="1" si="2"/>
        <v>0</v>
      </c>
      <c r="M25" s="82" t="s">
        <v>103</v>
      </c>
      <c r="N25" s="83">
        <f t="shared" ca="1" si="8"/>
        <v>-2.3278723250664788</v>
      </c>
      <c r="O25" s="83">
        <f t="shared" ca="1" si="8"/>
        <v>-1.6362474739396673</v>
      </c>
      <c r="P25" s="83">
        <f t="shared" ca="1" si="8"/>
        <v>0.94565926542906142</v>
      </c>
      <c r="Q25" s="83">
        <f t="shared" ca="1" si="8"/>
        <v>-0.32565438740381669</v>
      </c>
      <c r="R25" s="83">
        <f t="shared" ca="1" si="8"/>
        <v>0.13961348964308765</v>
      </c>
      <c r="S25" s="83">
        <f t="shared" ca="1" si="8"/>
        <v>0.1718133074909057</v>
      </c>
      <c r="T25" s="83">
        <f t="shared" ca="1" si="8"/>
        <v>1.7210494021133453</v>
      </c>
      <c r="U25" s="83">
        <f t="shared" ca="1" si="8"/>
        <v>-0.16058626024404865</v>
      </c>
    </row>
    <row r="26" spans="1:21">
      <c r="A26" s="62" t="s">
        <v>104</v>
      </c>
      <c r="B26" s="62">
        <f t="shared" si="0"/>
        <v>100</v>
      </c>
      <c r="C26" s="78">
        <f t="shared" ca="1" si="6"/>
        <v>112.33376797882823</v>
      </c>
      <c r="D26" s="78">
        <f t="shared" ca="1" si="4"/>
        <v>100.10990634489916</v>
      </c>
      <c r="E26" s="78">
        <f t="shared" ca="1" si="4"/>
        <v>98.092087442811732</v>
      </c>
      <c r="F26" s="78">
        <f t="shared" ca="1" si="4"/>
        <v>94.898827814239482</v>
      </c>
      <c r="G26" s="78">
        <f t="shared" ca="1" si="4"/>
        <v>91.643597986929265</v>
      </c>
      <c r="H26" s="78">
        <f t="shared" ca="1" si="4"/>
        <v>88.14623835062082</v>
      </c>
      <c r="I26" s="78">
        <f t="shared" ca="1" si="4"/>
        <v>85.307535460406228</v>
      </c>
      <c r="J26" s="78">
        <f t="shared" ca="1" si="4"/>
        <v>86.591883490284403</v>
      </c>
      <c r="K26" s="79">
        <f t="shared" ca="1" si="2"/>
        <v>0</v>
      </c>
      <c r="M26" s="82" t="s">
        <v>104</v>
      </c>
      <c r="N26" s="83">
        <f t="shared" ca="1" si="8"/>
        <v>2.8159470546377943</v>
      </c>
      <c r="O26" s="83">
        <f t="shared" ca="1" si="8"/>
        <v>-2.7488653497882654</v>
      </c>
      <c r="P26" s="83">
        <f t="shared" ca="1" si="8"/>
        <v>-0.46910113373449858</v>
      </c>
      <c r="Q26" s="83">
        <f t="shared" ca="1" si="8"/>
        <v>-0.77517423828932974</v>
      </c>
      <c r="R26" s="83">
        <f t="shared" ca="1" si="8"/>
        <v>-0.81865437998290669</v>
      </c>
      <c r="S26" s="83">
        <f t="shared" ca="1" si="8"/>
        <v>-0.9149382136978742</v>
      </c>
      <c r="T26" s="83">
        <f t="shared" ca="1" si="8"/>
        <v>-0.76649908657024024</v>
      </c>
      <c r="U26" s="83">
        <f t="shared" ca="1" si="8"/>
        <v>0.37953113455773491</v>
      </c>
    </row>
    <row r="27" spans="1:21">
      <c r="A27" s="62" t="s">
        <v>105</v>
      </c>
      <c r="B27" s="62">
        <f t="shared" si="0"/>
        <v>100</v>
      </c>
      <c r="C27" s="78">
        <f t="shared" ca="1" si="6"/>
        <v>100.7376291974883</v>
      </c>
      <c r="D27" s="78">
        <f t="shared" ca="1" si="4"/>
        <v>103.95062203358472</v>
      </c>
      <c r="E27" s="78">
        <f t="shared" ca="1" si="4"/>
        <v>99.437331235463546</v>
      </c>
      <c r="F27" s="78">
        <f t="shared" ca="1" si="4"/>
        <v>97.340077171341605</v>
      </c>
      <c r="G27" s="78">
        <f t="shared" ca="1" si="4"/>
        <v>95.043866956639278</v>
      </c>
      <c r="H27" s="78">
        <f t="shared" ca="1" si="4"/>
        <v>97.089542121063516</v>
      </c>
      <c r="I27" s="78">
        <f t="shared" ca="1" si="4"/>
        <v>99.404348465092454</v>
      </c>
      <c r="J27" s="78">
        <f t="shared" ca="1" si="4"/>
        <v>96.042223002272692</v>
      </c>
      <c r="K27" s="79">
        <f t="shared" ca="1" si="2"/>
        <v>0</v>
      </c>
      <c r="M27" s="82" t="s">
        <v>105</v>
      </c>
      <c r="N27" s="83">
        <f t="shared" ca="1" si="8"/>
        <v>0.19699227510559994</v>
      </c>
      <c r="O27" s="83">
        <f t="shared" ca="1" si="8"/>
        <v>0.77501915820768041</v>
      </c>
      <c r="P27" s="83">
        <f t="shared" ca="1" si="8"/>
        <v>-1.0466250850662648</v>
      </c>
      <c r="Q27" s="83">
        <f t="shared" ca="1" si="8"/>
        <v>-0.49205337683800859</v>
      </c>
      <c r="R27" s="83">
        <f t="shared" ca="1" si="8"/>
        <v>-0.55347858310469233</v>
      </c>
      <c r="S27" s="83">
        <f t="shared" ca="1" si="8"/>
        <v>0.53221010509475797</v>
      </c>
      <c r="T27" s="83">
        <f t="shared" ca="1" si="8"/>
        <v>0.58670362852850855</v>
      </c>
      <c r="U27" s="83">
        <f t="shared" ca="1" si="8"/>
        <v>-0.80672499023665523</v>
      </c>
    </row>
    <row r="28" spans="1:21">
      <c r="A28" s="62" t="s">
        <v>106</v>
      </c>
      <c r="B28" s="62">
        <f t="shared" si="0"/>
        <v>100</v>
      </c>
      <c r="C28" s="78">
        <f t="shared" ca="1" si="6"/>
        <v>106.96060497266559</v>
      </c>
      <c r="D28" s="78">
        <f t="shared" ca="1" si="4"/>
        <v>104.89280804300424</v>
      </c>
      <c r="E28" s="78">
        <f t="shared" ca="1" si="4"/>
        <v>113.97853912983062</v>
      </c>
      <c r="F28" s="78">
        <f t="shared" ca="1" si="4"/>
        <v>106.09841065363757</v>
      </c>
      <c r="G28" s="78">
        <f t="shared" ca="1" si="4"/>
        <v>99.974923308751869</v>
      </c>
      <c r="H28" s="78">
        <f t="shared" ca="1" si="4"/>
        <v>101.92181444244649</v>
      </c>
      <c r="I28" s="78">
        <f t="shared" ca="1" si="4"/>
        <v>100.07585144726198</v>
      </c>
      <c r="J28" s="78">
        <f t="shared" ca="1" si="4"/>
        <v>102.25165589882629</v>
      </c>
      <c r="K28" s="79">
        <f t="shared" ca="1" si="2"/>
        <v>0</v>
      </c>
      <c r="M28" s="82" t="s">
        <v>106</v>
      </c>
      <c r="N28" s="83">
        <f t="shared" ca="1" si="8"/>
        <v>1.6377989927770178</v>
      </c>
      <c r="O28" s="83">
        <f t="shared" ca="1" si="8"/>
        <v>-0.44890272127002495</v>
      </c>
      <c r="P28" s="83">
        <f t="shared" ca="1" si="8"/>
        <v>2.0171227368041182</v>
      </c>
      <c r="Q28" s="83">
        <f t="shared" ca="1" si="8"/>
        <v>-1.7017470759935098</v>
      </c>
      <c r="R28" s="83">
        <f t="shared" ca="1" si="8"/>
        <v>-1.4086053386491113</v>
      </c>
      <c r="S28" s="83">
        <f t="shared" ca="1" si="8"/>
        <v>0.48393133526873527</v>
      </c>
      <c r="T28" s="83">
        <f t="shared" ca="1" si="8"/>
        <v>-0.4189993710267948</v>
      </c>
      <c r="U28" s="83">
        <f t="shared" ca="1" si="8"/>
        <v>0.53734084262963866</v>
      </c>
    </row>
    <row r="29" spans="1:21">
      <c r="A29" s="62" t="s">
        <v>107</v>
      </c>
      <c r="B29" s="62">
        <f t="shared" si="0"/>
        <v>100</v>
      </c>
      <c r="C29" s="78">
        <f t="shared" ca="1" si="6"/>
        <v>105.18546684385154</v>
      </c>
      <c r="D29" s="78">
        <f t="shared" ca="1" si="6"/>
        <v>106.11363640320657</v>
      </c>
      <c r="E29" s="78">
        <f t="shared" ca="1" si="6"/>
        <v>105.41734414678142</v>
      </c>
      <c r="F29" s="78">
        <f t="shared" ca="1" si="6"/>
        <v>97.769166639310924</v>
      </c>
      <c r="G29" s="78">
        <f t="shared" ca="1" si="6"/>
        <v>99.282899631566877</v>
      </c>
      <c r="H29" s="78">
        <f t="shared" ca="1" si="6"/>
        <v>102.29538425697483</v>
      </c>
      <c r="I29" s="78">
        <f t="shared" ca="1" si="6"/>
        <v>101.01367447103527</v>
      </c>
      <c r="J29" s="78">
        <f t="shared" ca="1" si="6"/>
        <v>100.74590143206868</v>
      </c>
      <c r="K29" s="79">
        <f t="shared" ca="1" si="2"/>
        <v>0</v>
      </c>
      <c r="M29" s="82" t="s">
        <v>107</v>
      </c>
      <c r="N29" s="83">
        <f t="shared" ca="1" si="8"/>
        <v>1.2355289360758603</v>
      </c>
      <c r="O29" s="83">
        <f t="shared" ca="1" si="8"/>
        <v>0.23151418728164741</v>
      </c>
      <c r="P29" s="83">
        <f t="shared" ca="1" si="8"/>
        <v>-0.13790583517999899</v>
      </c>
      <c r="Q29" s="83">
        <f t="shared" ca="1" si="8"/>
        <v>-1.7900784821843332</v>
      </c>
      <c r="R29" s="83">
        <f t="shared" ca="1" si="8"/>
        <v>0.38964575178542304</v>
      </c>
      <c r="S29" s="83">
        <f t="shared" ca="1" si="8"/>
        <v>0.73883416048900874</v>
      </c>
      <c r="T29" s="83">
        <f t="shared" ca="1" si="8"/>
        <v>-0.28273531099745774</v>
      </c>
      <c r="U29" s="83">
        <f t="shared" ca="1" si="8"/>
        <v>-4.3464324714936643E-2</v>
      </c>
    </row>
    <row r="30" spans="1:21">
      <c r="A30" s="62" t="s">
        <v>108</v>
      </c>
      <c r="B30" s="62">
        <f t="shared" si="0"/>
        <v>100</v>
      </c>
      <c r="C30" s="78">
        <f t="shared" ca="1" si="6"/>
        <v>97.256012712854542</v>
      </c>
      <c r="D30" s="78">
        <f t="shared" ca="1" si="6"/>
        <v>95.9297437975451</v>
      </c>
      <c r="E30" s="78">
        <f t="shared" ca="1" si="6"/>
        <v>94.574541023059183</v>
      </c>
      <c r="F30" s="78">
        <f t="shared" ca="1" si="6"/>
        <v>86.616202785099276</v>
      </c>
      <c r="G30" s="78">
        <f t="shared" ca="1" si="6"/>
        <v>88.38242219513063</v>
      </c>
      <c r="H30" s="78">
        <f t="shared" ca="1" si="6"/>
        <v>90.110917281328994</v>
      </c>
      <c r="I30" s="78">
        <f t="shared" ca="1" si="6"/>
        <v>97.904538535126932</v>
      </c>
      <c r="J30" s="78">
        <f t="shared" ca="1" si="6"/>
        <v>102.61153238593361</v>
      </c>
      <c r="K30" s="79">
        <f t="shared" ca="1" si="2"/>
        <v>0</v>
      </c>
      <c r="M30" s="82" t="s">
        <v>108</v>
      </c>
      <c r="N30" s="83">
        <f t="shared" ca="1" si="8"/>
        <v>-0.64845176683812622</v>
      </c>
      <c r="O30" s="83">
        <f t="shared" ca="1" si="8"/>
        <v>-0.30970642296674461</v>
      </c>
      <c r="P30" s="83">
        <f t="shared" ca="1" si="8"/>
        <v>-0.32165403673618392</v>
      </c>
      <c r="Q30" s="83">
        <f t="shared" ca="1" si="8"/>
        <v>-2.0925481789679088</v>
      </c>
      <c r="R30" s="83">
        <f t="shared" ca="1" si="8"/>
        <v>0.505555077900669</v>
      </c>
      <c r="S30" s="83">
        <f t="shared" ca="1" si="8"/>
        <v>0.48589307225492667</v>
      </c>
      <c r="T30" s="83">
        <f t="shared" ca="1" si="8"/>
        <v>2.0142468790178318</v>
      </c>
      <c r="U30" s="83">
        <f t="shared" ca="1" si="8"/>
        <v>1.1490549228592906</v>
      </c>
    </row>
    <row r="31" spans="1:21">
      <c r="A31" s="62" t="s">
        <v>109</v>
      </c>
      <c r="B31" s="62">
        <f t="shared" si="0"/>
        <v>100</v>
      </c>
      <c r="C31" s="78">
        <f t="shared" ca="1" si="6"/>
        <v>96.024281995980829</v>
      </c>
      <c r="D31" s="78">
        <f t="shared" ca="1" si="6"/>
        <v>101.88822966654553</v>
      </c>
      <c r="E31" s="78">
        <f t="shared" ca="1" si="6"/>
        <v>96.711542508201774</v>
      </c>
      <c r="F31" s="78">
        <f t="shared" ca="1" si="6"/>
        <v>94.0334181463937</v>
      </c>
      <c r="G31" s="78">
        <f t="shared" ca="1" si="6"/>
        <v>100.27138256168725</v>
      </c>
      <c r="H31" s="78">
        <f t="shared" ca="1" si="6"/>
        <v>109.14315566545294</v>
      </c>
      <c r="I31" s="78">
        <f t="shared" ca="1" si="6"/>
        <v>106.09177680956132</v>
      </c>
      <c r="J31" s="78">
        <f t="shared" ca="1" si="6"/>
        <v>109.18374521835096</v>
      </c>
      <c r="K31" s="79">
        <f t="shared" ca="1" si="2"/>
        <v>0</v>
      </c>
      <c r="M31" s="82" t="s">
        <v>109</v>
      </c>
      <c r="N31" s="83">
        <f t="shared" ca="1" si="8"/>
        <v>-0.95482053115227683</v>
      </c>
      <c r="O31" s="83">
        <f t="shared" ca="1" si="8"/>
        <v>1.4451405690213963</v>
      </c>
      <c r="P31" s="83">
        <f t="shared" ca="1" si="8"/>
        <v>-1.2330387227070783</v>
      </c>
      <c r="Q31" s="83">
        <f t="shared" ca="1" si="8"/>
        <v>-0.65468096066174886</v>
      </c>
      <c r="R31" s="83">
        <f t="shared" ca="1" si="8"/>
        <v>1.5642385762448916</v>
      </c>
      <c r="S31" s="83">
        <f t="shared" ca="1" si="8"/>
        <v>2.0581975359419156</v>
      </c>
      <c r="T31" s="83">
        <f t="shared" ca="1" si="8"/>
        <v>-0.66125048300617384</v>
      </c>
      <c r="U31" s="83">
        <f t="shared" ca="1" si="8"/>
        <v>0.71086602580354041</v>
      </c>
    </row>
  </sheetData>
  <mergeCells count="2">
    <mergeCell ref="H5:I5"/>
    <mergeCell ref="H6:I6"/>
  </mergeCells>
  <phoneticPr fontId="2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6.1</vt:lpstr>
      <vt:lpstr>5.7old</vt:lpstr>
      <vt:lpstr>5.8old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 O</cp:lastModifiedBy>
  <dcterms:created xsi:type="dcterms:W3CDTF">2022-05-24T11:24:28Z</dcterms:created>
  <dcterms:modified xsi:type="dcterms:W3CDTF">2025-01-03T11:31:33Z</dcterms:modified>
</cp:coreProperties>
</file>