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ython Scripts\1 QuantLib\0.MyBook-QL\"/>
    </mc:Choice>
  </mc:AlternateContent>
  <xr:revisionPtr revIDLastSave="0" documentId="13_ncr:1_{DB2103B7-F67B-40D5-8116-E60B3816ACCC}" xr6:coauthVersionLast="47" xr6:coauthVersionMax="47" xr10:uidLastSave="{00000000-0000-0000-0000-000000000000}"/>
  <bookViews>
    <workbookView xWindow="15750" yWindow="3820" windowWidth="19940" windowHeight="13750" xr2:uid="{AFDE00CF-4133-446F-A2E1-B7755ED3706A}"/>
  </bookViews>
  <sheets>
    <sheet name="10.2" sheetId="61" r:id="rId1"/>
    <sheet name="10.5" sheetId="73" r:id="rId2"/>
    <sheet name="10.7" sheetId="69" r:id="rId3"/>
    <sheet name="Sony" sheetId="71" r:id="rId4"/>
    <sheet name="4.4old" sheetId="54" r:id="rId5"/>
    <sheet name="SonyOLD" sheetId="52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SonyOLD!$C$5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9" l="1"/>
  <c r="G11" i="69" s="1"/>
  <c r="I11" i="69" s="1"/>
  <c r="J9" i="61"/>
  <c r="J10" i="61"/>
  <c r="J11" i="61"/>
  <c r="J8" i="61"/>
  <c r="I9" i="61"/>
  <c r="I10" i="61"/>
  <c r="I11" i="61"/>
  <c r="I8" i="61"/>
  <c r="C2" i="73"/>
  <c r="C12" i="73"/>
  <c r="G11" i="73"/>
  <c r="I11" i="73" s="1"/>
  <c r="F11" i="73"/>
  <c r="D11" i="73"/>
  <c r="C11" i="73"/>
  <c r="B11" i="73"/>
  <c r="G10" i="73"/>
  <c r="I10" i="73" s="1"/>
  <c r="F10" i="73"/>
  <c r="D10" i="73"/>
  <c r="C10" i="73"/>
  <c r="B10" i="73"/>
  <c r="I9" i="73"/>
  <c r="H9" i="73"/>
  <c r="G9" i="73"/>
  <c r="F9" i="73"/>
  <c r="D9" i="73"/>
  <c r="C9" i="73"/>
  <c r="B9" i="73"/>
  <c r="G8" i="73"/>
  <c r="I8" i="73" s="1"/>
  <c r="F8" i="73"/>
  <c r="D8" i="73"/>
  <c r="C8" i="73"/>
  <c r="B8" i="73"/>
  <c r="D7" i="73"/>
  <c r="C7" i="73"/>
  <c r="B2" i="73"/>
  <c r="H7" i="61"/>
  <c r="H9" i="61"/>
  <c r="H10" i="61"/>
  <c r="H11" i="61"/>
  <c r="H8" i="61"/>
  <c r="D9" i="61"/>
  <c r="E10" i="61" s="1"/>
  <c r="D10" i="61"/>
  <c r="E11" i="61" s="1"/>
  <c r="D11" i="61"/>
  <c r="D7" i="61"/>
  <c r="E8" i="61" s="1"/>
  <c r="D8" i="61"/>
  <c r="C9" i="61"/>
  <c r="C10" i="61"/>
  <c r="C11" i="61"/>
  <c r="C7" i="61"/>
  <c r="C8" i="61"/>
  <c r="E29" i="71"/>
  <c r="F29" i="52"/>
  <c r="F27" i="71"/>
  <c r="G27" i="71" s="1"/>
  <c r="E27" i="71"/>
  <c r="B27" i="71"/>
  <c r="F26" i="71"/>
  <c r="G26" i="71" s="1"/>
  <c r="E26" i="71"/>
  <c r="B26" i="71"/>
  <c r="F25" i="71"/>
  <c r="G25" i="71" s="1"/>
  <c r="E25" i="71"/>
  <c r="B25" i="71"/>
  <c r="F24" i="71"/>
  <c r="G24" i="71" s="1"/>
  <c r="E24" i="71"/>
  <c r="B24" i="71"/>
  <c r="F23" i="71"/>
  <c r="G23" i="71" s="1"/>
  <c r="E23" i="71"/>
  <c r="B23" i="71"/>
  <c r="F22" i="71"/>
  <c r="G22" i="71" s="1"/>
  <c r="E22" i="71"/>
  <c r="B22" i="71"/>
  <c r="F21" i="71"/>
  <c r="G21" i="71" s="1"/>
  <c r="E21" i="71"/>
  <c r="B21" i="71"/>
  <c r="F20" i="71"/>
  <c r="G20" i="71" s="1"/>
  <c r="E20" i="71"/>
  <c r="B20" i="71"/>
  <c r="F19" i="71"/>
  <c r="G19" i="71" s="1"/>
  <c r="E19" i="71"/>
  <c r="B19" i="71"/>
  <c r="F18" i="71"/>
  <c r="G18" i="71" s="1"/>
  <c r="E18" i="71"/>
  <c r="B18" i="71"/>
  <c r="F17" i="71"/>
  <c r="G17" i="71" s="1"/>
  <c r="E17" i="71"/>
  <c r="B17" i="71"/>
  <c r="F16" i="71"/>
  <c r="G16" i="71" s="1"/>
  <c r="E16" i="71"/>
  <c r="B16" i="71"/>
  <c r="F15" i="71"/>
  <c r="G15" i="71" s="1"/>
  <c r="E15" i="71"/>
  <c r="B15" i="71"/>
  <c r="F14" i="71"/>
  <c r="G14" i="71" s="1"/>
  <c r="E14" i="71"/>
  <c r="B14" i="71"/>
  <c r="F13" i="71"/>
  <c r="G13" i="71" s="1"/>
  <c r="E13" i="71"/>
  <c r="B13" i="71"/>
  <c r="F12" i="71"/>
  <c r="G12" i="71" s="1"/>
  <c r="E12" i="71"/>
  <c r="B12" i="71"/>
  <c r="F11" i="71"/>
  <c r="G11" i="71" s="1"/>
  <c r="E11" i="71"/>
  <c r="B11" i="71"/>
  <c r="F10" i="71"/>
  <c r="G10" i="71" s="1"/>
  <c r="E10" i="71"/>
  <c r="B10" i="71"/>
  <c r="F9" i="71"/>
  <c r="G9" i="71" s="1"/>
  <c r="E9" i="71"/>
  <c r="B9" i="71"/>
  <c r="F8" i="71"/>
  <c r="G8" i="71" s="1"/>
  <c r="E8" i="71"/>
  <c r="B8" i="71"/>
  <c r="C2" i="71"/>
  <c r="B2" i="71"/>
  <c r="C12" i="69"/>
  <c r="D11" i="69"/>
  <c r="C11" i="69"/>
  <c r="B11" i="69"/>
  <c r="I10" i="69"/>
  <c r="G10" i="69"/>
  <c r="H10" i="69" s="1"/>
  <c r="F10" i="69"/>
  <c r="D10" i="69"/>
  <c r="C10" i="69"/>
  <c r="B10" i="69"/>
  <c r="G9" i="69"/>
  <c r="I9" i="69" s="1"/>
  <c r="F9" i="69"/>
  <c r="D9" i="69"/>
  <c r="C9" i="69"/>
  <c r="B9" i="69"/>
  <c r="G8" i="69"/>
  <c r="I8" i="69" s="1"/>
  <c r="F8" i="69"/>
  <c r="D8" i="69"/>
  <c r="C8" i="69"/>
  <c r="B8" i="69"/>
  <c r="D7" i="69"/>
  <c r="C7" i="69"/>
  <c r="C2" i="69"/>
  <c r="B2" i="69"/>
  <c r="B11" i="61"/>
  <c r="B10" i="61"/>
  <c r="B9" i="61"/>
  <c r="B8" i="61"/>
  <c r="E8" i="73" l="1"/>
  <c r="E11" i="73"/>
  <c r="E9" i="73"/>
  <c r="E18" i="73"/>
  <c r="E10" i="73"/>
  <c r="E12" i="73"/>
  <c r="E1" i="73" s="1"/>
  <c r="H8" i="73"/>
  <c r="H11" i="73"/>
  <c r="E20" i="73" s="1"/>
  <c r="H10" i="73"/>
  <c r="E28" i="71"/>
  <c r="E1" i="71" s="1"/>
  <c r="E2" i="71"/>
  <c r="C28" i="71"/>
  <c r="E10" i="69"/>
  <c r="E9" i="69"/>
  <c r="E8" i="69"/>
  <c r="E11" i="69"/>
  <c r="E12" i="69"/>
  <c r="E1" i="69" s="1"/>
  <c r="H9" i="69"/>
  <c r="H8" i="69"/>
  <c r="H11" i="69"/>
  <c r="E9" i="61"/>
  <c r="H53" i="52"/>
  <c r="H52" i="52"/>
  <c r="H51" i="52"/>
  <c r="H50" i="52"/>
  <c r="H49" i="52"/>
  <c r="H48" i="52"/>
  <c r="H47" i="52"/>
  <c r="H46" i="52"/>
  <c r="H45" i="52"/>
  <c r="H44" i="52"/>
  <c r="H43" i="52"/>
  <c r="H42" i="52"/>
  <c r="H41" i="52"/>
  <c r="H40" i="52"/>
  <c r="H39" i="52"/>
  <c r="H38" i="52"/>
  <c r="H37" i="52"/>
  <c r="H36" i="52"/>
  <c r="H35" i="52"/>
  <c r="E19" i="73" l="1"/>
  <c r="E17" i="73"/>
  <c r="E21" i="73" s="1"/>
  <c r="E13" i="73"/>
  <c r="E4" i="73" s="1"/>
  <c r="E4" i="71"/>
  <c r="E3" i="71"/>
  <c r="E13" i="69"/>
  <c r="A28" i="52"/>
  <c r="E2" i="69" l="1"/>
  <c r="E3" i="69" s="1"/>
  <c r="E4" i="69"/>
  <c r="E2" i="73"/>
  <c r="E3" i="73" s="1"/>
  <c r="E14" i="69"/>
  <c r="B17" i="52"/>
  <c r="B18" i="52"/>
  <c r="B19" i="52"/>
  <c r="B20" i="52"/>
  <c r="B21" i="52"/>
  <c r="B22" i="52"/>
  <c r="B23" i="52"/>
  <c r="B24" i="52"/>
  <c r="B25" i="52"/>
  <c r="B26" i="52"/>
  <c r="B27" i="52"/>
  <c r="B11" i="54" l="1"/>
  <c r="B10" i="54"/>
  <c r="B9" i="54"/>
  <c r="B8" i="54"/>
  <c r="E8" i="54" s="1"/>
  <c r="F8" i="54" l="1"/>
  <c r="E9" i="54"/>
  <c r="F9" i="54" s="1"/>
  <c r="B16" i="52"/>
  <c r="B15" i="52"/>
  <c r="B14" i="52"/>
  <c r="B13" i="52"/>
  <c r="B12" i="52"/>
  <c r="B11" i="52"/>
  <c r="B10" i="52"/>
  <c r="B9" i="52"/>
  <c r="B8" i="52"/>
  <c r="D28" i="52"/>
  <c r="D8" i="52" l="1"/>
  <c r="D9" i="52" s="1"/>
  <c r="D10" i="52" s="1"/>
  <c r="D11" i="52" s="1"/>
  <c r="D12" i="52" s="1"/>
  <c r="D13" i="52" s="1"/>
  <c r="D14" i="52" s="1"/>
  <c r="D15" i="52" s="1"/>
  <c r="D16" i="52" s="1"/>
  <c r="E10" i="54"/>
  <c r="E8" i="52" l="1"/>
  <c r="F8" i="52"/>
  <c r="D17" i="52"/>
  <c r="E9" i="52"/>
  <c r="F9" i="52"/>
  <c r="E11" i="54"/>
  <c r="F11" i="54" s="1"/>
  <c r="F12" i="54"/>
  <c r="F2" i="54" s="1"/>
  <c r="F10" i="54"/>
  <c r="F10" i="52"/>
  <c r="E10" i="52"/>
  <c r="D18" i="52" l="1"/>
  <c r="F18" i="52" s="1"/>
  <c r="E17" i="52"/>
  <c r="F17" i="52"/>
  <c r="F13" i="54"/>
  <c r="F11" i="52"/>
  <c r="E11" i="52"/>
  <c r="E18" i="52" l="1"/>
  <c r="D19" i="52"/>
  <c r="F19" i="52" s="1"/>
  <c r="F3" i="54"/>
  <c r="F4" i="54" s="1"/>
  <c r="F5" i="54"/>
  <c r="F14" i="54" s="1"/>
  <c r="F12" i="52"/>
  <c r="E12" i="52"/>
  <c r="E19" i="52" l="1"/>
  <c r="D20" i="52"/>
  <c r="F20" i="52" s="1"/>
  <c r="F13" i="52"/>
  <c r="E13" i="52"/>
  <c r="E20" i="52" l="1"/>
  <c r="D21" i="52"/>
  <c r="F21" i="52" s="1"/>
  <c r="F14" i="52"/>
  <c r="E14" i="52"/>
  <c r="E21" i="52" l="1"/>
  <c r="D22" i="52"/>
  <c r="F22" i="52" s="1"/>
  <c r="F15" i="52"/>
  <c r="E15" i="52"/>
  <c r="E22" i="52" l="1"/>
  <c r="D23" i="52"/>
  <c r="F23" i="52" s="1"/>
  <c r="F16" i="52"/>
  <c r="E16" i="52"/>
  <c r="E23" i="52" l="1"/>
  <c r="D24" i="52"/>
  <c r="F24" i="52" s="1"/>
  <c r="E24" i="52" l="1"/>
  <c r="D25" i="52"/>
  <c r="E25" i="52" s="1"/>
  <c r="F25" i="52" l="1"/>
  <c r="D26" i="52"/>
  <c r="E26" i="52" s="1"/>
  <c r="F26" i="52" l="1"/>
  <c r="D27" i="52"/>
  <c r="F27" i="52" l="1"/>
  <c r="E27" i="52"/>
  <c r="F28" i="52" s="1"/>
  <c r="F3" i="52" l="1"/>
  <c r="F5" i="52" l="1"/>
  <c r="F30" i="52" s="1"/>
  <c r="F2" i="52" l="1"/>
  <c r="F4" i="52" s="1"/>
</calcChain>
</file>

<file path=xl/sharedStrings.xml><?xml version="1.0" encoding="utf-8"?>
<sst xmlns="http://schemas.openxmlformats.org/spreadsheetml/2006/main" count="157" uniqueCount="94">
  <si>
    <t>RPV01</t>
  </si>
  <si>
    <t>ｸｰﾎﾟﾝ C</t>
    <phoneticPr fontId="4"/>
  </si>
  <si>
    <t>回収率 R</t>
    <rPh sb="0" eb="2">
      <t>カイシュウ</t>
    </rPh>
    <rPh sb="2" eb="3">
      <t>リツ</t>
    </rPh>
    <phoneticPr fontId="4"/>
  </si>
  <si>
    <t>額面</t>
    <rPh sb="0" eb="2">
      <t>ガクメン</t>
    </rPh>
    <phoneticPr fontId="4"/>
  </si>
  <si>
    <t>ｸｫｰﾄｽﾌﾟﾚｯﾄﾞ</t>
    <phoneticPr fontId="4"/>
  </si>
  <si>
    <t>δ</t>
  </si>
  <si>
    <t>ﾃﾞｨｽｶｳﾝﾄ
ﾌｧｸﾀｰ D</t>
  </si>
  <si>
    <t>年</t>
  </si>
  <si>
    <t>=D7-D8</t>
  </si>
  <si>
    <t>=D8-D9</t>
  </si>
  <si>
    <t>(1-R)ｘΣ(D dQ)</t>
  </si>
  <si>
    <t>dQ</t>
  </si>
  <si>
    <t>生存確率Q</t>
  </si>
  <si>
    <t>ﾌﾟﾚﾐｱﾑ ﾚｸﾞ</t>
  </si>
  <si>
    <t>ﾃﾞﾌｫﾙﾄ ﾚｸﾞ</t>
  </si>
  <si>
    <t>ﾊｻﾞｰﾄﾞ λ</t>
  </si>
  <si>
    <t>=-F2+F3</t>
  </si>
  <si>
    <t xml:space="preserve">    ( F列 計算式 )</t>
  </si>
  <si>
    <t>(以下 同じ）</t>
  </si>
  <si>
    <t>=C2*C3*F12</t>
  </si>
  <si>
    <t>=C2*F13</t>
  </si>
  <si>
    <t>=F13/F12</t>
  </si>
  <si>
    <t>=SUMPRODUCT(B8:B11,C8:C11,E8:E11)</t>
  </si>
  <si>
    <t>=(1-C4)*SUMPRODUCT(C8:C11,F8:F11)</t>
  </si>
  <si>
    <t>平均Q
(D列平均値)</t>
  </si>
  <si>
    <t xml:space="preserve">    ( F列等 計算式 )</t>
  </si>
  <si>
    <t xml:space="preserve">*** E8セル = (D7+D8) / 2 </t>
  </si>
  <si>
    <t>時価(元本)</t>
  </si>
  <si>
    <t>(Goal Seek)</t>
  </si>
  <si>
    <t>=F5*10^4</t>
  </si>
  <si>
    <t>*** B28セル =(A28-A27+1)/360</t>
  </si>
  <si>
    <t>=SUMPRODUCT(B8:B27,C8:C27,E8:E27)</t>
    <phoneticPr fontId="4"/>
  </si>
  <si>
    <t>=SUMPRODUCT(C8:C27,F8:F27)*(1-C4)</t>
    <phoneticPr fontId="4"/>
  </si>
  <si>
    <t>=C2*C3*F28</t>
    <phoneticPr fontId="4"/>
  </si>
  <si>
    <t>=C2*F29</t>
    <phoneticPr fontId="4"/>
  </si>
  <si>
    <t>=F29/F28</t>
    <phoneticPr fontId="4"/>
  </si>
  <si>
    <t>Date</t>
  </si>
  <si>
    <t>Act Cashflow</t>
  </si>
  <si>
    <t>Disc Factor</t>
  </si>
  <si>
    <t>Survival Prob</t>
  </si>
  <si>
    <t>Disc Cashflow</t>
  </si>
  <si>
    <t>(Goal Seek)</t>
    <phoneticPr fontId="4"/>
  </si>
  <si>
    <t>Original data</t>
    <phoneticPr fontId="4"/>
  </si>
  <si>
    <t>δ(A360)</t>
    <phoneticPr fontId="4"/>
  </si>
  <si>
    <r>
      <rPr>
        <sz val="10"/>
        <rFont val="Arial"/>
        <family val="2"/>
      </rPr>
      <t>ﾊｻﾞｰﾄﾞ</t>
    </r>
    <r>
      <rPr>
        <sz val="10"/>
        <rFont val="Arial Unicode MS"/>
        <family val="2"/>
      </rPr>
      <t xml:space="preserve"> λ</t>
    </r>
  </si>
  <si>
    <r>
      <rPr>
        <sz val="10"/>
        <rFont val="Arial"/>
        <family val="2"/>
      </rPr>
      <t>生存確率</t>
    </r>
    <r>
      <rPr>
        <sz val="10"/>
        <rFont val="Arial Unicode MS"/>
        <family val="2"/>
      </rPr>
      <t>Q</t>
    </r>
  </si>
  <si>
    <t>DF</t>
    <phoneticPr fontId="4"/>
  </si>
  <si>
    <t>Q</t>
    <phoneticPr fontId="4"/>
  </si>
  <si>
    <t>days</t>
    <phoneticPr fontId="4"/>
  </si>
  <si>
    <r>
      <t xml:space="preserve">midpoint </t>
    </r>
    <r>
      <rPr>
        <sz val="10"/>
        <rFont val="ＭＳ Ｐゴシック"/>
        <family val="2"/>
        <charset val="128"/>
      </rPr>
      <t>計算</t>
    </r>
    <rPh sb="9" eb="11">
      <t>ケイサン</t>
    </rPh>
    <phoneticPr fontId="4"/>
  </si>
  <si>
    <r>
      <rPr>
        <sz val="10"/>
        <rFont val="Arial"/>
        <family val="2"/>
      </rPr>
      <t>額面</t>
    </r>
    <rPh sb="0" eb="2">
      <t>ガクメン</t>
    </rPh>
    <phoneticPr fontId="4"/>
  </si>
  <si>
    <t>τ (A365)</t>
    <phoneticPr fontId="4"/>
  </si>
  <si>
    <r>
      <rPr>
        <sz val="10"/>
        <rFont val="Arial"/>
        <family val="2"/>
      </rPr>
      <t>時価</t>
    </r>
    <r>
      <rPr>
        <sz val="10"/>
        <rFont val="Arial Unicode MS"/>
        <family val="2"/>
      </rPr>
      <t>(</t>
    </r>
    <r>
      <rPr>
        <sz val="10"/>
        <rFont val="Arial"/>
        <family val="2"/>
      </rPr>
      <t>元本</t>
    </r>
    <r>
      <rPr>
        <sz val="10"/>
        <rFont val="Arial Unicode MS"/>
        <family val="2"/>
      </rPr>
      <t>)</t>
    </r>
  </si>
  <si>
    <r>
      <rPr>
        <b/>
        <sz val="10"/>
        <rFont val="Arial"/>
        <family val="2"/>
      </rPr>
      <t>ﾃﾞﾌｫﾙﾄ</t>
    </r>
    <r>
      <rPr>
        <b/>
        <sz val="10"/>
        <rFont val="Arial Unicode MS"/>
        <family val="2"/>
      </rPr>
      <t xml:space="preserve"> </t>
    </r>
    <r>
      <rPr>
        <b/>
        <sz val="10"/>
        <rFont val="Arial"/>
        <family val="2"/>
      </rPr>
      <t>ﾚｸﾞ</t>
    </r>
  </si>
  <si>
    <r>
      <rPr>
        <sz val="10"/>
        <rFont val="Arial"/>
        <family val="2"/>
      </rPr>
      <t>回収率</t>
    </r>
    <r>
      <rPr>
        <sz val="10"/>
        <rFont val="Arial Unicode MS"/>
        <family val="2"/>
      </rPr>
      <t xml:space="preserve"> R</t>
    </r>
    <rPh sb="0" eb="2">
      <t>カイシュウ</t>
    </rPh>
    <rPh sb="2" eb="3">
      <t>リツ</t>
    </rPh>
    <phoneticPr fontId="4"/>
  </si>
  <si>
    <r>
      <t>(1-R)</t>
    </r>
    <r>
      <rPr>
        <sz val="10"/>
        <rFont val="Arial"/>
        <family val="2"/>
      </rPr>
      <t>ｘ</t>
    </r>
    <r>
      <rPr>
        <sz val="10"/>
        <rFont val="Arial Unicode MS"/>
        <family val="2"/>
      </rPr>
      <t>Σ(D dQ)</t>
    </r>
  </si>
  <si>
    <t>ﾌｪｱｽﾌﾟﾚｯﾄﾞ</t>
    <phoneticPr fontId="4"/>
  </si>
  <si>
    <t>10% DF</t>
    <phoneticPr fontId="4"/>
  </si>
  <si>
    <t>中間日付</t>
    <rPh sb="0" eb="2">
      <t>チュウカン</t>
    </rPh>
    <rPh sb="2" eb="4">
      <t>ヒヅケ</t>
    </rPh>
    <phoneticPr fontId="4"/>
  </si>
  <si>
    <r>
      <t>(切捨て</t>
    </r>
    <r>
      <rPr>
        <sz val="8"/>
        <rFont val="Arial Unicode MS"/>
        <family val="2"/>
      </rPr>
      <t>)</t>
    </r>
    <rPh sb="1" eb="3">
      <t>キリス</t>
    </rPh>
    <phoneticPr fontId="4"/>
  </si>
  <si>
    <r>
      <rPr>
        <b/>
        <sz val="10"/>
        <rFont val="Microsoft JhengHei"/>
        <family val="2"/>
        <charset val="136"/>
      </rPr>
      <t>ｸｰﾎﾟﾝ</t>
    </r>
    <r>
      <rPr>
        <sz val="8"/>
        <rFont val="Arial Unicode MS"/>
        <family val="2"/>
      </rPr>
      <t>(Act360)</t>
    </r>
    <phoneticPr fontId="4"/>
  </si>
  <si>
    <r>
      <rPr>
        <b/>
        <sz val="10"/>
        <rFont val="Microsoft JhengHei"/>
        <family val="2"/>
        <charset val="136"/>
      </rPr>
      <t>ﾊｻﾞｰﾄﾞ</t>
    </r>
    <r>
      <rPr>
        <sz val="10"/>
        <rFont val="Arial Unicode MS"/>
        <family val="2"/>
      </rPr>
      <t xml:space="preserve"> λ</t>
    </r>
    <phoneticPr fontId="4"/>
  </si>
  <si>
    <r>
      <rPr>
        <b/>
        <sz val="10"/>
        <rFont val="Microsoft JhengHei"/>
        <family val="2"/>
        <charset val="136"/>
      </rPr>
      <t>ﾌﾟﾚﾐｱﾑ</t>
    </r>
    <r>
      <rPr>
        <b/>
        <sz val="10"/>
        <rFont val="ＭＳ Ｐゴシック"/>
        <family val="2"/>
        <charset val="128"/>
      </rPr>
      <t xml:space="preserve"> </t>
    </r>
    <r>
      <rPr>
        <b/>
        <sz val="10"/>
        <rFont val="Microsoft JhengHei"/>
        <family val="2"/>
        <charset val="136"/>
      </rPr>
      <t>ﾚｸﾞ</t>
    </r>
    <phoneticPr fontId="4"/>
  </si>
  <si>
    <t>*(360/365)</t>
  </si>
  <si>
    <t>tradeDT</t>
    <phoneticPr fontId="4"/>
  </si>
  <si>
    <t>TradeDT</t>
    <phoneticPr fontId="4"/>
  </si>
  <si>
    <t>2022-08-20</t>
  </si>
  <si>
    <t>2022-09-20</t>
  </si>
  <si>
    <t>2022-12-20</t>
  </si>
  <si>
    <t>2023-03-20</t>
  </si>
  <si>
    <t>2023-06-20</t>
  </si>
  <si>
    <t>2023-09-20</t>
  </si>
  <si>
    <t>2023-12-20</t>
  </si>
  <si>
    <t>2024-03-21</t>
  </si>
  <si>
    <t>2024-06-20</t>
  </si>
  <si>
    <t>2024-09-20</t>
  </si>
  <si>
    <t>2024-12-20</t>
  </si>
  <si>
    <t>2025-03-21</t>
  </si>
  <si>
    <t>2025-06-20</t>
  </si>
  <si>
    <t>2025-09-22</t>
  </si>
  <si>
    <t>2025-12-22</t>
  </si>
  <si>
    <t>2026-03-23</t>
  </si>
  <si>
    <t>2026-06-22</t>
  </si>
  <si>
    <t>2026-09-21</t>
  </si>
  <si>
    <t>2026-12-21</t>
  </si>
  <si>
    <t>2027-03-23</t>
  </si>
  <si>
    <r>
      <t>Q</t>
    </r>
    <r>
      <rPr>
        <vertAlign val="superscript"/>
        <sz val="10"/>
        <rFont val="Arial Unicode MS"/>
        <family val="2"/>
      </rPr>
      <t>m</t>
    </r>
    <phoneticPr fontId="4"/>
  </si>
  <si>
    <r>
      <t>DF</t>
    </r>
    <r>
      <rPr>
        <vertAlign val="superscript"/>
        <sz val="10"/>
        <rFont val="Arial Unicode MS"/>
        <family val="2"/>
      </rPr>
      <t>m</t>
    </r>
    <phoneticPr fontId="4"/>
  </si>
  <si>
    <t>中間日</t>
    <rPh sb="0" eb="2">
      <t>チュウカン</t>
    </rPh>
    <rPh sb="2" eb="3">
      <t>ヒ</t>
    </rPh>
    <phoneticPr fontId="4"/>
  </si>
  <si>
    <r>
      <rPr>
        <sz val="10"/>
        <rFont val="Arial Unicode MS"/>
        <family val="2"/>
      </rPr>
      <t>NPV(</t>
    </r>
    <r>
      <rPr>
        <sz val="10"/>
        <rFont val="Malgun Gothic"/>
        <family val="2"/>
        <charset val="129"/>
      </rPr>
      <t>時</t>
    </r>
    <r>
      <rPr>
        <sz val="10"/>
        <rFont val="Microsoft JhengHei"/>
        <family val="2"/>
        <charset val="136"/>
      </rPr>
      <t>価</t>
    </r>
    <r>
      <rPr>
        <sz val="10"/>
        <rFont val="Arial Unicode MS"/>
        <family val="2"/>
      </rPr>
      <t>)</t>
    </r>
    <phoneticPr fontId="4"/>
  </si>
  <si>
    <r>
      <rPr>
        <sz val="10"/>
        <rFont val="Microsoft JhengHei"/>
        <family val="2"/>
        <charset val="136"/>
      </rPr>
      <t>ﾌﾟﾚﾐｱﾑ</t>
    </r>
    <r>
      <rPr>
        <sz val="10"/>
        <rFont val="ＭＳ Ｐゴシック"/>
        <family val="2"/>
        <charset val="128"/>
      </rPr>
      <t xml:space="preserve"> </t>
    </r>
    <r>
      <rPr>
        <sz val="10"/>
        <rFont val="Microsoft JhengHei"/>
        <family val="2"/>
        <charset val="136"/>
      </rPr>
      <t>ﾚｸﾞ</t>
    </r>
    <phoneticPr fontId="4"/>
  </si>
  <si>
    <r>
      <rPr>
        <sz val="10"/>
        <rFont val="Arial"/>
        <family val="2"/>
      </rPr>
      <t>ﾃﾞﾌｫﾙﾄ</t>
    </r>
    <r>
      <rPr>
        <sz val="10"/>
        <rFont val="Arial Unicode MS"/>
        <family val="2"/>
      </rPr>
      <t xml:space="preserve"> </t>
    </r>
    <r>
      <rPr>
        <sz val="10"/>
        <rFont val="Arial"/>
        <family val="2"/>
      </rPr>
      <t>ﾚｸﾞ</t>
    </r>
  </si>
  <si>
    <r>
      <t>ﾌｪｱｽﾌﾟﾚｯﾄﾞ</t>
    </r>
    <r>
      <rPr>
        <sz val="6"/>
        <rFont val="ＭＳ ゴシック"/>
        <family val="3"/>
        <charset val="128"/>
      </rPr>
      <t>(A360)</t>
    </r>
    <phoneticPr fontId="4"/>
  </si>
  <si>
    <t>時間帯tのデフォルトレグ</t>
    <rPh sb="0" eb="3">
      <t>ジカンタイ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</si>
</sst>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000%"/>
    <numFmt numFmtId="177" formatCode="0.000_ "/>
    <numFmt numFmtId="178" formatCode="#,##0.000;[Red]\-#,##0.000"/>
    <numFmt numFmtId="179" formatCode="0.00000%"/>
    <numFmt numFmtId="180" formatCode="0.00000"/>
    <numFmt numFmtId="181" formatCode="0.000000"/>
    <numFmt numFmtId="182" formatCode="#,##0.000000;[Red]\-#,##0.000000"/>
    <numFmt numFmtId="183" formatCode="#,##0.00_ "/>
    <numFmt numFmtId="185" formatCode="0.0000"/>
    <numFmt numFmtId="186" formatCode="&quot;(Act365)&quot;0.000%"/>
    <numFmt numFmtId="187" formatCode="\(\P\V0\1\)0.0000"/>
    <numFmt numFmtId="188" formatCode="0.0000000"/>
    <numFmt numFmtId="189" formatCode="0.000%"/>
  </numFmts>
  <fonts count="3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  <font>
      <b/>
      <sz val="10"/>
      <name val="Microsoft JhengHei"/>
      <family val="2"/>
      <charset val="136"/>
    </font>
    <font>
      <b/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8"/>
      <name val="Arial Unicode MS"/>
    </font>
    <font>
      <b/>
      <sz val="10"/>
      <name val="Arial Unicode MS"/>
      <family val="2"/>
    </font>
    <font>
      <b/>
      <sz val="10"/>
      <name val="Arial Unicode MS"/>
      <family val="2"/>
      <charset val="136"/>
    </font>
    <font>
      <sz val="10"/>
      <name val="Arial Unicode MS"/>
      <family val="2"/>
      <charset val="136"/>
    </font>
    <font>
      <sz val="6"/>
      <name val="Arial Unicode MS"/>
    </font>
    <font>
      <vertAlign val="superscript"/>
      <sz val="10"/>
      <name val="Arial Unicode MS"/>
      <family val="2"/>
    </font>
    <font>
      <sz val="10"/>
      <name val="Malgun Gothic"/>
      <family val="2"/>
      <charset val="129"/>
    </font>
    <font>
      <sz val="10"/>
      <name val="Microsoft JhengHei"/>
      <family val="2"/>
      <charset val="136"/>
    </font>
    <font>
      <sz val="7"/>
      <name val="Arial Unicode MS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3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8" fontId="6" fillId="0" borderId="0" xfId="1" applyFont="1" applyFill="1" applyBorder="1" applyAlignment="1">
      <alignment horizontal="right" vertical="center"/>
    </xf>
    <xf numFmtId="179" fontId="6" fillId="0" borderId="0" xfId="2" applyNumberFormat="1" applyFont="1" applyAlignment="1">
      <alignment horizontal="right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178" fontId="6" fillId="0" borderId="0" xfId="1" applyNumberFormat="1" applyFont="1" applyBorder="1" applyAlignment="1">
      <alignment horizontal="center" vertical="center"/>
    </xf>
    <xf numFmtId="176" fontId="6" fillId="0" borderId="0" xfId="2" applyNumberFormat="1" applyFont="1" applyBorder="1" applyAlignment="1">
      <alignment horizontal="center" vertical="center"/>
    </xf>
    <xf numFmtId="179" fontId="6" fillId="0" borderId="0" xfId="2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179" fontId="6" fillId="0" borderId="1" xfId="2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38" fontId="6" fillId="0" borderId="0" xfId="1" applyFont="1" applyAlignment="1">
      <alignment horizontal="center" vertical="center"/>
    </xf>
    <xf numFmtId="10" fontId="6" fillId="0" borderId="0" xfId="2" applyNumberFormat="1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7" fillId="0" borderId="1" xfId="0" applyFont="1" applyBorder="1">
      <alignment vertical="center"/>
    </xf>
    <xf numFmtId="0" fontId="7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0" borderId="1" xfId="0" quotePrefix="1" applyFont="1" applyBorder="1">
      <alignment vertical="center"/>
    </xf>
    <xf numFmtId="181" fontId="6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3" borderId="0" xfId="0" applyFont="1" applyFill="1" applyAlignment="1">
      <alignment horizontal="center" vertical="center"/>
    </xf>
    <xf numFmtId="38" fontId="6" fillId="3" borderId="0" xfId="1" applyFont="1" applyFill="1" applyBorder="1" applyAlignment="1">
      <alignment horizontal="right" vertical="center"/>
    </xf>
    <xf numFmtId="9" fontId="8" fillId="3" borderId="0" xfId="0" applyNumberFormat="1" applyFont="1" applyFill="1" applyAlignment="1">
      <alignment horizontal="center" vertical="center"/>
    </xf>
    <xf numFmtId="38" fontId="6" fillId="3" borderId="0" xfId="1" applyFont="1" applyFill="1" applyAlignment="1">
      <alignment horizontal="right" vertical="center"/>
    </xf>
    <xf numFmtId="0" fontId="7" fillId="0" borderId="2" xfId="0" applyFont="1" applyBorder="1" applyAlignment="1"/>
    <xf numFmtId="176" fontId="6" fillId="0" borderId="0" xfId="2" applyNumberFormat="1" applyFont="1" applyFill="1" applyBorder="1" applyAlignment="1">
      <alignment horizontal="center" vertical="center"/>
    </xf>
    <xf numFmtId="182" fontId="6" fillId="0" borderId="0" xfId="1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left" vertical="center" indent="1"/>
    </xf>
    <xf numFmtId="176" fontId="6" fillId="4" borderId="0" xfId="2" applyNumberFormat="1" applyFont="1" applyFill="1" applyBorder="1" applyAlignment="1">
      <alignment horizontal="center" vertical="center"/>
    </xf>
    <xf numFmtId="176" fontId="9" fillId="4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7" fillId="0" borderId="1" xfId="0" quotePrefix="1" applyFont="1" applyBorder="1" applyAlignment="1">
      <alignment horizontal="left" vertical="center" indent="1"/>
    </xf>
    <xf numFmtId="180" fontId="6" fillId="0" borderId="0" xfId="1" applyNumberFormat="1" applyFont="1" applyBorder="1" applyAlignment="1">
      <alignment horizontal="center" vertical="center"/>
    </xf>
    <xf numFmtId="0" fontId="6" fillId="5" borderId="0" xfId="0" applyFont="1" applyFill="1">
      <alignment vertical="center"/>
    </xf>
    <xf numFmtId="181" fontId="6" fillId="0" borderId="0" xfId="0" applyNumberFormat="1" applyFont="1" applyAlignment="1">
      <alignment horizontal="center"/>
    </xf>
    <xf numFmtId="181" fontId="6" fillId="0" borderId="1" xfId="0" applyNumberFormat="1" applyFont="1" applyBorder="1" applyAlignment="1">
      <alignment horizontal="center"/>
    </xf>
    <xf numFmtId="178" fontId="9" fillId="0" borderId="0" xfId="1" applyNumberFormat="1" applyFont="1" applyBorder="1" applyAlignment="1">
      <alignment horizontal="center" vertical="center"/>
    </xf>
    <xf numFmtId="182" fontId="6" fillId="0" borderId="0" xfId="1" applyNumberFormat="1" applyFont="1" applyBorder="1" applyAlignment="1">
      <alignment horizontal="center"/>
    </xf>
    <xf numFmtId="176" fontId="6" fillId="0" borderId="0" xfId="2" applyNumberFormat="1" applyFont="1" applyBorder="1" applyAlignment="1">
      <alignment horizontal="center"/>
    </xf>
    <xf numFmtId="179" fontId="6" fillId="0" borderId="0" xfId="2" applyNumberFormat="1" applyFont="1" applyBorder="1" applyAlignment="1">
      <alignment horizontal="center"/>
    </xf>
    <xf numFmtId="3" fontId="10" fillId="0" borderId="0" xfId="1" applyNumberFormat="1" applyFont="1" applyFill="1" applyBorder="1" applyAlignment="1">
      <alignment horizontal="right" vertical="center"/>
    </xf>
    <xf numFmtId="182" fontId="6" fillId="0" borderId="1" xfId="1" applyNumberFormat="1" applyFont="1" applyBorder="1" applyAlignment="1">
      <alignment horizontal="center" vertical="center"/>
    </xf>
    <xf numFmtId="14" fontId="5" fillId="0" borderId="0" xfId="0" applyNumberFormat="1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5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79" fontId="13" fillId="0" borderId="0" xfId="2" applyNumberFormat="1" applyFont="1" applyAlignment="1">
      <alignment horizontal="right" vertical="center"/>
    </xf>
    <xf numFmtId="14" fontId="13" fillId="0" borderId="0" xfId="1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13" fillId="0" borderId="0" xfId="2" applyNumberFormat="1" applyFont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176" fontId="13" fillId="0" borderId="0" xfId="2" applyNumberFormat="1" applyFont="1" applyBorder="1" applyAlignment="1">
      <alignment horizontal="center" vertical="center"/>
    </xf>
    <xf numFmtId="14" fontId="13" fillId="0" borderId="1" xfId="1" applyNumberFormat="1" applyFont="1" applyBorder="1" applyAlignment="1">
      <alignment horizontal="center" vertical="center"/>
    </xf>
    <xf numFmtId="176" fontId="13" fillId="0" borderId="1" xfId="2" applyNumberFormat="1" applyFont="1" applyBorder="1" applyAlignment="1">
      <alignment horizontal="center" vertical="center"/>
    </xf>
    <xf numFmtId="180" fontId="13" fillId="0" borderId="0" xfId="1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 indent="1"/>
    </xf>
    <xf numFmtId="38" fontId="13" fillId="0" borderId="0" xfId="1" applyFont="1" applyAlignment="1">
      <alignment horizontal="center" vertical="center"/>
    </xf>
    <xf numFmtId="10" fontId="13" fillId="0" borderId="0" xfId="2" applyNumberFormat="1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2" fontId="13" fillId="0" borderId="0" xfId="0" applyNumberFormat="1" applyFont="1">
      <alignment vertical="center"/>
    </xf>
    <xf numFmtId="40" fontId="13" fillId="0" borderId="0" xfId="0" applyNumberFormat="1" applyFont="1">
      <alignment vertical="center"/>
    </xf>
    <xf numFmtId="38" fontId="13" fillId="0" borderId="0" xfId="0" applyNumberFormat="1" applyFont="1">
      <alignment vertical="center"/>
    </xf>
    <xf numFmtId="0" fontId="13" fillId="6" borderId="0" xfId="0" applyFont="1" applyFill="1">
      <alignment vertical="center"/>
    </xf>
    <xf numFmtId="0" fontId="13" fillId="6" borderId="0" xfId="0" applyFont="1" applyFill="1" applyAlignment="1">
      <alignment horizontal="center" vertical="center"/>
    </xf>
    <xf numFmtId="183" fontId="13" fillId="0" borderId="0" xfId="0" applyNumberFormat="1" applyFo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0" xfId="0" quotePrefix="1" applyFont="1" applyAlignment="1">
      <alignment horizontal="right" vertical="center"/>
    </xf>
    <xf numFmtId="0" fontId="18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10" fontId="13" fillId="0" borderId="3" xfId="2" applyNumberFormat="1" applyFont="1" applyFill="1" applyBorder="1" applyAlignment="1">
      <alignment horizontal="center" vertical="center"/>
    </xf>
    <xf numFmtId="0" fontId="12" fillId="0" borderId="3" xfId="0" applyFont="1" applyBorder="1">
      <alignment vertical="center"/>
    </xf>
    <xf numFmtId="0" fontId="19" fillId="0" borderId="3" xfId="0" applyFont="1" applyBorder="1" applyAlignment="1">
      <alignment horizontal="right" vertical="center"/>
    </xf>
    <xf numFmtId="179" fontId="13" fillId="0" borderId="3" xfId="2" applyNumberFormat="1" applyFont="1" applyBorder="1" applyAlignment="1">
      <alignment horizontal="right" vertical="center"/>
    </xf>
    <xf numFmtId="0" fontId="18" fillId="6" borderId="2" xfId="0" applyFont="1" applyFill="1" applyBorder="1">
      <alignment vertical="center"/>
    </xf>
    <xf numFmtId="0" fontId="20" fillId="5" borderId="0" xfId="0" applyFont="1" applyFill="1" applyAlignment="1">
      <alignment horizontal="right" vertical="center"/>
    </xf>
    <xf numFmtId="40" fontId="13" fillId="5" borderId="0" xfId="1" applyNumberFormat="1" applyFont="1" applyFill="1" applyBorder="1" applyAlignment="1">
      <alignment horizontal="right" vertical="center"/>
    </xf>
    <xf numFmtId="9" fontId="19" fillId="5" borderId="0" xfId="0" applyNumberFormat="1" applyFont="1" applyFill="1" applyAlignment="1">
      <alignment horizontal="right" vertical="center"/>
    </xf>
    <xf numFmtId="40" fontId="13" fillId="5" borderId="0" xfId="1" applyNumberFormat="1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177" fontId="13" fillId="0" borderId="1" xfId="0" applyNumberFormat="1" applyFont="1" applyBorder="1" applyAlignment="1">
      <alignment horizontal="center" vertical="center"/>
    </xf>
    <xf numFmtId="187" fontId="22" fillId="0" borderId="0" xfId="0" applyNumberFormat="1" applyFont="1" applyAlignment="1">
      <alignment horizontal="center" vertical="center"/>
    </xf>
    <xf numFmtId="186" fontId="22" fillId="0" borderId="0" xfId="2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88" fontId="13" fillId="7" borderId="0" xfId="0" applyNumberFormat="1" applyFont="1" applyFill="1" applyAlignment="1">
      <alignment horizontal="center" vertical="center"/>
    </xf>
    <xf numFmtId="176" fontId="13" fillId="7" borderId="0" xfId="2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82" fontId="13" fillId="0" borderId="0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4" fontId="13" fillId="6" borderId="0" xfId="0" applyNumberFormat="1" applyFont="1" applyFill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 vertical="center"/>
    </xf>
    <xf numFmtId="181" fontId="13" fillId="6" borderId="0" xfId="0" applyNumberFormat="1" applyFont="1" applyFill="1" applyAlignment="1">
      <alignment horizontal="center" vertical="center"/>
    </xf>
    <xf numFmtId="176" fontId="13" fillId="6" borderId="0" xfId="2" applyNumberFormat="1" applyFont="1" applyFill="1" applyAlignment="1">
      <alignment horizontal="center" vertical="center"/>
    </xf>
    <xf numFmtId="182" fontId="13" fillId="0" borderId="1" xfId="1" applyNumberFormat="1" applyFont="1" applyBorder="1" applyAlignment="1">
      <alignment horizontal="center" vertical="center"/>
    </xf>
    <xf numFmtId="181" fontId="13" fillId="6" borderId="1" xfId="0" applyNumberFormat="1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88" fontId="13" fillId="7" borderId="1" xfId="0" applyNumberFormat="1" applyFont="1" applyFill="1" applyBorder="1" applyAlignment="1">
      <alignment horizontal="center" vertical="center"/>
    </xf>
    <xf numFmtId="176" fontId="13" fillId="7" borderId="1" xfId="2" applyNumberFormat="1" applyFont="1" applyFill="1" applyBorder="1" applyAlignment="1">
      <alignment horizontal="center" vertical="center"/>
    </xf>
    <xf numFmtId="185" fontId="13" fillId="6" borderId="0" xfId="0" applyNumberFormat="1" applyFont="1" applyFill="1" applyAlignment="1">
      <alignment horizontal="center" vertical="center"/>
    </xf>
    <xf numFmtId="185" fontId="13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wrapText="1"/>
    </xf>
    <xf numFmtId="187" fontId="26" fillId="0" borderId="0" xfId="0" applyNumberFormat="1" applyFont="1" applyAlignment="1">
      <alignment horizontal="center" vertical="center"/>
    </xf>
    <xf numFmtId="186" fontId="26" fillId="0" borderId="0" xfId="2" applyNumberFormat="1" applyFont="1" applyAlignment="1">
      <alignment horizontal="left" vertical="center"/>
    </xf>
    <xf numFmtId="0" fontId="12" fillId="5" borderId="0" xfId="0" applyFont="1" applyFill="1" applyAlignment="1">
      <alignment horizontal="right" vertical="center"/>
    </xf>
    <xf numFmtId="189" fontId="12" fillId="0" borderId="0" xfId="2" applyNumberFormat="1" applyFont="1">
      <alignment vertical="center"/>
    </xf>
    <xf numFmtId="0" fontId="21" fillId="5" borderId="0" xfId="0" applyFont="1" applyFill="1" applyAlignment="1">
      <alignment horizontal="right" vertical="center"/>
    </xf>
    <xf numFmtId="9" fontId="13" fillId="5" borderId="0" xfId="0" applyNumberFormat="1" applyFont="1" applyFill="1" applyAlignment="1">
      <alignment horizontal="right" vertical="center"/>
    </xf>
    <xf numFmtId="0" fontId="27" fillId="0" borderId="0" xfId="0" applyFont="1" applyAlignment="1">
      <alignment horizontal="right" vertical="center"/>
    </xf>
    <xf numFmtId="176" fontId="18" fillId="0" borderId="0" xfId="2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79" fontId="13" fillId="0" borderId="0" xfId="2" applyNumberFormat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</cellXfs>
  <cellStyles count="6">
    <cellStyle name="パーセント" xfId="2" builtinId="5"/>
    <cellStyle name="桁区切り" xfId="1" builtinId="6"/>
    <cellStyle name="標準" xfId="0" builtinId="0"/>
    <cellStyle name="標準 2" xfId="3" xr:uid="{9BB6DF33-7EA5-4B46-A0BE-3F3992A5140B}"/>
    <cellStyle name="標準 3" xfId="4" xr:uid="{A84B311D-7DA2-4FD4-AC49-A6C739667A30}"/>
    <cellStyle name="標準 4" xfId="5" xr:uid="{0FDC98EE-F721-432D-84B2-35F54B5A5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763059</xdr:colOff>
      <xdr:row>7</xdr:row>
      <xdr:rowOff>114299</xdr:rowOff>
    </xdr:from>
    <xdr:to>
      <xdr:col>6</xdr:col>
      <xdr:colOff>203200</xdr:colOff>
      <xdr:row>12</xdr:row>
      <xdr:rowOff>130175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2434F6-6B3D-4DF4-89CB-AFA01407473D}"/>
            </a:ext>
          </a:extLst>
        </xdr:cNvPr>
        <xdr:cNvSpPr txBox="1"/>
      </xdr:nvSpPr>
      <xdr:spPr>
        <a:xfrm>
          <a:off x="3861859" y="1225549"/>
          <a:ext cx="1700741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</a:p>
        <a:p>
          <a:pPr algn="l"/>
          <a:r>
            <a:rPr kumimoji="1" lang="en-US" altLang="ja-JP" sz="800">
              <a:latin typeface="Arial unicode MS"/>
            </a:rPr>
            <a:t>C11=EXP(-10%*(A11-A6)/365)</a:t>
          </a:r>
        </a:p>
        <a:p>
          <a:pPr algn="l"/>
          <a:r>
            <a:rPr kumimoji="1" lang="en-US" altLang="ja-JP" sz="800">
              <a:latin typeface="Arial unicode MS"/>
            </a:rPr>
            <a:t>D11=EXP(   -B4*(A11-A6)/365)</a:t>
          </a:r>
        </a:p>
        <a:p>
          <a:pPr algn="l"/>
          <a:r>
            <a:rPr kumimoji="1" lang="en-US" altLang="ja-JP" sz="800">
              <a:latin typeface="Arial unicode MS"/>
            </a:rPr>
            <a:t>E11=D7-D8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779991</xdr:colOff>
      <xdr:row>10</xdr:row>
      <xdr:rowOff>152400</xdr:rowOff>
    </xdr:from>
    <xdr:to>
      <xdr:col>9</xdr:col>
      <xdr:colOff>488950</xdr:colOff>
      <xdr:row>14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EDFB5A7-EB01-4AB9-AED7-97482E976117}"/>
            </a:ext>
          </a:extLst>
        </xdr:cNvPr>
        <xdr:cNvSpPr txBox="1"/>
      </xdr:nvSpPr>
      <xdr:spPr>
        <a:xfrm>
          <a:off x="3897841" y="1860550"/>
          <a:ext cx="311255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E10=D10-D11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E11=SUMPRODUCT(B8:B11,C8:C11,I8:I11)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E12=SUMPRODUCT(H8:H11,E8:E11)*(1-B3)</a:t>
          </a:r>
        </a:p>
      </xdr:txBody>
    </xdr:sp>
    <xdr:clientData/>
  </xdr:twoCellAnchor>
  <xdr:twoCellAnchor>
    <xdr:from>
      <xdr:col>4</xdr:col>
      <xdr:colOff>800100</xdr:colOff>
      <xdr:row>0</xdr:row>
      <xdr:rowOff>5292</xdr:rowOff>
    </xdr:from>
    <xdr:to>
      <xdr:col>8</xdr:col>
      <xdr:colOff>552450</xdr:colOff>
      <xdr:row>4</xdr:row>
      <xdr:rowOff>62442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9D3D68F-C98A-4B44-87B3-F677A9918046}"/>
            </a:ext>
          </a:extLst>
        </xdr:cNvPr>
        <xdr:cNvSpPr txBox="1"/>
      </xdr:nvSpPr>
      <xdr:spPr>
        <a:xfrm>
          <a:off x="3917950" y="5292"/>
          <a:ext cx="2419350" cy="755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  <a:r>
            <a:rPr kumimoji="1" lang="en-US" altLang="ja-JP" sz="800" baseline="0">
              <a:latin typeface="Arial unicode MS"/>
            </a:rPr>
            <a:t> </a:t>
          </a:r>
          <a:r>
            <a:rPr kumimoji="1" lang="en-US" altLang="ja-JP" sz="800">
              <a:latin typeface="Arial unicode MS"/>
            </a:rPr>
            <a:t>E1=B1*B2*(365/360)*E12</a:t>
          </a:r>
        </a:p>
        <a:p>
          <a:pPr algn="l"/>
          <a:r>
            <a:rPr kumimoji="1" lang="en-US" altLang="ja-JP" sz="800">
              <a:latin typeface="Arial unicode MS"/>
            </a:rPr>
            <a:t>              E2=B1*E13</a:t>
          </a:r>
        </a:p>
        <a:p>
          <a:pPr algn="l"/>
          <a:r>
            <a:rPr kumimoji="1" lang="en-US" altLang="ja-JP" sz="800">
              <a:latin typeface="Arial unicode MS"/>
            </a:rPr>
            <a:t>              E3=-E1+E2</a:t>
          </a:r>
        </a:p>
        <a:p>
          <a:pPr algn="l"/>
          <a:r>
            <a:rPr kumimoji="1" lang="en-US" altLang="ja-JP" sz="800">
              <a:latin typeface="Arial unicode MS"/>
            </a:rPr>
            <a:t>              E4=E13/(E12*365/360)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772583</xdr:colOff>
      <xdr:row>12</xdr:row>
      <xdr:rowOff>116417</xdr:rowOff>
    </xdr:from>
    <xdr:to>
      <xdr:col>9</xdr:col>
      <xdr:colOff>44450</xdr:colOff>
      <xdr:row>16</xdr:row>
      <xdr:rowOff>84667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929A1FD-1915-422C-98AC-3AA97D734FBE}"/>
            </a:ext>
          </a:extLst>
        </xdr:cNvPr>
        <xdr:cNvSpPr txBox="1"/>
      </xdr:nvSpPr>
      <xdr:spPr>
        <a:xfrm>
          <a:off x="3899958" y="2042584"/>
          <a:ext cx="2827867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E14=E4*10^4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5292</xdr:rowOff>
    </xdr:from>
    <xdr:to>
      <xdr:col>8</xdr:col>
      <xdr:colOff>552450</xdr:colOff>
      <xdr:row>4</xdr:row>
      <xdr:rowOff>62442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C4B2F08-5DCF-4965-AED4-753480D5629F}"/>
            </a:ext>
          </a:extLst>
        </xdr:cNvPr>
        <xdr:cNvSpPr txBox="1"/>
      </xdr:nvSpPr>
      <xdr:spPr>
        <a:xfrm>
          <a:off x="4762500" y="5292"/>
          <a:ext cx="2508250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  <a:r>
            <a:rPr kumimoji="1" lang="en-US" altLang="ja-JP" sz="800" baseline="0">
              <a:latin typeface="Arial unicode MS"/>
            </a:rPr>
            <a:t> </a:t>
          </a:r>
          <a:r>
            <a:rPr kumimoji="1" lang="en-US" altLang="ja-JP" sz="800">
              <a:latin typeface="Arial unicode MS"/>
            </a:rPr>
            <a:t>E1=B1*B2*365/360*E12</a:t>
          </a:r>
        </a:p>
        <a:p>
          <a:pPr algn="l"/>
          <a:r>
            <a:rPr kumimoji="1" lang="en-US" altLang="ja-JP" sz="800">
              <a:latin typeface="Arial unicode MS"/>
            </a:rPr>
            <a:t>              E2=B1*E13</a:t>
          </a:r>
        </a:p>
        <a:p>
          <a:pPr algn="l"/>
          <a:r>
            <a:rPr kumimoji="1" lang="en-US" altLang="ja-JP" sz="800">
              <a:latin typeface="Arial unicode MS"/>
            </a:rPr>
            <a:t>              E3=-E1+E2</a:t>
          </a:r>
        </a:p>
        <a:p>
          <a:pPr algn="l"/>
          <a:r>
            <a:rPr kumimoji="1" lang="en-US" altLang="ja-JP" sz="800">
              <a:latin typeface="Arial unicode MS"/>
            </a:rPr>
            <a:t>              E4=E13/E12*(360/365)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</xdr:colOff>
      <xdr:row>28</xdr:row>
      <xdr:rowOff>85725</xdr:rowOff>
    </xdr:from>
    <xdr:ext cx="1607363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175" y="5572125"/>
          <a:ext cx="16073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/>
            <a:t>(</a:t>
          </a:r>
          <a:r>
            <a:rPr lang="ja-JP" altLang="en-US" sz="1100"/>
            <a:t> </a:t>
          </a:r>
          <a:r>
            <a:rPr lang="en-US" sz="1100"/>
            <a:t>13</a:t>
          </a:r>
          <a:r>
            <a:rPr lang="ja-JP" altLang="en-US" sz="1100"/>
            <a:t>行～</a:t>
          </a:r>
          <a:r>
            <a:rPr lang="en-US" altLang="ja-JP" sz="1100"/>
            <a:t>23</a:t>
          </a:r>
          <a:r>
            <a:rPr lang="ja-JP" altLang="en-US" sz="1100"/>
            <a:t>行は非表示 </a:t>
          </a:r>
          <a:r>
            <a:rPr lang="en-US" altLang="ja-JP" sz="1100"/>
            <a:t>)</a:t>
          </a:r>
          <a:endParaRPr lang="en-US" sz="1100"/>
        </a:p>
      </xdr:txBody>
    </xdr:sp>
    <xdr:clientData/>
  </xdr:oneCellAnchor>
  <xdr:twoCellAnchor editAs="oneCell">
    <xdr:from>
      <xdr:col>7</xdr:col>
      <xdr:colOff>152400</xdr:colOff>
      <xdr:row>0</xdr:row>
      <xdr:rowOff>152400</xdr:rowOff>
    </xdr:from>
    <xdr:to>
      <xdr:col>15</xdr:col>
      <xdr:colOff>295393</xdr:colOff>
      <xdr:row>19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6B57843-6873-4AA3-9ABC-46CCB432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52400"/>
          <a:ext cx="5559543" cy="36195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249271</xdr:colOff>
      <xdr:row>15</xdr:row>
      <xdr:rowOff>160382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D33BF89-8EC1-4202-A414-5C6D468F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4200" y="177800"/>
          <a:ext cx="5278471" cy="294803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24</xdr:col>
      <xdr:colOff>249271</xdr:colOff>
      <xdr:row>42</xdr:row>
      <xdr:rowOff>103231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6147D66-FE44-4E9E-BF6D-B1F40B76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4200" y="3175000"/>
          <a:ext cx="5278471" cy="294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A9AA-EDE1-4F8B-8844-8852D7D43EE4}">
  <dimension ref="A3:J13"/>
  <sheetViews>
    <sheetView tabSelected="1" workbookViewId="0"/>
  </sheetViews>
  <sheetFormatPr defaultColWidth="9" defaultRowHeight="12.5"/>
  <cols>
    <col min="1" max="1" width="10.54296875" style="55" bestFit="1" customWidth="1"/>
    <col min="2" max="2" width="10.36328125" style="55" bestFit="1" customWidth="1"/>
    <col min="3" max="3" width="11.54296875" style="55" bestFit="1" customWidth="1"/>
    <col min="4" max="5" width="11.90625" style="55" customWidth="1"/>
    <col min="6" max="6" width="20.81640625" style="55" customWidth="1"/>
    <col min="7" max="7" width="5.08984375" style="55" bestFit="1" customWidth="1"/>
    <col min="8" max="8" width="12.81640625" style="55" bestFit="1" customWidth="1"/>
    <col min="9" max="9" width="16.26953125" style="55" customWidth="1"/>
    <col min="10" max="16384" width="9" style="55"/>
  </cols>
  <sheetData>
    <row r="3" spans="1:10">
      <c r="A3" s="74"/>
      <c r="B3" s="74"/>
      <c r="C3" s="74"/>
      <c r="D3" s="74"/>
      <c r="E3" s="74"/>
      <c r="F3" s="74"/>
    </row>
    <row r="4" spans="1:10">
      <c r="A4" s="82" t="s">
        <v>44</v>
      </c>
      <c r="B4" s="69">
        <v>0.02</v>
      </c>
    </row>
    <row r="5" spans="1:10">
      <c r="A5" s="112" t="s">
        <v>65</v>
      </c>
      <c r="B5" s="89"/>
      <c r="C5" s="90"/>
      <c r="D5" s="90"/>
      <c r="E5" s="90"/>
    </row>
    <row r="6" spans="1:10">
      <c r="A6" s="109">
        <v>44823</v>
      </c>
      <c r="B6" s="85" t="s">
        <v>51</v>
      </c>
      <c r="C6" s="86" t="s">
        <v>57</v>
      </c>
      <c r="D6" s="85" t="s">
        <v>45</v>
      </c>
      <c r="E6" s="85" t="s">
        <v>11</v>
      </c>
      <c r="H6" s="55" t="s">
        <v>48</v>
      </c>
    </row>
    <row r="7" spans="1:10">
      <c r="A7" s="58">
        <v>44824</v>
      </c>
      <c r="B7" s="59"/>
      <c r="C7" s="111">
        <f>EXP(-10%*(A7-$A$6)/365)</f>
        <v>0.99972606492432659</v>
      </c>
      <c r="D7" s="62">
        <f>EXP(-$B$4*(A7-$A$6)/365)</f>
        <v>0.99994520698064437</v>
      </c>
      <c r="E7" s="61"/>
      <c r="H7" s="55">
        <f t="shared" ref="H7:H11" si="0">A7-$A$6</f>
        <v>1</v>
      </c>
    </row>
    <row r="8" spans="1:10">
      <c r="A8" s="58">
        <v>44915</v>
      </c>
      <c r="B8" s="59">
        <f>(A8-A7)/365</f>
        <v>0.24931506849315069</v>
      </c>
      <c r="C8" s="111">
        <f>EXP(-10%*(A8-$A$6)/365)</f>
        <v>0.97510952647028781</v>
      </c>
      <c r="D8" s="62">
        <f>EXP(-$B$4*(A8-$A$6)/365)</f>
        <v>0.99497158910909278</v>
      </c>
      <c r="E8" s="62">
        <f>D7-D8</f>
        <v>4.9736178715515944E-3</v>
      </c>
      <c r="F8" s="77"/>
      <c r="H8" s="55">
        <f>A8-$A$6</f>
        <v>92</v>
      </c>
      <c r="I8" s="55">
        <f>A8-A7</f>
        <v>91</v>
      </c>
      <c r="J8" s="55">
        <f>I8/365</f>
        <v>0.24931506849315069</v>
      </c>
    </row>
    <row r="9" spans="1:10">
      <c r="A9" s="58">
        <v>45005</v>
      </c>
      <c r="B9" s="59">
        <f>(A9-A8)/365</f>
        <v>0.24657534246575341</v>
      </c>
      <c r="C9" s="111">
        <f t="shared" ref="C9:C11" si="1">EXP(-10%*(A9-$A$6)/365)</f>
        <v>0.9513597388267655</v>
      </c>
      <c r="D9" s="62">
        <f t="shared" ref="D9:D11" si="2">EXP(-$B$4*(A9-$A$6)/365)</f>
        <v>0.99007695877372148</v>
      </c>
      <c r="E9" s="62">
        <f>D8-D9</f>
        <v>4.8946303353712972E-3</v>
      </c>
      <c r="F9" s="77"/>
      <c r="H9" s="55">
        <f t="shared" si="0"/>
        <v>182</v>
      </c>
      <c r="I9" s="55">
        <f t="shared" ref="I9:I11" si="3">A9-A8</f>
        <v>90</v>
      </c>
      <c r="J9" s="55">
        <f t="shared" ref="J9:J11" si="4">I9/365</f>
        <v>0.24657534246575341</v>
      </c>
    </row>
    <row r="10" spans="1:10">
      <c r="A10" s="58">
        <v>45097</v>
      </c>
      <c r="B10" s="59">
        <f>(A10-A9)/365</f>
        <v>0.25205479452054796</v>
      </c>
      <c r="C10" s="111">
        <f t="shared" si="1"/>
        <v>0.92767994443026403</v>
      </c>
      <c r="D10" s="62">
        <f t="shared" si="2"/>
        <v>0.98509844501138744</v>
      </c>
      <c r="E10" s="62">
        <f>D9-D10</f>
        <v>4.978513762334047E-3</v>
      </c>
      <c r="H10" s="55">
        <f t="shared" si="0"/>
        <v>274</v>
      </c>
      <c r="I10" s="55">
        <f t="shared" si="3"/>
        <v>92</v>
      </c>
      <c r="J10" s="55">
        <f t="shared" si="4"/>
        <v>0.25205479452054796</v>
      </c>
    </row>
    <row r="11" spans="1:10">
      <c r="A11" s="63">
        <v>45189</v>
      </c>
      <c r="B11" s="99">
        <f>(A11-A10)/365</f>
        <v>0.25205479452054796</v>
      </c>
      <c r="C11" s="118">
        <f t="shared" si="1"/>
        <v>0.90458955132937779</v>
      </c>
      <c r="D11" s="64">
        <f t="shared" si="2"/>
        <v>0.98014496526187644</v>
      </c>
      <c r="E11" s="64">
        <f>D10-D11</f>
        <v>4.9534797495109917E-3</v>
      </c>
      <c r="F11" s="77"/>
      <c r="H11" s="55">
        <f t="shared" si="0"/>
        <v>366</v>
      </c>
      <c r="I11" s="55">
        <f t="shared" si="3"/>
        <v>92</v>
      </c>
      <c r="J11" s="55">
        <f t="shared" si="4"/>
        <v>0.25205479452054796</v>
      </c>
    </row>
    <row r="12" spans="1:10">
      <c r="D12" s="56"/>
      <c r="E12" s="65"/>
      <c r="H12" s="77"/>
    </row>
    <row r="13" spans="1:10">
      <c r="D13" s="66"/>
      <c r="E13" s="60"/>
      <c r="H13" s="77"/>
    </row>
  </sheetData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120C-B124-4C0C-957D-C62C6B74D949}">
  <dimension ref="A1:M21"/>
  <sheetViews>
    <sheetView workbookViewId="0"/>
  </sheetViews>
  <sheetFormatPr defaultColWidth="9" defaultRowHeight="12.5"/>
  <cols>
    <col min="1" max="1" width="10.54296875" style="55" bestFit="1" customWidth="1"/>
    <col min="2" max="2" width="10.36328125" style="55" bestFit="1" customWidth="1"/>
    <col min="3" max="3" width="11.81640625" style="55" bestFit="1" customWidth="1"/>
    <col min="4" max="5" width="11.90625" style="55" customWidth="1"/>
    <col min="6" max="6" width="6.453125" style="55" customWidth="1"/>
    <col min="7" max="7" width="8.7265625" style="55" customWidth="1"/>
    <col min="8" max="8" width="11.08984375" style="55" customWidth="1"/>
    <col min="9" max="9" width="10.54296875" style="55" customWidth="1"/>
    <col min="10" max="10" width="10.54296875" style="55" bestFit="1" customWidth="1"/>
    <col min="11" max="11" width="30.08984375" style="55" bestFit="1" customWidth="1"/>
    <col min="12" max="12" width="10" style="55" bestFit="1" customWidth="1"/>
    <col min="13" max="13" width="12.81640625" style="55" bestFit="1" customWidth="1"/>
    <col min="14" max="14" width="16.26953125" style="55" customWidth="1"/>
    <col min="15" max="16384" width="9" style="55"/>
  </cols>
  <sheetData>
    <row r="1" spans="1:13" ht="13">
      <c r="A1" s="82" t="s">
        <v>50</v>
      </c>
      <c r="B1" s="68">
        <v>10000000</v>
      </c>
      <c r="D1" s="130" t="s">
        <v>90</v>
      </c>
      <c r="E1" s="95">
        <f>B1*B2*(365/360)*E12</f>
        <v>94321.187539009494</v>
      </c>
      <c r="F1" s="67"/>
      <c r="I1" s="68"/>
    </row>
    <row r="2" spans="1:13" ht="13">
      <c r="A2" s="83" t="s">
        <v>60</v>
      </c>
      <c r="B2" s="69">
        <f>1%</f>
        <v>0.01</v>
      </c>
      <c r="C2" s="127">
        <f>B2*365/360</f>
        <v>1.0138888888888888E-2</v>
      </c>
      <c r="D2" s="131" t="s">
        <v>91</v>
      </c>
      <c r="E2" s="97">
        <f>B1*E13</f>
        <v>122462.5007885597</v>
      </c>
      <c r="F2" s="67"/>
      <c r="G2" s="81"/>
      <c r="H2" s="72"/>
      <c r="I2" s="69"/>
    </row>
    <row r="3" spans="1:13" ht="16">
      <c r="A3" s="82" t="s">
        <v>54</v>
      </c>
      <c r="B3" s="70">
        <v>0.35</v>
      </c>
      <c r="D3" s="128" t="s">
        <v>89</v>
      </c>
      <c r="E3" s="95">
        <f>-E1+E2</f>
        <v>28141.313249550207</v>
      </c>
      <c r="F3" s="67"/>
      <c r="G3" s="81"/>
      <c r="H3" s="73"/>
      <c r="I3" s="70"/>
      <c r="J3" s="73"/>
      <c r="K3" s="74"/>
    </row>
    <row r="4" spans="1:13" ht="13">
      <c r="A4" s="83" t="s">
        <v>61</v>
      </c>
      <c r="B4" s="69">
        <v>0.02</v>
      </c>
      <c r="D4" s="132" t="s">
        <v>92</v>
      </c>
      <c r="E4" s="57">
        <f>E13/(E12*365/360)</f>
        <v>1.2983562228572609E-2</v>
      </c>
    </row>
    <row r="5" spans="1:13" ht="13">
      <c r="A5" s="112" t="s">
        <v>65</v>
      </c>
      <c r="B5" s="89"/>
      <c r="C5" s="90"/>
      <c r="D5" s="91"/>
      <c r="E5" s="92"/>
      <c r="F5" s="93" t="s">
        <v>59</v>
      </c>
      <c r="G5" s="137" t="s">
        <v>49</v>
      </c>
      <c r="H5" s="137"/>
      <c r="I5" s="137"/>
    </row>
    <row r="6" spans="1:13" ht="16.5">
      <c r="A6" s="109">
        <v>44823</v>
      </c>
      <c r="B6" s="85" t="s">
        <v>51</v>
      </c>
      <c r="C6" s="86" t="s">
        <v>57</v>
      </c>
      <c r="D6" s="85" t="s">
        <v>45</v>
      </c>
      <c r="E6" s="85" t="s">
        <v>11</v>
      </c>
      <c r="F6" s="87" t="s">
        <v>48</v>
      </c>
      <c r="G6" s="125" t="s">
        <v>88</v>
      </c>
      <c r="H6" s="88" t="s">
        <v>87</v>
      </c>
      <c r="I6" s="88" t="s">
        <v>86</v>
      </c>
    </row>
    <row r="7" spans="1:13">
      <c r="A7" s="58">
        <v>44824</v>
      </c>
      <c r="B7" s="59"/>
      <c r="C7" s="111">
        <f>EXP(-10%*(A7-$A$6)/365)</f>
        <v>0.99972606492432659</v>
      </c>
      <c r="D7" s="62">
        <f>EXP(-$B$4*(A7-$A$6)/365)</f>
        <v>0.99994520698064437</v>
      </c>
      <c r="E7" s="61"/>
      <c r="F7" s="75"/>
      <c r="G7" s="75"/>
      <c r="H7" s="75"/>
      <c r="I7" s="75"/>
    </row>
    <row r="8" spans="1:13">
      <c r="A8" s="58">
        <v>44915</v>
      </c>
      <c r="B8" s="59">
        <f>(A8-A7)/365</f>
        <v>0.24931506849315069</v>
      </c>
      <c r="C8" s="111">
        <f>EXP(-10%*(A8-$A$6)/365)</f>
        <v>0.97510952647028781</v>
      </c>
      <c r="D8" s="62">
        <f>EXP(-$B$4*(A8-$A$6)/365)</f>
        <v>0.99497158910909278</v>
      </c>
      <c r="E8" s="62">
        <f>D7-D8</f>
        <v>4.9736178715515944E-3</v>
      </c>
      <c r="F8" s="76">
        <f>INT((A8-A7)/2)</f>
        <v>45</v>
      </c>
      <c r="G8" s="114">
        <f>A7+F8</f>
        <v>44869</v>
      </c>
      <c r="H8" s="116">
        <f>EXP(-10%*(G8-$A$6)/365)</f>
        <v>0.98747634223321412</v>
      </c>
      <c r="I8" s="117">
        <f>EXP(-$B$4*(G8-$A$6)/365)</f>
        <v>0.99748262596853932</v>
      </c>
      <c r="K8" s="77"/>
    </row>
    <row r="9" spans="1:13">
      <c r="A9" s="58">
        <v>45005</v>
      </c>
      <c r="B9" s="59">
        <f>(A9-A8)/365</f>
        <v>0.24657534246575341</v>
      </c>
      <c r="C9" s="111">
        <f t="shared" ref="C9:C11" si="0">EXP(-10%*(A9-$A$6)/365)</f>
        <v>0.9513597388267655</v>
      </c>
      <c r="D9" s="62">
        <f t="shared" ref="D9:D11" si="1">EXP(-$B$4*(A9-$A$6)/365)</f>
        <v>0.99007695877372148</v>
      </c>
      <c r="E9" s="62">
        <f>D8-D9</f>
        <v>4.8946303353712972E-3</v>
      </c>
      <c r="F9" s="76">
        <f>INT((A9-A8)/2)</f>
        <v>45</v>
      </c>
      <c r="G9" s="114">
        <f>A8+F9</f>
        <v>44960</v>
      </c>
      <c r="H9" s="116">
        <f t="shared" ref="H9:H11" si="2">EXP(-10%*(G9-$A$6)/365)</f>
        <v>0.96316143217545003</v>
      </c>
      <c r="I9" s="117">
        <f t="shared" ref="I9:I11" si="3">EXP(-$B$4*(G9-$A$6)/365)</f>
        <v>0.99252125670505786</v>
      </c>
      <c r="K9" s="77"/>
    </row>
    <row r="10" spans="1:13">
      <c r="A10" s="58">
        <v>45097</v>
      </c>
      <c r="B10" s="59">
        <f>(A10-A9)/365</f>
        <v>0.25205479452054796</v>
      </c>
      <c r="C10" s="111">
        <f t="shared" si="0"/>
        <v>0.92767994443026403</v>
      </c>
      <c r="D10" s="62">
        <f t="shared" si="1"/>
        <v>0.98509844501138744</v>
      </c>
      <c r="E10" s="62">
        <f>D9-D10</f>
        <v>4.978513762334047E-3</v>
      </c>
      <c r="F10" s="76">
        <f>INT((A10-A9)/2)</f>
        <v>46</v>
      </c>
      <c r="G10" s="114">
        <f>A9+F10</f>
        <v>45051</v>
      </c>
      <c r="H10" s="116">
        <f t="shared" si="2"/>
        <v>0.93944523504460031</v>
      </c>
      <c r="I10" s="117">
        <f t="shared" si="3"/>
        <v>0.98758456474855694</v>
      </c>
    </row>
    <row r="11" spans="1:13">
      <c r="A11" s="63">
        <v>45189</v>
      </c>
      <c r="B11" s="99">
        <f>(A11-A10)/365</f>
        <v>0.25205479452054796</v>
      </c>
      <c r="C11" s="118">
        <f t="shared" si="0"/>
        <v>0.90458955132937779</v>
      </c>
      <c r="D11" s="64">
        <f t="shared" si="1"/>
        <v>0.98014496526187644</v>
      </c>
      <c r="E11" s="64">
        <f>D10-D11</f>
        <v>4.9534797495109917E-3</v>
      </c>
      <c r="F11" s="78">
        <f>INT((A11-A10)/2)</f>
        <v>46</v>
      </c>
      <c r="G11" s="115">
        <f>A10+F11</f>
        <v>45143</v>
      </c>
      <c r="H11" s="119">
        <f t="shared" si="2"/>
        <v>0.9160619982891085</v>
      </c>
      <c r="I11" s="120">
        <f t="shared" si="3"/>
        <v>0.98261858376748346</v>
      </c>
      <c r="K11" s="77"/>
    </row>
    <row r="12" spans="1:13">
      <c r="C12" s="126">
        <f>SUMPRODUCT(B8:B11,C8:C11)</f>
        <v>0.93952366304956758</v>
      </c>
      <c r="D12" s="56" t="s">
        <v>0</v>
      </c>
      <c r="E12" s="65">
        <f>SUMPRODUCT(B8:B11,C8:C11,I8:I11)</f>
        <v>0.93029116476831275</v>
      </c>
      <c r="F12" s="80"/>
      <c r="G12" s="79"/>
      <c r="M12" s="77"/>
    </row>
    <row r="13" spans="1:13">
      <c r="D13" s="66" t="s">
        <v>55</v>
      </c>
      <c r="E13" s="60">
        <f>SUMPRODUCT(H8:H11,E8:E11)*(1-B3)</f>
        <v>1.2246250078855971E-2</v>
      </c>
      <c r="F13" s="71"/>
      <c r="G13" s="79"/>
      <c r="M13" s="77"/>
    </row>
    <row r="16" spans="1:13">
      <c r="E16" s="135" t="s">
        <v>93</v>
      </c>
      <c r="G16" s="129"/>
    </row>
    <row r="17" spans="5:5">
      <c r="E17" s="133">
        <f>0.65*E8*H8</f>
        <v>3.1923644892525834E-3</v>
      </c>
    </row>
    <row r="18" spans="5:5">
      <c r="E18" s="133">
        <f>0.65*E9*H9</f>
        <v>3.0643074564606545E-3</v>
      </c>
    </row>
    <row r="19" spans="5:5">
      <c r="E19" s="133">
        <f>0.65*E10*H10</f>
        <v>3.040076670558646E-3</v>
      </c>
    </row>
    <row r="20" spans="5:5">
      <c r="E20" s="133">
        <f>0.65*E11*H11</f>
        <v>2.9495014625840867E-3</v>
      </c>
    </row>
    <row r="21" spans="5:5">
      <c r="E21" s="134">
        <f>SUM(E17:E20)</f>
        <v>1.2246250078855971E-2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7D75-0EA3-48BD-B529-950F5C848194}">
  <dimension ref="A1:M14"/>
  <sheetViews>
    <sheetView zoomScale="120" zoomScaleNormal="120" workbookViewId="0"/>
  </sheetViews>
  <sheetFormatPr defaultColWidth="9" defaultRowHeight="12.5"/>
  <cols>
    <col min="1" max="2" width="10.54296875" style="55" bestFit="1" customWidth="1"/>
    <col min="3" max="3" width="11.81640625" style="55" bestFit="1" customWidth="1"/>
    <col min="4" max="5" width="11.90625" style="55" customWidth="1"/>
    <col min="6" max="6" width="6.453125" style="55" customWidth="1"/>
    <col min="7" max="7" width="10" style="55" customWidth="1"/>
    <col min="8" max="9" width="11.26953125" style="55" customWidth="1"/>
    <col min="10" max="10" width="10.54296875" style="55" bestFit="1" customWidth="1"/>
    <col min="11" max="11" width="30.08984375" style="55" bestFit="1" customWidth="1"/>
    <col min="12" max="12" width="10" style="55" bestFit="1" customWidth="1"/>
    <col min="13" max="13" width="12.81640625" style="55" bestFit="1" customWidth="1"/>
    <col min="14" max="14" width="16.26953125" style="55" customWidth="1"/>
    <col min="15" max="16384" width="9" style="55"/>
  </cols>
  <sheetData>
    <row r="1" spans="1:13" ht="13">
      <c r="A1" s="82" t="s">
        <v>50</v>
      </c>
      <c r="B1" s="68">
        <v>10000000</v>
      </c>
      <c r="D1" s="130" t="s">
        <v>90</v>
      </c>
      <c r="E1" s="95">
        <f>B1*B2*365/360*E12</f>
        <v>94320.010145452063</v>
      </c>
      <c r="F1" s="67"/>
      <c r="I1" s="68"/>
    </row>
    <row r="2" spans="1:13" ht="13">
      <c r="A2" s="83" t="s">
        <v>60</v>
      </c>
      <c r="B2" s="69">
        <f>1%</f>
        <v>0.01</v>
      </c>
      <c r="C2" s="101">
        <f>B2*365/360</f>
        <v>1.0138888888888888E-2</v>
      </c>
      <c r="D2" s="131" t="s">
        <v>91</v>
      </c>
      <c r="E2" s="97">
        <f>B1*E13</f>
        <v>122616.01318919464</v>
      </c>
      <c r="F2" s="67"/>
      <c r="G2" s="81"/>
      <c r="H2" s="72"/>
      <c r="I2" s="69"/>
    </row>
    <row r="3" spans="1:13">
      <c r="A3" s="82" t="s">
        <v>54</v>
      </c>
      <c r="B3" s="70">
        <v>0.35</v>
      </c>
      <c r="D3" s="98" t="s">
        <v>52</v>
      </c>
      <c r="E3" s="95">
        <f>-E1+E2</f>
        <v>28296.003043742574</v>
      </c>
      <c r="F3" s="67"/>
      <c r="G3" s="81"/>
      <c r="H3" s="73"/>
      <c r="I3" s="70"/>
      <c r="J3" s="73"/>
      <c r="K3" s="74"/>
    </row>
    <row r="4" spans="1:13" ht="13">
      <c r="A4" s="83" t="s">
        <v>61</v>
      </c>
      <c r="B4" s="136">
        <v>2.0025321029639356E-2</v>
      </c>
      <c r="D4" s="132" t="s">
        <v>92</v>
      </c>
      <c r="E4" s="57">
        <f>E13/(E12*365/360)</f>
        <v>1.3000000000011341E-2</v>
      </c>
    </row>
    <row r="5" spans="1:13" ht="13">
      <c r="A5" s="112" t="s">
        <v>65</v>
      </c>
      <c r="B5" s="89"/>
      <c r="C5" s="90"/>
      <c r="D5" s="91"/>
      <c r="E5" s="92"/>
      <c r="F5" s="93" t="s">
        <v>59</v>
      </c>
      <c r="G5" s="137" t="s">
        <v>49</v>
      </c>
      <c r="H5" s="137"/>
      <c r="I5" s="137"/>
    </row>
    <row r="6" spans="1:13" ht="16.5">
      <c r="A6" s="109">
        <v>44823</v>
      </c>
      <c r="B6" s="85" t="s">
        <v>51</v>
      </c>
      <c r="C6" s="86" t="s">
        <v>57</v>
      </c>
      <c r="D6" s="85" t="s">
        <v>45</v>
      </c>
      <c r="E6" s="85" t="s">
        <v>11</v>
      </c>
      <c r="F6" s="87" t="s">
        <v>48</v>
      </c>
      <c r="G6" s="125" t="s">
        <v>88</v>
      </c>
      <c r="H6" s="88" t="s">
        <v>87</v>
      </c>
      <c r="I6" s="88" t="s">
        <v>86</v>
      </c>
    </row>
    <row r="7" spans="1:13">
      <c r="A7" s="58">
        <v>44824</v>
      </c>
      <c r="B7" s="59"/>
      <c r="C7" s="111">
        <f t="shared" ref="C7:C11" si="0">EXP(-10%*(A7-$A$6)/365)</f>
        <v>0.99972606492432659</v>
      </c>
      <c r="D7" s="62">
        <f>EXP(-$B$4*(A7-$A$6)/365)</f>
        <v>0.99994513761176396</v>
      </c>
      <c r="E7" s="61"/>
      <c r="F7" s="76"/>
      <c r="G7" s="76"/>
      <c r="H7" s="76"/>
      <c r="I7" s="76"/>
    </row>
    <row r="8" spans="1:13">
      <c r="A8" s="58">
        <v>44915</v>
      </c>
      <c r="B8" s="59">
        <f>(A8-A7)/365</f>
        <v>0.24931506849315069</v>
      </c>
      <c r="C8" s="111">
        <f>EXP(-10%*(A8-$A$6)/365)</f>
        <v>0.97510952647028781</v>
      </c>
      <c r="D8" s="62">
        <f>EXP(-$B$4*(A8-$A$6)/365)</f>
        <v>0.9949652389351954</v>
      </c>
      <c r="E8" s="62">
        <f>D7-D8</f>
        <v>4.9798986765685616E-3</v>
      </c>
      <c r="F8" s="76">
        <f>INT((A8-A7)/2)</f>
        <v>45</v>
      </c>
      <c r="G8" s="114">
        <f>A7+F8</f>
        <v>44869</v>
      </c>
      <c r="H8" s="116">
        <f>EXP(-10%*(G8-$A$6)/365)</f>
        <v>0.98747634223321412</v>
      </c>
      <c r="I8" s="117">
        <f>EXP(-$B$4*(G8-$A$6)/365)</f>
        <v>0.99747944286345847</v>
      </c>
      <c r="K8" s="77"/>
    </row>
    <row r="9" spans="1:13">
      <c r="A9" s="58">
        <v>45005</v>
      </c>
      <c r="B9" s="59">
        <f>(A9-A8)/365</f>
        <v>0.24657534246575341</v>
      </c>
      <c r="C9" s="111">
        <f t="shared" si="0"/>
        <v>0.9513597388267655</v>
      </c>
      <c r="D9" s="62">
        <f t="shared" ref="D9:D11" si="1">EXP(-$B$4*(A9-$A$6)/365)</f>
        <v>0.99006445831077472</v>
      </c>
      <c r="E9" s="62">
        <f>D8-D9</f>
        <v>4.9007806244206753E-3</v>
      </c>
      <c r="F9" s="76">
        <f>INT((A9-A8)/2)</f>
        <v>45</v>
      </c>
      <c r="G9" s="114">
        <f>A8+F9</f>
        <v>44960</v>
      </c>
      <c r="H9" s="116">
        <f t="shared" ref="H9:H11" si="2">EXP(-10%*(G9-$A$6)/365)</f>
        <v>0.96316143217545003</v>
      </c>
      <c r="I9" s="117">
        <f t="shared" ref="I9:I11" si="3">EXP(-$B$4*(G9-$A$6)/365)</f>
        <v>0.99251182377059111</v>
      </c>
      <c r="K9" s="77"/>
    </row>
    <row r="10" spans="1:13">
      <c r="A10" s="58">
        <v>45097</v>
      </c>
      <c r="B10" s="59">
        <f>(A10-A9)/365</f>
        <v>0.25205479452054796</v>
      </c>
      <c r="C10" s="111">
        <f t="shared" si="0"/>
        <v>0.92767994443026403</v>
      </c>
      <c r="D10" s="62">
        <f t="shared" si="1"/>
        <v>0.98507972032442481</v>
      </c>
      <c r="E10" s="62">
        <f>D9-D10</f>
        <v>4.9847379863499075E-3</v>
      </c>
      <c r="F10" s="76">
        <f>INT((A10-A9)/2)</f>
        <v>46</v>
      </c>
      <c r="G10" s="114">
        <f>A9+F10</f>
        <v>45051</v>
      </c>
      <c r="H10" s="116">
        <f t="shared" si="2"/>
        <v>0.93944523504460031</v>
      </c>
      <c r="I10" s="117">
        <f t="shared" si="3"/>
        <v>0.9875689442747434</v>
      </c>
    </row>
    <row r="11" spans="1:13">
      <c r="A11" s="63">
        <v>45189</v>
      </c>
      <c r="B11" s="99">
        <f>(A11-A10)/365</f>
        <v>0.25205479452054796</v>
      </c>
      <c r="C11" s="118">
        <f t="shared" si="0"/>
        <v>0.90458955132937779</v>
      </c>
      <c r="D11" s="64">
        <f t="shared" si="1"/>
        <v>0.98012007930280687</v>
      </c>
      <c r="E11" s="64">
        <f>D10-D11</f>
        <v>4.9596410216179443E-3</v>
      </c>
      <c r="F11" s="78">
        <f>INT((A11-A10)/2)</f>
        <v>46</v>
      </c>
      <c r="G11" s="115">
        <f>A10+F11</f>
        <v>45143</v>
      </c>
      <c r="H11" s="119">
        <f t="shared" si="2"/>
        <v>0.9160619982891085</v>
      </c>
      <c r="I11" s="120">
        <f t="shared" si="3"/>
        <v>0.98259677060529882</v>
      </c>
      <c r="K11" s="77"/>
    </row>
    <row r="12" spans="1:13">
      <c r="C12" s="100">
        <f>SUMPRODUCT(B8:B11,C8:C11)</f>
        <v>0.93952366304956758</v>
      </c>
      <c r="D12" s="56" t="s">
        <v>0</v>
      </c>
      <c r="E12" s="65">
        <f>SUMPRODUCT(B8:B11,C8:C11,I8:I11)</f>
        <v>0.93027955211952718</v>
      </c>
      <c r="F12" s="80"/>
      <c r="G12" s="79"/>
      <c r="M12" s="77"/>
    </row>
    <row r="13" spans="1:13">
      <c r="D13" s="66" t="s">
        <v>55</v>
      </c>
      <c r="E13" s="60">
        <f>SUMPRODUCT(H8:H11,E8:E11)*(1-B3)</f>
        <v>1.2261601318919464E-2</v>
      </c>
      <c r="F13" s="71"/>
      <c r="G13" s="79"/>
      <c r="M13" s="77"/>
    </row>
    <row r="14" spans="1:13">
      <c r="D14" s="102" t="s">
        <v>41</v>
      </c>
      <c r="E14" s="113">
        <f>E4*10^4</f>
        <v>130.0000000001134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052F-0989-4414-8535-2073F7E328EA}">
  <dimension ref="A1:M29"/>
  <sheetViews>
    <sheetView workbookViewId="0"/>
  </sheetViews>
  <sheetFormatPr defaultColWidth="9" defaultRowHeight="12.5"/>
  <cols>
    <col min="1" max="1" width="10.54296875" style="55" bestFit="1" customWidth="1"/>
    <col min="2" max="2" width="10.36328125" style="55" bestFit="1" customWidth="1"/>
    <col min="3" max="3" width="12" style="55" bestFit="1" customWidth="1"/>
    <col min="4" max="5" width="11.90625" style="55" customWidth="1"/>
    <col min="6" max="6" width="6.453125" style="55" customWidth="1"/>
    <col min="7" max="7" width="11.7265625" style="55" bestFit="1" customWidth="1"/>
    <col min="8" max="8" width="9.36328125" style="55" bestFit="1" customWidth="1"/>
    <col min="9" max="9" width="9.453125" style="55" bestFit="1" customWidth="1"/>
    <col min="10" max="10" width="10.54296875" style="55" bestFit="1" customWidth="1"/>
    <col min="11" max="11" width="30.08984375" style="55" bestFit="1" customWidth="1"/>
    <col min="12" max="12" width="10" style="55" bestFit="1" customWidth="1"/>
    <col min="13" max="13" width="12.81640625" style="55" bestFit="1" customWidth="1"/>
    <col min="14" max="14" width="16.26953125" style="55" customWidth="1"/>
    <col min="15" max="16384" width="9" style="55"/>
  </cols>
  <sheetData>
    <row r="1" spans="1:11" ht="13">
      <c r="A1" s="82" t="s">
        <v>50</v>
      </c>
      <c r="B1" s="68">
        <v>10000000</v>
      </c>
      <c r="D1" s="94" t="s">
        <v>62</v>
      </c>
      <c r="E1" s="95">
        <f>B1*B2*365/360*E28</f>
        <v>484242.41068714095</v>
      </c>
      <c r="F1" s="67"/>
      <c r="I1" s="68"/>
      <c r="J1" s="55" t="s">
        <v>63</v>
      </c>
    </row>
    <row r="2" spans="1:11" ht="13">
      <c r="A2" s="83" t="s">
        <v>60</v>
      </c>
      <c r="B2" s="69">
        <f>1%</f>
        <v>0.01</v>
      </c>
      <c r="C2" s="101">
        <f>B2*365/360</f>
        <v>1.0138888888888888E-2</v>
      </c>
      <c r="D2" s="96" t="s">
        <v>53</v>
      </c>
      <c r="E2" s="97">
        <f>B1*E29</f>
        <v>147171.49364786007</v>
      </c>
      <c r="F2" s="67"/>
      <c r="G2" s="81"/>
      <c r="H2" s="72"/>
      <c r="I2" s="69"/>
    </row>
    <row r="3" spans="1:11">
      <c r="A3" s="82" t="s">
        <v>54</v>
      </c>
      <c r="B3" s="70">
        <v>0.35</v>
      </c>
      <c r="D3" s="98" t="s">
        <v>52</v>
      </c>
      <c r="E3" s="95">
        <f>-E1+E2</f>
        <v>-337070.91703928087</v>
      </c>
      <c r="F3" s="67"/>
      <c r="G3" s="81"/>
      <c r="H3" s="73"/>
      <c r="I3" s="70"/>
      <c r="J3" s="73"/>
      <c r="K3" s="74"/>
    </row>
    <row r="4" spans="1:11" ht="13">
      <c r="A4" s="83" t="s">
        <v>61</v>
      </c>
      <c r="B4" s="69"/>
      <c r="D4" s="84" t="s">
        <v>56</v>
      </c>
      <c r="E4" s="57">
        <f>E29/E28*(360/365)</f>
        <v>3.0392111554009369E-3</v>
      </c>
    </row>
    <row r="5" spans="1:11" ht="13">
      <c r="A5" s="110" t="s">
        <v>64</v>
      </c>
      <c r="B5" s="89"/>
      <c r="C5" s="90"/>
      <c r="D5" s="91"/>
      <c r="E5" s="92"/>
      <c r="F5" s="93" t="s">
        <v>59</v>
      </c>
      <c r="G5" s="137" t="s">
        <v>49</v>
      </c>
      <c r="H5" s="137"/>
      <c r="I5" s="137"/>
    </row>
    <row r="6" spans="1:11">
      <c r="A6" s="109">
        <v>44792</v>
      </c>
      <c r="B6" s="85" t="s">
        <v>51</v>
      </c>
      <c r="C6" s="86" t="s">
        <v>57</v>
      </c>
      <c r="D6" s="85" t="s">
        <v>45</v>
      </c>
      <c r="E6" s="85" t="s">
        <v>11</v>
      </c>
      <c r="F6" s="87" t="s">
        <v>48</v>
      </c>
      <c r="G6" s="87" t="s">
        <v>58</v>
      </c>
      <c r="H6" s="88" t="s">
        <v>46</v>
      </c>
      <c r="I6" s="88" t="s">
        <v>47</v>
      </c>
    </row>
    <row r="7" spans="1:11">
      <c r="A7" s="58" t="s">
        <v>66</v>
      </c>
      <c r="B7" s="59"/>
      <c r="C7" s="107">
        <v>1.000000246575464</v>
      </c>
      <c r="D7" s="108">
        <v>0.99998699938559954</v>
      </c>
      <c r="E7" s="61"/>
      <c r="F7" s="76"/>
      <c r="G7" s="76"/>
      <c r="H7" s="76"/>
      <c r="I7" s="76"/>
    </row>
    <row r="8" spans="1:11">
      <c r="A8" s="58" t="s">
        <v>67</v>
      </c>
      <c r="B8" s="59">
        <f>(A8-A7)/365</f>
        <v>8.4931506849315067E-2</v>
      </c>
      <c r="C8" s="107">
        <v>1.000015096947392</v>
      </c>
      <c r="D8" s="108">
        <v>0.99958406416021273</v>
      </c>
      <c r="E8" s="62">
        <f t="shared" ref="E8:E27" si="0">D7-D8</f>
        <v>4.0293522538681348E-4</v>
      </c>
      <c r="F8" s="76">
        <f t="shared" ref="F8:F27" si="1">INT((A8-A7)/2)</f>
        <v>15</v>
      </c>
      <c r="G8" s="114">
        <f t="shared" ref="G8:G27" si="2">A7+F8</f>
        <v>44808</v>
      </c>
      <c r="H8" s="123">
        <v>1.0000071756966229</v>
      </c>
      <c r="I8" s="117">
        <v>0.99979201045027999</v>
      </c>
      <c r="K8" s="77"/>
    </row>
    <row r="9" spans="1:11">
      <c r="A9" s="58" t="s">
        <v>68</v>
      </c>
      <c r="B9" s="59">
        <f>(A9-A8)/365</f>
        <v>0.24931506849315069</v>
      </c>
      <c r="C9" s="107">
        <v>1.000038351656406</v>
      </c>
      <c r="D9" s="108">
        <v>0.99840219189091484</v>
      </c>
      <c r="E9" s="62">
        <f t="shared" si="0"/>
        <v>1.18187226929789E-3</v>
      </c>
      <c r="F9" s="76">
        <f t="shared" si="1"/>
        <v>45</v>
      </c>
      <c r="G9" s="114">
        <f t="shared" si="2"/>
        <v>44869</v>
      </c>
      <c r="H9" s="123">
        <v>1.0000273742606809</v>
      </c>
      <c r="I9" s="117">
        <v>0.9989994470712158</v>
      </c>
      <c r="K9" s="77"/>
    </row>
    <row r="10" spans="1:11">
      <c r="A10" s="58" t="s">
        <v>69</v>
      </c>
      <c r="B10" s="59">
        <f>(A10-A9)/365</f>
        <v>0.24657534246575341</v>
      </c>
      <c r="C10" s="107">
        <v>1.0000303866456819</v>
      </c>
      <c r="D10" s="108">
        <v>0.9972346816884714</v>
      </c>
      <c r="E10" s="62">
        <f t="shared" si="0"/>
        <v>1.1675102024434336E-3</v>
      </c>
      <c r="F10" s="76">
        <f t="shared" si="1"/>
        <v>45</v>
      </c>
      <c r="G10" s="114">
        <f t="shared" si="2"/>
        <v>44960</v>
      </c>
      <c r="H10" s="123">
        <v>1.000049090529693</v>
      </c>
      <c r="I10" s="117">
        <v>0.99781826603215107</v>
      </c>
    </row>
    <row r="11" spans="1:11">
      <c r="A11" s="58" t="s">
        <v>70</v>
      </c>
      <c r="B11" s="59">
        <f t="shared" ref="B11:B26" si="3">(A11-A10)/365</f>
        <v>0.25205479452054796</v>
      </c>
      <c r="C11" s="107">
        <v>0.9999394828310556</v>
      </c>
      <c r="D11" s="108">
        <v>0.99604263790995284</v>
      </c>
      <c r="E11" s="62">
        <f t="shared" si="0"/>
        <v>1.1920437785185589E-3</v>
      </c>
      <c r="F11" s="76">
        <f t="shared" si="1"/>
        <v>46</v>
      </c>
      <c r="G11" s="114">
        <f t="shared" si="2"/>
        <v>45051</v>
      </c>
      <c r="H11" s="123">
        <v>0.99998493370541519</v>
      </c>
      <c r="I11" s="117">
        <v>0.99663848157909152</v>
      </c>
    </row>
    <row r="12" spans="1:11">
      <c r="A12" s="58" t="s">
        <v>71</v>
      </c>
      <c r="B12" s="59">
        <f t="shared" si="3"/>
        <v>0.25205479452054796</v>
      </c>
      <c r="C12" s="107">
        <v>0.99982421368186647</v>
      </c>
      <c r="D12" s="108">
        <v>0.99485201904013032</v>
      </c>
      <c r="E12" s="62">
        <f t="shared" si="0"/>
        <v>1.190618869822524E-3</v>
      </c>
      <c r="F12" s="76">
        <f t="shared" si="1"/>
        <v>46</v>
      </c>
      <c r="G12" s="114">
        <f t="shared" si="2"/>
        <v>45143</v>
      </c>
      <c r="H12" s="123">
        <v>0.99989403402250909</v>
      </c>
      <c r="I12" s="117">
        <v>0.9954471504679564</v>
      </c>
    </row>
    <row r="13" spans="1:11">
      <c r="A13" s="58" t="s">
        <v>72</v>
      </c>
      <c r="B13" s="59">
        <f t="shared" si="3"/>
        <v>0.24931506849315069</v>
      </c>
      <c r="C13" s="107">
        <v>0.99965511347787606</v>
      </c>
      <c r="D13" s="108">
        <v>0.99367574177089812</v>
      </c>
      <c r="E13" s="62">
        <f t="shared" si="0"/>
        <v>1.1762772692321954E-3</v>
      </c>
      <c r="F13" s="76">
        <f t="shared" si="1"/>
        <v>45</v>
      </c>
      <c r="G13" s="114">
        <f t="shared" si="2"/>
        <v>45234</v>
      </c>
      <c r="H13" s="123">
        <v>0.99974058912701125</v>
      </c>
      <c r="I13" s="117">
        <v>0.99427016953671465</v>
      </c>
    </row>
    <row r="14" spans="1:11">
      <c r="A14" s="58" t="s">
        <v>73</v>
      </c>
      <c r="B14" s="59">
        <f t="shared" si="3"/>
        <v>0.25205479452054796</v>
      </c>
      <c r="C14" s="107">
        <v>0.99946127049495603</v>
      </c>
      <c r="D14" s="108">
        <v>0.9924879521687181</v>
      </c>
      <c r="E14" s="62">
        <f t="shared" si="0"/>
        <v>1.1877896021800227E-3</v>
      </c>
      <c r="F14" s="76">
        <f t="shared" si="1"/>
        <v>46</v>
      </c>
      <c r="G14" s="114">
        <f t="shared" si="2"/>
        <v>45326</v>
      </c>
      <c r="H14" s="123">
        <v>0.99956964513672331</v>
      </c>
      <c r="I14" s="117">
        <v>0.99308166938572107</v>
      </c>
    </row>
    <row r="15" spans="1:11">
      <c r="A15" s="58" t="s">
        <v>74</v>
      </c>
      <c r="B15" s="59">
        <f t="shared" si="3"/>
        <v>0.24931506849315069</v>
      </c>
      <c r="C15" s="107">
        <v>0.99920537037716206</v>
      </c>
      <c r="D15" s="108">
        <v>0.99131447008718265</v>
      </c>
      <c r="E15" s="62">
        <f t="shared" si="0"/>
        <v>1.1734820815354485E-3</v>
      </c>
      <c r="F15" s="76">
        <f t="shared" si="1"/>
        <v>45</v>
      </c>
      <c r="G15" s="114">
        <f t="shared" si="2"/>
        <v>45417</v>
      </c>
      <c r="H15" s="123">
        <v>0.99933471829057796</v>
      </c>
      <c r="I15" s="117">
        <v>0.9919074853142883</v>
      </c>
    </row>
    <row r="16" spans="1:11">
      <c r="A16" s="58" t="s">
        <v>75</v>
      </c>
      <c r="B16" s="59">
        <f t="shared" si="3"/>
        <v>0.25205479452054796</v>
      </c>
      <c r="C16" s="107">
        <v>0.99893075317899704</v>
      </c>
      <c r="D16" s="108">
        <v>0.99012950302945657</v>
      </c>
      <c r="E16" s="62">
        <f t="shared" si="0"/>
        <v>1.1849670577260829E-3</v>
      </c>
      <c r="F16" s="76">
        <f t="shared" si="1"/>
        <v>46</v>
      </c>
      <c r="G16" s="114">
        <f t="shared" si="2"/>
        <v>45509</v>
      </c>
      <c r="H16" s="123">
        <v>0.99907603920576704</v>
      </c>
      <c r="I16" s="117">
        <v>0.99072180939622567</v>
      </c>
    </row>
    <row r="17" spans="1:13">
      <c r="A17" s="58" t="s">
        <v>76</v>
      </c>
      <c r="B17" s="59">
        <f t="shared" si="3"/>
        <v>0.24931506849315069</v>
      </c>
      <c r="C17" s="107">
        <v>0.99862309626278545</v>
      </c>
      <c r="D17" s="108">
        <v>0.98895880949341342</v>
      </c>
      <c r="E17" s="62">
        <f t="shared" si="0"/>
        <v>1.1706935360431547E-3</v>
      </c>
      <c r="F17" s="76">
        <f t="shared" si="1"/>
        <v>45</v>
      </c>
      <c r="G17" s="114">
        <f t="shared" si="2"/>
        <v>45600</v>
      </c>
      <c r="H17" s="123">
        <v>0.9987786032988456</v>
      </c>
      <c r="I17" s="117">
        <v>0.98955041553842371</v>
      </c>
    </row>
    <row r="18" spans="1:13">
      <c r="A18" s="58" t="s">
        <v>77</v>
      </c>
      <c r="B18" s="59">
        <f t="shared" si="3"/>
        <v>0.24931506849315069</v>
      </c>
      <c r="C18" s="107">
        <v>0.99831553410066742</v>
      </c>
      <c r="D18" s="108">
        <v>0.98778950014332878</v>
      </c>
      <c r="E18" s="62">
        <f t="shared" si="0"/>
        <v>1.1693093500846352E-3</v>
      </c>
      <c r="F18" s="76">
        <f t="shared" si="1"/>
        <v>45</v>
      </c>
      <c r="G18" s="114">
        <f t="shared" si="2"/>
        <v>45691</v>
      </c>
      <c r="H18" s="123">
        <v>0.99847099324270194</v>
      </c>
      <c r="I18" s="117">
        <v>0.98838040669461569</v>
      </c>
    </row>
    <row r="19" spans="1:13">
      <c r="A19" s="58" t="s">
        <v>78</v>
      </c>
      <c r="B19" s="59">
        <f t="shared" si="3"/>
        <v>0.24931506849315069</v>
      </c>
      <c r="C19" s="107">
        <v>0.99800806666345998</v>
      </c>
      <c r="D19" s="108">
        <v>0.98662157334259115</v>
      </c>
      <c r="E19" s="62">
        <f t="shared" si="0"/>
        <v>1.1679268007376287E-3</v>
      </c>
      <c r="F19" s="76">
        <f t="shared" si="1"/>
        <v>45</v>
      </c>
      <c r="G19" s="114">
        <f t="shared" si="2"/>
        <v>45782</v>
      </c>
      <c r="H19" s="123">
        <v>0.99816347792621951</v>
      </c>
      <c r="I19" s="117">
        <v>0.98721178122721087</v>
      </c>
    </row>
    <row r="20" spans="1:13">
      <c r="A20" s="58" t="s">
        <v>79</v>
      </c>
      <c r="B20" s="59">
        <f t="shared" si="3"/>
        <v>0.25753424657534246</v>
      </c>
      <c r="C20" s="107">
        <v>0.99764262734653752</v>
      </c>
      <c r="D20" s="108">
        <v>0.98541659339373178</v>
      </c>
      <c r="E20" s="62">
        <f t="shared" si="0"/>
        <v>1.2049799488593749E-3</v>
      </c>
      <c r="F20" s="76">
        <f t="shared" si="1"/>
        <v>47</v>
      </c>
      <c r="G20" s="114">
        <f t="shared" si="2"/>
        <v>45875</v>
      </c>
      <c r="H20" s="123">
        <v>0.99784930188681276</v>
      </c>
      <c r="I20" s="117">
        <v>0.98601889929758446</v>
      </c>
    </row>
    <row r="21" spans="1:13">
      <c r="A21" s="58" t="s">
        <v>80</v>
      </c>
      <c r="B21" s="59">
        <f t="shared" si="3"/>
        <v>0.24931506849315069</v>
      </c>
      <c r="C21" s="107">
        <v>0.99717964222074018</v>
      </c>
      <c r="D21" s="108">
        <v>0.9842514722326452</v>
      </c>
      <c r="E21" s="62">
        <f t="shared" si="0"/>
        <v>1.1651211610865797E-3</v>
      </c>
      <c r="F21" s="76">
        <f t="shared" si="1"/>
        <v>45</v>
      </c>
      <c r="G21" s="114">
        <f t="shared" si="2"/>
        <v>45967</v>
      </c>
      <c r="H21" s="123">
        <v>0.99741365179722674</v>
      </c>
      <c r="I21" s="117">
        <v>0.98484026229669397</v>
      </c>
    </row>
    <row r="22" spans="1:13">
      <c r="A22" s="58" t="s">
        <v>81</v>
      </c>
      <c r="B22" s="59">
        <f t="shared" si="3"/>
        <v>0.24931506849315069</v>
      </c>
      <c r="C22" s="107">
        <v>0.99671687195667868</v>
      </c>
      <c r="D22" s="108">
        <v>0.98308772866894145</v>
      </c>
      <c r="E22" s="62">
        <f t="shared" si="0"/>
        <v>1.1637435637037452E-3</v>
      </c>
      <c r="F22" s="76">
        <f t="shared" si="1"/>
        <v>45</v>
      </c>
      <c r="G22" s="114">
        <f t="shared" si="2"/>
        <v>46058</v>
      </c>
      <c r="H22" s="123">
        <v>0.99695077293420387</v>
      </c>
      <c r="I22" s="117">
        <v>0.98367582256878139</v>
      </c>
    </row>
    <row r="23" spans="1:13">
      <c r="A23" s="58" t="s">
        <v>82</v>
      </c>
      <c r="B23" s="59">
        <f t="shared" si="3"/>
        <v>0.24931506849315069</v>
      </c>
      <c r="C23" s="107">
        <v>0.99625431645464035</v>
      </c>
      <c r="D23" s="108">
        <v>0.9819253610737988</v>
      </c>
      <c r="E23" s="62">
        <f t="shared" si="0"/>
        <v>1.1623675951426549E-3</v>
      </c>
      <c r="F23" s="76">
        <f t="shared" si="1"/>
        <v>45</v>
      </c>
      <c r="G23" s="114">
        <f t="shared" si="2"/>
        <v>46149</v>
      </c>
      <c r="H23" s="123">
        <v>0.99648810888360262</v>
      </c>
      <c r="I23" s="117">
        <v>0.98251275963254947</v>
      </c>
    </row>
    <row r="24" spans="1:13">
      <c r="A24" s="58" t="s">
        <v>83</v>
      </c>
      <c r="B24" s="59">
        <f t="shared" si="3"/>
        <v>0.24931506849315069</v>
      </c>
      <c r="C24" s="107">
        <v>0.99579197561495836</v>
      </c>
      <c r="D24" s="108">
        <v>0.9807643678203215</v>
      </c>
      <c r="E24" s="62">
        <f t="shared" si="0"/>
        <v>1.1609932534772938E-3</v>
      </c>
      <c r="F24" s="76">
        <f t="shared" si="1"/>
        <v>45</v>
      </c>
      <c r="G24" s="114">
        <f t="shared" si="2"/>
        <v>46240</v>
      </c>
      <c r="H24" s="123">
        <v>0.99602565954573286</v>
      </c>
      <c r="I24" s="117">
        <v>0.98135107186012926</v>
      </c>
    </row>
    <row r="25" spans="1:13">
      <c r="A25" s="58" t="s">
        <v>84</v>
      </c>
      <c r="B25" s="59">
        <f t="shared" si="3"/>
        <v>0.24931506849315069</v>
      </c>
      <c r="C25" s="107">
        <v>0.99532984933801261</v>
      </c>
      <c r="D25" s="108">
        <v>0.97960474728353741</v>
      </c>
      <c r="E25" s="62">
        <f t="shared" si="0"/>
        <v>1.1596205367840895E-3</v>
      </c>
      <c r="F25" s="76">
        <f t="shared" si="1"/>
        <v>45</v>
      </c>
      <c r="G25" s="114">
        <f t="shared" si="2"/>
        <v>46331</v>
      </c>
      <c r="H25" s="123">
        <v>0.99556342482095106</v>
      </c>
      <c r="I25" s="117">
        <v>0.9801907576255765</v>
      </c>
    </row>
    <row r="26" spans="1:13">
      <c r="A26" s="58" t="s">
        <v>85</v>
      </c>
      <c r="B26" s="59">
        <f t="shared" si="3"/>
        <v>0.25205479452054796</v>
      </c>
      <c r="C26" s="107">
        <v>0.99486286276117875</v>
      </c>
      <c r="D26" s="108">
        <v>0.97843377743476578</v>
      </c>
      <c r="E26" s="62">
        <f t="shared" si="0"/>
        <v>1.1709698487716302E-3</v>
      </c>
      <c r="F26" s="76">
        <f t="shared" si="1"/>
        <v>46</v>
      </c>
      <c r="G26" s="114">
        <f t="shared" si="2"/>
        <v>46423</v>
      </c>
      <c r="H26" s="123">
        <v>0.99509632865570752</v>
      </c>
      <c r="I26" s="117">
        <v>0.97901908728975284</v>
      </c>
    </row>
    <row r="27" spans="1:13">
      <c r="A27" s="63">
        <v>46559</v>
      </c>
      <c r="B27" s="99">
        <f>(A27-A26)/365+1/365</f>
        <v>0.24931506849315066</v>
      </c>
      <c r="C27" s="121">
        <v>0.99441131250791204</v>
      </c>
      <c r="D27" s="122">
        <v>0.97730232340042356</v>
      </c>
      <c r="E27" s="64">
        <f t="shared" si="0"/>
        <v>1.1314540343422275E-3</v>
      </c>
      <c r="F27" s="78">
        <f t="shared" si="1"/>
        <v>45</v>
      </c>
      <c r="G27" s="115">
        <f t="shared" si="2"/>
        <v>46514</v>
      </c>
      <c r="H27" s="124">
        <v>0.99463959881230746</v>
      </c>
      <c r="I27" s="120">
        <v>0.97787424327590622</v>
      </c>
      <c r="K27" s="77"/>
    </row>
    <row r="28" spans="1:13">
      <c r="C28" s="100">
        <f>SUMPRODUCT(B8:B27,C8:C27)</f>
        <v>4.8311411067471894</v>
      </c>
      <c r="D28" s="56" t="s">
        <v>0</v>
      </c>
      <c r="E28" s="65">
        <f>SUMPRODUCT(B8:B27,C8:C27,I8:I27)</f>
        <v>4.7760895300649517</v>
      </c>
      <c r="F28" s="80"/>
      <c r="G28" s="79"/>
      <c r="M28" s="77"/>
    </row>
    <row r="29" spans="1:13">
      <c r="D29" s="66" t="s">
        <v>55</v>
      </c>
      <c r="E29" s="60">
        <f>SUMPRODUCT(H8:H27,E8:E27)*(1-B3)</f>
        <v>1.4717149364786008E-2</v>
      </c>
      <c r="F29" s="71"/>
      <c r="G29" s="79"/>
      <c r="M29" s="77"/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ColWidth="9" defaultRowHeight="14"/>
  <cols>
    <col min="1" max="1" width="10.54296875" style="1" bestFit="1" customWidth="1"/>
    <col min="2" max="2" width="6.36328125" style="1" bestFit="1" customWidth="1"/>
    <col min="3" max="3" width="10.36328125" style="1" bestFit="1" customWidth="1"/>
    <col min="4" max="4" width="2.36328125" style="1" customWidth="1"/>
    <col min="5" max="5" width="14.26953125" style="1" bestFit="1" customWidth="1"/>
    <col min="6" max="6" width="12.453125" style="1" bestFit="1" customWidth="1"/>
    <col min="7" max="7" width="26.26953125" style="1" customWidth="1"/>
    <col min="8" max="8" width="10" style="1" bestFit="1" customWidth="1"/>
    <col min="9" max="9" width="8.7265625" style="1" bestFit="1" customWidth="1"/>
    <col min="10" max="10" width="12.08984375" style="1" bestFit="1" customWidth="1"/>
    <col min="11" max="16384" width="9" style="1"/>
  </cols>
  <sheetData>
    <row r="1" spans="1:7">
      <c r="A1" s="2"/>
      <c r="B1" s="2"/>
      <c r="C1" s="2"/>
      <c r="D1" s="2"/>
      <c r="G1" s="21" t="s">
        <v>17</v>
      </c>
    </row>
    <row r="2" spans="1:7">
      <c r="A2" s="20" t="s">
        <v>3</v>
      </c>
      <c r="B2" s="2"/>
      <c r="C2" s="17">
        <v>10000000</v>
      </c>
      <c r="D2" s="17"/>
      <c r="E2" s="29" t="s">
        <v>13</v>
      </c>
      <c r="F2" s="30">
        <f>C2*C3*F12</f>
        <v>74001.508080772721</v>
      </c>
      <c r="G2" s="36" t="s">
        <v>19</v>
      </c>
    </row>
    <row r="3" spans="1:7">
      <c r="A3" s="20" t="s">
        <v>1</v>
      </c>
      <c r="B3" s="2"/>
      <c r="C3" s="18">
        <v>0.01</v>
      </c>
      <c r="D3" s="18"/>
      <c r="E3" s="31" t="s">
        <v>14</v>
      </c>
      <c r="F3" s="32">
        <f>C2*F13</f>
        <v>111002.26198152962</v>
      </c>
      <c r="G3" s="36" t="s">
        <v>20</v>
      </c>
    </row>
    <row r="4" spans="1:7">
      <c r="A4" s="20" t="s">
        <v>2</v>
      </c>
      <c r="B4" s="2"/>
      <c r="C4" s="19">
        <v>0.35</v>
      </c>
      <c r="D4" s="19"/>
      <c r="E4" s="6" t="s">
        <v>27</v>
      </c>
      <c r="F4" s="3">
        <f>-F2+F3</f>
        <v>37000.753900756899</v>
      </c>
      <c r="G4" s="36" t="s">
        <v>16</v>
      </c>
    </row>
    <row r="5" spans="1:7">
      <c r="A5" s="20" t="s">
        <v>15</v>
      </c>
      <c r="B5" s="2"/>
      <c r="C5" s="34">
        <v>2.3010609928937508E-2</v>
      </c>
      <c r="D5" s="18"/>
      <c r="E5" s="6" t="s">
        <v>4</v>
      </c>
      <c r="F5" s="4">
        <f>F13/F12</f>
        <v>1.4999999981131537E-2</v>
      </c>
      <c r="G5" s="36" t="s">
        <v>21</v>
      </c>
    </row>
    <row r="6" spans="1:7" ht="25">
      <c r="A6" s="27" t="s">
        <v>7</v>
      </c>
      <c r="B6" s="27" t="s">
        <v>5</v>
      </c>
      <c r="C6" s="28" t="s">
        <v>6</v>
      </c>
      <c r="D6" s="28"/>
      <c r="E6" s="27" t="s">
        <v>12</v>
      </c>
      <c r="F6" s="27" t="s">
        <v>11</v>
      </c>
      <c r="G6" s="33" t="s">
        <v>17</v>
      </c>
    </row>
    <row r="7" spans="1:7">
      <c r="A7" s="9">
        <v>0</v>
      </c>
      <c r="B7" s="5"/>
      <c r="C7" s="6"/>
      <c r="D7" s="6"/>
      <c r="E7" s="7">
        <v>1</v>
      </c>
      <c r="F7" s="8"/>
      <c r="G7" s="23"/>
    </row>
    <row r="8" spans="1:7">
      <c r="A8" s="9">
        <v>0.25</v>
      </c>
      <c r="B8" s="5">
        <f>A8-A7</f>
        <v>0.25</v>
      </c>
      <c r="C8" s="9">
        <v>0.9</v>
      </c>
      <c r="D8" s="9"/>
      <c r="E8" s="10">
        <f>E7*EXP(-$C$5*B8)</f>
        <v>0.99426386233987007</v>
      </c>
      <c r="F8" s="10">
        <f>E7-E8</f>
        <v>5.7361376601299252E-3</v>
      </c>
      <c r="G8" s="36" t="s">
        <v>8</v>
      </c>
    </row>
    <row r="9" spans="1:7">
      <c r="A9" s="9">
        <v>0.5</v>
      </c>
      <c r="B9" s="5">
        <f>A9-A8</f>
        <v>0.25</v>
      </c>
      <c r="C9" s="9">
        <v>0.8</v>
      </c>
      <c r="D9" s="9"/>
      <c r="E9" s="10">
        <f>E8*EXP(-$C$5*B9)</f>
        <v>0.98856062795499611</v>
      </c>
      <c r="F9" s="10">
        <f>E8-E9</f>
        <v>5.7032343848739675E-3</v>
      </c>
      <c r="G9" s="36" t="s">
        <v>9</v>
      </c>
    </row>
    <row r="10" spans="1:7">
      <c r="A10" s="9">
        <v>0.75</v>
      </c>
      <c r="B10" s="5">
        <f>A10-A9</f>
        <v>0.25</v>
      </c>
      <c r="C10" s="9">
        <v>0.7</v>
      </c>
      <c r="D10" s="9"/>
      <c r="E10" s="10">
        <f>E9*EXP(-$C$5*B10)</f>
        <v>0.98289010810766175</v>
      </c>
      <c r="F10" s="10">
        <f>E9-E10</f>
        <v>5.6705198473343543E-3</v>
      </c>
      <c r="G10" s="36" t="s">
        <v>18</v>
      </c>
    </row>
    <row r="11" spans="1:7">
      <c r="A11" s="13">
        <v>1</v>
      </c>
      <c r="B11" s="12">
        <f>A11-A10</f>
        <v>0.25</v>
      </c>
      <c r="C11" s="13">
        <v>0.6</v>
      </c>
      <c r="D11" s="13"/>
      <c r="E11" s="14">
        <f>E10*EXP(-$C$5*B11)</f>
        <v>0.97725211514277621</v>
      </c>
      <c r="F11" s="14">
        <f>E10-E11</f>
        <v>5.6379929648855409E-3</v>
      </c>
      <c r="G11" s="24"/>
    </row>
    <row r="12" spans="1:7">
      <c r="A12" s="2"/>
      <c r="B12" s="6"/>
      <c r="C12" s="16"/>
      <c r="D12" s="16"/>
      <c r="E12" s="6" t="s">
        <v>0</v>
      </c>
      <c r="F12" s="25">
        <f>SUMPRODUCT(B8:B11,C8:C11,E8:E11)</f>
        <v>0.74001508080772727</v>
      </c>
      <c r="G12" s="22" t="s">
        <v>22</v>
      </c>
    </row>
    <row r="13" spans="1:7">
      <c r="A13" s="2"/>
      <c r="B13" s="2"/>
      <c r="C13" s="2"/>
      <c r="D13" s="2"/>
      <c r="E13" s="26" t="s">
        <v>10</v>
      </c>
      <c r="F13" s="7">
        <f>SUMPRODUCT(C8:C11,F8:F11)*(1-C4)</f>
        <v>1.1100226198152962E-2</v>
      </c>
      <c r="G13" s="22" t="s">
        <v>23</v>
      </c>
    </row>
    <row r="14" spans="1:7">
      <c r="A14" s="2"/>
      <c r="B14" s="2"/>
      <c r="C14" s="2"/>
      <c r="D14" s="2"/>
      <c r="E14" s="42" t="s">
        <v>28</v>
      </c>
      <c r="F14" s="42">
        <f>F5*10^4</f>
        <v>149.99999981131538</v>
      </c>
      <c r="G14" s="22" t="s">
        <v>29</v>
      </c>
    </row>
    <row r="16" spans="1:7">
      <c r="E16" s="6"/>
    </row>
  </sheetData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/>
  </sheetViews>
  <sheetFormatPr defaultColWidth="9" defaultRowHeight="14"/>
  <cols>
    <col min="1" max="1" width="10" style="1" customWidth="1"/>
    <col min="2" max="2" width="9.36328125" style="1" customWidth="1"/>
    <col min="3" max="3" width="10.26953125" style="1" bestFit="1" customWidth="1"/>
    <col min="4" max="4" width="10.26953125" style="1" customWidth="1"/>
    <col min="5" max="5" width="10.08984375" style="1" customWidth="1"/>
    <col min="6" max="6" width="9.7265625" style="1" customWidth="1"/>
    <col min="7" max="7" width="28.36328125" style="1" customWidth="1"/>
    <col min="8" max="8" width="10" style="1" bestFit="1" customWidth="1"/>
    <col min="9" max="9" width="11.36328125" style="1" bestFit="1" customWidth="1"/>
    <col min="10" max="10" width="11.1796875" style="1" bestFit="1" customWidth="1"/>
    <col min="11" max="16384" width="9" style="1"/>
  </cols>
  <sheetData>
    <row r="1" spans="1:10">
      <c r="A1" s="2"/>
      <c r="B1" s="2"/>
      <c r="C1" s="2"/>
      <c r="D1" s="2"/>
      <c r="E1" s="2"/>
      <c r="F1" s="2"/>
      <c r="G1" s="21" t="s">
        <v>17</v>
      </c>
    </row>
    <row r="2" spans="1:10">
      <c r="A2" s="39" t="s">
        <v>3</v>
      </c>
      <c r="B2" s="2"/>
      <c r="C2" s="17">
        <v>10000000</v>
      </c>
      <c r="D2" s="17"/>
      <c r="E2" s="29" t="s">
        <v>13</v>
      </c>
      <c r="F2" s="30">
        <f>C2*C3*F28</f>
        <v>484005.51256231987</v>
      </c>
      <c r="G2" s="36" t="s">
        <v>33</v>
      </c>
    </row>
    <row r="3" spans="1:10">
      <c r="A3" s="39" t="s">
        <v>1</v>
      </c>
      <c r="B3" s="2"/>
      <c r="C3" s="18">
        <v>0.01</v>
      </c>
      <c r="D3" s="18"/>
      <c r="E3" s="31" t="s">
        <v>14</v>
      </c>
      <c r="F3" s="32">
        <f>C2*F29</f>
        <v>147263.51691464739</v>
      </c>
      <c r="G3" s="36" t="s">
        <v>34</v>
      </c>
    </row>
    <row r="4" spans="1:10">
      <c r="A4" s="39" t="s">
        <v>2</v>
      </c>
      <c r="B4" s="2"/>
      <c r="C4" s="19">
        <v>0.35</v>
      </c>
      <c r="D4" s="19"/>
      <c r="E4" s="6" t="s">
        <v>27</v>
      </c>
      <c r="F4" s="49">
        <f>-F2+F3</f>
        <v>-336741.99564767245</v>
      </c>
      <c r="G4" s="36" t="s">
        <v>16</v>
      </c>
    </row>
    <row r="5" spans="1:10">
      <c r="A5" s="39" t="s">
        <v>15</v>
      </c>
      <c r="B5" s="2"/>
      <c r="C5" s="34">
        <v>4.6809236077956784E-3</v>
      </c>
      <c r="D5" s="34"/>
      <c r="E5" s="6" t="s">
        <v>4</v>
      </c>
      <c r="F5" s="4">
        <f>F29/F28</f>
        <v>3.0425999930256153E-3</v>
      </c>
      <c r="G5" s="36" t="s">
        <v>35</v>
      </c>
    </row>
    <row r="6" spans="1:10" ht="37.5">
      <c r="A6" s="27" t="s">
        <v>7</v>
      </c>
      <c r="B6" s="27" t="s">
        <v>43</v>
      </c>
      <c r="C6" s="28" t="s">
        <v>6</v>
      </c>
      <c r="D6" s="28" t="s">
        <v>12</v>
      </c>
      <c r="E6" s="28" t="s">
        <v>24</v>
      </c>
      <c r="F6" s="27" t="s">
        <v>11</v>
      </c>
      <c r="G6" s="33" t="s">
        <v>25</v>
      </c>
    </row>
    <row r="7" spans="1:10">
      <c r="A7" s="103">
        <v>44793</v>
      </c>
      <c r="B7" s="5"/>
      <c r="C7" s="6"/>
      <c r="D7" s="10">
        <v>1</v>
      </c>
      <c r="E7" s="10"/>
      <c r="F7" s="8"/>
      <c r="G7" s="36" t="s">
        <v>26</v>
      </c>
    </row>
    <row r="8" spans="1:10">
      <c r="A8" s="104">
        <v>44824</v>
      </c>
      <c r="B8" s="35">
        <f>(A8-A7)/360</f>
        <v>8.611111111111111E-2</v>
      </c>
      <c r="C8" s="43">
        <v>1.00001451</v>
      </c>
      <c r="D8" s="10">
        <f>D7*EXP(-$C$5*B8)</f>
        <v>0.99959700169274757</v>
      </c>
      <c r="E8" s="37">
        <f>(D7+D8)/2</f>
        <v>0.99979850084637378</v>
      </c>
      <c r="F8" s="11">
        <f>D7-D8</f>
        <v>4.0299830725243346E-4</v>
      </c>
      <c r="G8" s="36" t="s">
        <v>8</v>
      </c>
    </row>
    <row r="9" spans="1:10">
      <c r="A9" s="104">
        <v>44915</v>
      </c>
      <c r="B9" s="35">
        <f t="shared" ref="B9:B27" si="0">(A9-A8)/360</f>
        <v>0.25277777777777777</v>
      </c>
      <c r="C9" s="43">
        <v>1.00005721</v>
      </c>
      <c r="D9" s="10">
        <f>D8*EXP(-$C$5*B9)</f>
        <v>0.99841494452901502</v>
      </c>
      <c r="E9" s="10">
        <f t="shared" ref="E9:E27" si="1">(D8+D9)/2</f>
        <v>0.99900597311088135</v>
      </c>
      <c r="F9" s="11">
        <f t="shared" ref="F9:F27" si="2">D8-D9</f>
        <v>1.1820571637325417E-3</v>
      </c>
      <c r="G9" s="36" t="s">
        <v>9</v>
      </c>
    </row>
    <row r="10" spans="1:10">
      <c r="A10" s="104">
        <v>45005</v>
      </c>
      <c r="B10" s="35">
        <f t="shared" si="0"/>
        <v>0.25</v>
      </c>
      <c r="C10" s="43">
        <v>1.0000438</v>
      </c>
      <c r="D10" s="10">
        <f t="shared" ref="D10:D27" si="3">D9*EXP(-$C$5*B10)</f>
        <v>0.99724725187622987</v>
      </c>
      <c r="E10" s="10">
        <f t="shared" si="1"/>
        <v>0.99783109820262239</v>
      </c>
      <c r="F10" s="11">
        <f t="shared" si="2"/>
        <v>1.1676926527851572E-3</v>
      </c>
      <c r="G10" s="36" t="s">
        <v>18</v>
      </c>
    </row>
    <row r="11" spans="1:10">
      <c r="A11" s="104">
        <v>45097</v>
      </c>
      <c r="B11" s="35">
        <f t="shared" si="0"/>
        <v>0.25555555555555554</v>
      </c>
      <c r="C11" s="43">
        <v>0.99996907999999995</v>
      </c>
      <c r="D11" s="10">
        <f t="shared" si="3"/>
        <v>0.99605502201595308</v>
      </c>
      <c r="E11" s="10">
        <f t="shared" si="1"/>
        <v>0.99665113694609153</v>
      </c>
      <c r="F11" s="11">
        <f t="shared" si="2"/>
        <v>1.1922298602767833E-3</v>
      </c>
      <c r="G11" s="22"/>
    </row>
    <row r="12" spans="1:10">
      <c r="A12" s="104">
        <v>45189</v>
      </c>
      <c r="B12" s="35">
        <f t="shared" si="0"/>
        <v>0.25555555555555554</v>
      </c>
      <c r="C12" s="43">
        <v>0.99982992000000004</v>
      </c>
      <c r="D12" s="10">
        <f t="shared" si="3"/>
        <v>0.99486421749130594</v>
      </c>
      <c r="E12" s="10">
        <f t="shared" si="1"/>
        <v>0.99545961975362951</v>
      </c>
      <c r="F12" s="11">
        <f t="shared" si="2"/>
        <v>1.1908045246471488E-3</v>
      </c>
    </row>
    <row r="13" spans="1:10">
      <c r="A13" s="104">
        <v>45280</v>
      </c>
      <c r="B13" s="35">
        <f t="shared" si="0"/>
        <v>0.25277777777777777</v>
      </c>
      <c r="C13" s="43">
        <v>0.99966783000000004</v>
      </c>
      <c r="D13" s="10">
        <f t="shared" si="3"/>
        <v>0.99368775700449452</v>
      </c>
      <c r="E13" s="10">
        <f t="shared" si="1"/>
        <v>0.99427598724790023</v>
      </c>
      <c r="F13" s="11">
        <f t="shared" si="2"/>
        <v>1.1764604868114148E-3</v>
      </c>
      <c r="J13" s="51"/>
    </row>
    <row r="14" spans="1:10">
      <c r="A14" s="104">
        <v>45372</v>
      </c>
      <c r="B14" s="35">
        <f t="shared" si="0"/>
        <v>0.25555555555555554</v>
      </c>
      <c r="C14" s="43">
        <v>0.99945625999999999</v>
      </c>
      <c r="D14" s="10">
        <f t="shared" si="3"/>
        <v>0.99249978259447402</v>
      </c>
      <c r="E14" s="10">
        <f t="shared" si="1"/>
        <v>0.99309376979948427</v>
      </c>
      <c r="F14" s="11">
        <f t="shared" si="2"/>
        <v>1.1879744100204981E-3</v>
      </c>
      <c r="G14" s="2"/>
      <c r="J14" s="51"/>
    </row>
    <row r="15" spans="1:10">
      <c r="A15" s="104">
        <v>45463</v>
      </c>
      <c r="B15" s="35">
        <f t="shared" si="0"/>
        <v>0.25277777777777777</v>
      </c>
      <c r="C15" s="43">
        <v>0.99920366000000005</v>
      </c>
      <c r="D15" s="10">
        <f t="shared" si="3"/>
        <v>0.99132611813166349</v>
      </c>
      <c r="E15" s="10">
        <f t="shared" si="1"/>
        <v>0.99191295036306881</v>
      </c>
      <c r="F15" s="11">
        <f t="shared" si="2"/>
        <v>1.1736644628105308E-3</v>
      </c>
    </row>
    <row r="16" spans="1:10">
      <c r="A16" s="104">
        <v>45555</v>
      </c>
      <c r="B16" s="35">
        <f t="shared" si="0"/>
        <v>0.25555555555555554</v>
      </c>
      <c r="C16" s="43">
        <v>0.99893145000000005</v>
      </c>
      <c r="D16" s="10">
        <f t="shared" si="3"/>
        <v>0.99014096711010358</v>
      </c>
      <c r="E16" s="10">
        <f t="shared" si="1"/>
        <v>0.99073354262088353</v>
      </c>
      <c r="F16" s="11">
        <f t="shared" si="2"/>
        <v>1.1851510215599159E-3</v>
      </c>
    </row>
    <row r="17" spans="1:7">
      <c r="A17" s="104">
        <v>45646</v>
      </c>
      <c r="B17" s="35">
        <f t="shared" si="0"/>
        <v>0.25277777777777777</v>
      </c>
      <c r="C17" s="43">
        <v>0.99862408000000003</v>
      </c>
      <c r="D17" s="10">
        <f t="shared" si="3"/>
        <v>0.98897009202614916</v>
      </c>
      <c r="E17" s="10">
        <f t="shared" si="1"/>
        <v>0.98955552956812642</v>
      </c>
      <c r="F17" s="11">
        <f t="shared" si="2"/>
        <v>1.1708750839544146E-3</v>
      </c>
    </row>
    <row r="18" spans="1:7">
      <c r="A18" s="104">
        <v>45737</v>
      </c>
      <c r="B18" s="35">
        <f t="shared" si="0"/>
        <v>0.25277777777777777</v>
      </c>
      <c r="C18" s="43">
        <v>0.99831681000000005</v>
      </c>
      <c r="D18" s="10">
        <f t="shared" si="3"/>
        <v>0.98780060154146676</v>
      </c>
      <c r="E18" s="10">
        <f t="shared" si="1"/>
        <v>0.98838534678380796</v>
      </c>
      <c r="F18" s="11">
        <f t="shared" si="2"/>
        <v>1.1694904846824006E-3</v>
      </c>
    </row>
    <row r="19" spans="1:7">
      <c r="A19" s="104">
        <v>45828</v>
      </c>
      <c r="B19" s="35">
        <f t="shared" si="0"/>
        <v>0.25277777777777777</v>
      </c>
      <c r="C19" s="43">
        <v>0.99800962999999998</v>
      </c>
      <c r="D19" s="10">
        <f t="shared" si="3"/>
        <v>0.986632494018721</v>
      </c>
      <c r="E19" s="10">
        <f t="shared" si="1"/>
        <v>0.98721654778009382</v>
      </c>
      <c r="F19" s="11">
        <f t="shared" si="2"/>
        <v>1.1681075227457649E-3</v>
      </c>
    </row>
    <row r="20" spans="1:7">
      <c r="A20" s="104">
        <v>45922</v>
      </c>
      <c r="B20" s="35">
        <f t="shared" si="0"/>
        <v>0.26111111111111113</v>
      </c>
      <c r="C20" s="43">
        <v>0.99766577999999995</v>
      </c>
      <c r="D20" s="10">
        <f t="shared" si="3"/>
        <v>0.98542732782243492</v>
      </c>
      <c r="E20" s="10">
        <f t="shared" si="1"/>
        <v>0.9860299109205779</v>
      </c>
      <c r="F20" s="11">
        <f t="shared" si="2"/>
        <v>1.2051661962860782E-3</v>
      </c>
    </row>
    <row r="21" spans="1:7">
      <c r="A21" s="104">
        <v>46013</v>
      </c>
      <c r="B21" s="35">
        <f t="shared" si="0"/>
        <v>0.25277777777777777</v>
      </c>
      <c r="C21" s="43">
        <v>0.99727224999999997</v>
      </c>
      <c r="D21" s="10">
        <f t="shared" si="3"/>
        <v>0.98426202677589547</v>
      </c>
      <c r="E21" s="10">
        <f t="shared" si="1"/>
        <v>0.98484467729916525</v>
      </c>
      <c r="F21" s="11">
        <f t="shared" si="2"/>
        <v>1.1653010465394464E-3</v>
      </c>
    </row>
    <row r="22" spans="1:7">
      <c r="A22" s="104">
        <v>46104</v>
      </c>
      <c r="B22" s="35">
        <f t="shared" si="0"/>
        <v>0.25277777777777777</v>
      </c>
      <c r="C22" s="43">
        <v>0.99687886999999997</v>
      </c>
      <c r="D22" s="10">
        <f t="shared" si="3"/>
        <v>0.98309810373714079</v>
      </c>
      <c r="E22" s="10">
        <f t="shared" si="1"/>
        <v>0.98368006525651808</v>
      </c>
      <c r="F22" s="11">
        <f t="shared" si="2"/>
        <v>1.1639230387546773E-3</v>
      </c>
    </row>
    <row r="23" spans="1:7">
      <c r="A23" s="104">
        <v>46195</v>
      </c>
      <c r="B23" s="35">
        <f t="shared" si="0"/>
        <v>0.25277777777777777</v>
      </c>
      <c r="C23" s="43">
        <v>0.99648566000000005</v>
      </c>
      <c r="D23" s="10">
        <f t="shared" si="3"/>
        <v>0.98193555707663016</v>
      </c>
      <c r="E23" s="10">
        <f t="shared" si="1"/>
        <v>0.98251683040688542</v>
      </c>
      <c r="F23" s="11">
        <f t="shared" si="2"/>
        <v>1.1625466605106327E-3</v>
      </c>
    </row>
    <row r="24" spans="1:7">
      <c r="A24" s="105">
        <v>46289</v>
      </c>
      <c r="B24" s="46">
        <f t="shared" si="0"/>
        <v>0.26111111111111113</v>
      </c>
      <c r="C24" s="43">
        <v>0.99603244000000002</v>
      </c>
      <c r="D24" s="47">
        <f t="shared" si="3"/>
        <v>0.98073612816313482</v>
      </c>
      <c r="E24" s="47">
        <f t="shared" si="1"/>
        <v>0.98133584261988249</v>
      </c>
      <c r="F24" s="48">
        <f t="shared" si="2"/>
        <v>1.1994289134953373E-3</v>
      </c>
    </row>
    <row r="25" spans="1:7">
      <c r="A25" s="104">
        <v>46377</v>
      </c>
      <c r="B25" s="35">
        <f t="shared" si="0"/>
        <v>0.24444444444444444</v>
      </c>
      <c r="C25" s="43">
        <v>0.99551858999999998</v>
      </c>
      <c r="D25" s="10">
        <f t="shared" si="3"/>
        <v>0.97961458638181109</v>
      </c>
      <c r="E25" s="10">
        <f t="shared" si="1"/>
        <v>0.98017535727247296</v>
      </c>
      <c r="F25" s="11">
        <f t="shared" si="2"/>
        <v>1.1215417813237316E-3</v>
      </c>
    </row>
    <row r="26" spans="1:7">
      <c r="A26" s="104">
        <v>46469</v>
      </c>
      <c r="B26" s="35">
        <f t="shared" si="0"/>
        <v>0.25555555555555554</v>
      </c>
      <c r="C26" s="43">
        <v>0.99498167000000004</v>
      </c>
      <c r="D26" s="10">
        <f t="shared" si="3"/>
        <v>0.97844343674038592</v>
      </c>
      <c r="E26" s="10">
        <f t="shared" si="1"/>
        <v>0.97902901156109845</v>
      </c>
      <c r="F26" s="11">
        <f t="shared" si="2"/>
        <v>1.1711496414251732E-3</v>
      </c>
    </row>
    <row r="27" spans="1:7">
      <c r="A27" s="106">
        <v>46559</v>
      </c>
      <c r="B27" s="50">
        <f t="shared" si="0"/>
        <v>0.25</v>
      </c>
      <c r="C27" s="44">
        <v>0.99445669999999997</v>
      </c>
      <c r="D27" s="14">
        <f t="shared" si="3"/>
        <v>0.97729910169361178</v>
      </c>
      <c r="E27" s="14">
        <f t="shared" si="1"/>
        <v>0.97787126921699885</v>
      </c>
      <c r="F27" s="15">
        <f t="shared" si="2"/>
        <v>1.1443350467741364E-3</v>
      </c>
      <c r="G27" s="40" t="s">
        <v>30</v>
      </c>
    </row>
    <row r="28" spans="1:7">
      <c r="A28" s="45">
        <f>(A27-A7+1)/360</f>
        <v>4.9083333333333332</v>
      </c>
      <c r="C28" s="16"/>
      <c r="D28" s="38">
        <f>EXP(-C5*A28)</f>
        <v>0.97728639438056686</v>
      </c>
      <c r="E28" s="6" t="s">
        <v>0</v>
      </c>
      <c r="F28" s="41">
        <f>SUMPRODUCT(B8:B27,C8:C27,E8:E27)</f>
        <v>4.8400551256231985</v>
      </c>
      <c r="G28" s="22" t="s">
        <v>31</v>
      </c>
    </row>
    <row r="29" spans="1:7">
      <c r="C29" s="2"/>
      <c r="D29" s="2"/>
      <c r="E29" s="26" t="s">
        <v>10</v>
      </c>
      <c r="F29" s="7">
        <f>SUMPRODUCT(C8:C27,F8:F27)*(1-C4)</f>
        <v>1.4726351691464738E-2</v>
      </c>
      <c r="G29" s="22" t="s">
        <v>32</v>
      </c>
    </row>
    <row r="30" spans="1:7">
      <c r="E30" s="54" t="s">
        <v>41</v>
      </c>
      <c r="F30" s="1">
        <f>F5*10^4</f>
        <v>30.425999930256154</v>
      </c>
    </row>
    <row r="33" spans="1:13">
      <c r="A33" s="2"/>
      <c r="B33" s="6"/>
      <c r="H33" s="1" t="s">
        <v>42</v>
      </c>
    </row>
    <row r="34" spans="1:13">
      <c r="A34" s="2"/>
      <c r="B34" s="2"/>
      <c r="H34"/>
      <c r="I34" t="s">
        <v>36</v>
      </c>
      <c r="J34" t="s">
        <v>37</v>
      </c>
      <c r="K34" t="s">
        <v>38</v>
      </c>
      <c r="L34" t="s">
        <v>39</v>
      </c>
      <c r="M34" t="s">
        <v>40</v>
      </c>
    </row>
    <row r="35" spans="1:13">
      <c r="H35">
        <f>I36-I35</f>
        <v>91</v>
      </c>
      <c r="I35" s="52">
        <v>44824</v>
      </c>
      <c r="J35" s="53">
        <v>25555.56</v>
      </c>
      <c r="K35">
        <v>1.00001451</v>
      </c>
      <c r="L35">
        <v>0.99960000000000004</v>
      </c>
      <c r="M35" s="53">
        <v>25545.63</v>
      </c>
    </row>
    <row r="36" spans="1:13">
      <c r="H36">
        <f t="shared" ref="H36:H53" si="4">I37-I36</f>
        <v>90</v>
      </c>
      <c r="I36" s="52">
        <v>44915</v>
      </c>
      <c r="J36" s="53">
        <v>25277.78</v>
      </c>
      <c r="K36">
        <v>1.00005721</v>
      </c>
      <c r="L36">
        <v>0.99839999999999995</v>
      </c>
      <c r="M36" s="53">
        <v>25239.16</v>
      </c>
    </row>
    <row r="37" spans="1:13">
      <c r="H37">
        <f t="shared" si="4"/>
        <v>92</v>
      </c>
      <c r="I37" s="52">
        <v>45005</v>
      </c>
      <c r="J37" s="53">
        <v>25000</v>
      </c>
      <c r="K37">
        <v>1.0000438</v>
      </c>
      <c r="L37">
        <v>0.99719999999999998</v>
      </c>
      <c r="M37" s="53">
        <v>24932.28</v>
      </c>
    </row>
    <row r="38" spans="1:13">
      <c r="H38">
        <f t="shared" si="4"/>
        <v>92</v>
      </c>
      <c r="I38" s="52">
        <v>45097</v>
      </c>
      <c r="J38" s="53">
        <v>25555.56</v>
      </c>
      <c r="K38">
        <v>0.99996907999999995</v>
      </c>
      <c r="L38">
        <v>0.99609999999999999</v>
      </c>
      <c r="M38" s="53">
        <v>25453.97</v>
      </c>
    </row>
    <row r="39" spans="1:13">
      <c r="H39">
        <f t="shared" si="4"/>
        <v>91</v>
      </c>
      <c r="I39" s="52">
        <v>45189</v>
      </c>
      <c r="J39" s="53">
        <v>25555.56</v>
      </c>
      <c r="K39">
        <v>0.99982992000000004</v>
      </c>
      <c r="L39">
        <v>0.99490000000000001</v>
      </c>
      <c r="M39" s="53">
        <v>25420</v>
      </c>
    </row>
    <row r="40" spans="1:13">
      <c r="H40">
        <f t="shared" si="4"/>
        <v>92</v>
      </c>
      <c r="I40" s="52">
        <v>45280</v>
      </c>
      <c r="J40" s="53">
        <v>25277.78</v>
      </c>
      <c r="K40">
        <v>0.99966783000000004</v>
      </c>
      <c r="L40">
        <v>0.99370000000000003</v>
      </c>
      <c r="M40" s="53">
        <v>25109.9</v>
      </c>
    </row>
    <row r="41" spans="1:13">
      <c r="H41">
        <f t="shared" si="4"/>
        <v>91</v>
      </c>
      <c r="I41" s="52">
        <v>45372</v>
      </c>
      <c r="J41" s="53">
        <v>25555.56</v>
      </c>
      <c r="K41">
        <v>0.99945625999999999</v>
      </c>
      <c r="L41">
        <v>0.99250000000000005</v>
      </c>
      <c r="M41" s="53">
        <v>25350.12</v>
      </c>
    </row>
    <row r="42" spans="1:13">
      <c r="H42">
        <f t="shared" si="4"/>
        <v>92</v>
      </c>
      <c r="I42" s="52">
        <v>45463</v>
      </c>
      <c r="J42" s="53">
        <v>25277.78</v>
      </c>
      <c r="K42">
        <v>0.99920366000000005</v>
      </c>
      <c r="L42">
        <v>0.99129999999999996</v>
      </c>
      <c r="M42" s="53">
        <v>25038.6</v>
      </c>
    </row>
    <row r="43" spans="1:13">
      <c r="H43">
        <f t="shared" si="4"/>
        <v>91</v>
      </c>
      <c r="I43" s="52">
        <v>45555</v>
      </c>
      <c r="J43" s="53">
        <v>25555.56</v>
      </c>
      <c r="K43">
        <v>0.99893145000000005</v>
      </c>
      <c r="L43">
        <v>0.99009999999999998</v>
      </c>
      <c r="M43" s="53">
        <v>25276.6</v>
      </c>
    </row>
    <row r="44" spans="1:13">
      <c r="H44">
        <f t="shared" si="4"/>
        <v>91</v>
      </c>
      <c r="I44" s="52">
        <v>45646</v>
      </c>
      <c r="J44" s="53">
        <v>25277.78</v>
      </c>
      <c r="K44">
        <v>0.99862408000000003</v>
      </c>
      <c r="L44">
        <v>0.98899999999999999</v>
      </c>
      <c r="M44" s="53">
        <v>24964.61</v>
      </c>
    </row>
    <row r="45" spans="1:13">
      <c r="H45">
        <f t="shared" si="4"/>
        <v>91</v>
      </c>
      <c r="I45" s="52">
        <v>45737</v>
      </c>
      <c r="J45" s="53">
        <v>25277.78</v>
      </c>
      <c r="K45">
        <v>0.99831681000000005</v>
      </c>
      <c r="L45">
        <v>0.98780000000000001</v>
      </c>
      <c r="M45" s="53">
        <v>24927.42</v>
      </c>
    </row>
    <row r="46" spans="1:13">
      <c r="H46">
        <f t="shared" si="4"/>
        <v>94</v>
      </c>
      <c r="I46" s="52">
        <v>45828</v>
      </c>
      <c r="J46" s="53">
        <v>25277.78</v>
      </c>
      <c r="K46">
        <v>0.99800962999999998</v>
      </c>
      <c r="L46">
        <v>0.98660000000000003</v>
      </c>
      <c r="M46" s="53">
        <v>24890.28</v>
      </c>
    </row>
    <row r="47" spans="1:13">
      <c r="H47">
        <f t="shared" si="4"/>
        <v>91</v>
      </c>
      <c r="I47" s="52">
        <v>45922</v>
      </c>
      <c r="J47" s="53">
        <v>26111.11</v>
      </c>
      <c r="K47">
        <v>0.99766577999999995</v>
      </c>
      <c r="L47">
        <v>0.98540000000000005</v>
      </c>
      <c r="M47" s="53">
        <v>25670.6</v>
      </c>
    </row>
    <row r="48" spans="1:13">
      <c r="H48">
        <f t="shared" si="4"/>
        <v>91</v>
      </c>
      <c r="I48" s="52">
        <v>46013</v>
      </c>
      <c r="J48" s="53">
        <v>25277.78</v>
      </c>
      <c r="K48">
        <v>0.99727224999999997</v>
      </c>
      <c r="L48">
        <v>0.98429999999999995</v>
      </c>
      <c r="M48" s="53">
        <v>24812.15</v>
      </c>
    </row>
    <row r="49" spans="8:13">
      <c r="H49">
        <f t="shared" si="4"/>
        <v>91</v>
      </c>
      <c r="I49" s="52">
        <v>46104</v>
      </c>
      <c r="J49" s="53">
        <v>25277.78</v>
      </c>
      <c r="K49">
        <v>0.99687886999999997</v>
      </c>
      <c r="L49">
        <v>0.98309999999999997</v>
      </c>
      <c r="M49" s="53">
        <v>24773.03</v>
      </c>
    </row>
    <row r="50" spans="8:13">
      <c r="H50">
        <f t="shared" si="4"/>
        <v>94</v>
      </c>
      <c r="I50" s="52">
        <v>46195</v>
      </c>
      <c r="J50" s="53">
        <v>25277.78</v>
      </c>
      <c r="K50">
        <v>0.99648566000000005</v>
      </c>
      <c r="L50">
        <v>0.9819</v>
      </c>
      <c r="M50" s="53">
        <v>24733.98</v>
      </c>
    </row>
    <row r="51" spans="8:13">
      <c r="H51">
        <f t="shared" si="4"/>
        <v>88</v>
      </c>
      <c r="I51" s="52">
        <v>46289</v>
      </c>
      <c r="J51" s="53">
        <v>26111.11</v>
      </c>
      <c r="K51">
        <v>0.99603244000000002</v>
      </c>
      <c r="L51">
        <v>0.98070000000000002</v>
      </c>
      <c r="M51" s="53">
        <v>25506.58</v>
      </c>
    </row>
    <row r="52" spans="8:13">
      <c r="H52">
        <f t="shared" si="4"/>
        <v>92</v>
      </c>
      <c r="I52" s="52">
        <v>46377</v>
      </c>
      <c r="J52" s="53">
        <v>24444.44</v>
      </c>
      <c r="K52">
        <v>0.99551858999999998</v>
      </c>
      <c r="L52">
        <v>0.97960000000000003</v>
      </c>
      <c r="M52" s="53">
        <v>23838.89</v>
      </c>
    </row>
    <row r="53" spans="8:13">
      <c r="H53">
        <f t="shared" si="4"/>
        <v>90</v>
      </c>
      <c r="I53" s="52">
        <v>46469</v>
      </c>
      <c r="J53" s="53">
        <v>25555.56</v>
      </c>
      <c r="K53">
        <v>0.99498167000000004</v>
      </c>
      <c r="L53">
        <v>0.97840000000000005</v>
      </c>
      <c r="M53" s="53">
        <v>24879.26</v>
      </c>
    </row>
    <row r="54" spans="8:13">
      <c r="H54"/>
      <c r="I54" s="52">
        <v>46559</v>
      </c>
      <c r="J54" s="53">
        <v>25000</v>
      </c>
      <c r="K54">
        <v>0.99445669999999997</v>
      </c>
      <c r="L54">
        <v>0.97729999999999995</v>
      </c>
      <c r="M54" s="53">
        <v>24297.119999999999</v>
      </c>
    </row>
  </sheetData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10.2</vt:lpstr>
      <vt:lpstr>10.5</vt:lpstr>
      <vt:lpstr>10.7</vt:lpstr>
      <vt:lpstr>Sony</vt:lpstr>
      <vt:lpstr>4.4old</vt:lpstr>
      <vt:lpstr>SonyOLD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2016-12-15T09:54:22Z</cp:lastPrinted>
  <dcterms:created xsi:type="dcterms:W3CDTF">2009-02-14T15:18:18Z</dcterms:created>
  <dcterms:modified xsi:type="dcterms:W3CDTF">2024-12-21T01:36:50Z</dcterms:modified>
</cp:coreProperties>
</file>