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ドキュメント\MyBook\LecNotes\"/>
    </mc:Choice>
  </mc:AlternateContent>
  <xr:revisionPtr revIDLastSave="0" documentId="13_ncr:1_{6C1FC5EF-31BB-47CF-8CB1-8CF2B98BA50C}" xr6:coauthVersionLast="47" xr6:coauthVersionMax="47" xr10:uidLastSave="{00000000-0000-0000-0000-000000000000}"/>
  <bookViews>
    <workbookView xWindow="49620" yWindow="3500" windowWidth="26270" windowHeight="15740" tabRatio="794" activeTab="10" xr2:uid="{00000000-000D-0000-FFFF-FFFF00000000}"/>
  </bookViews>
  <sheets>
    <sheet name="5.4" sheetId="24" r:id="rId1"/>
    <sheet name="5.7" sheetId="37" r:id="rId2"/>
    <sheet name="5.8" sheetId="36" r:id="rId3"/>
    <sheet name="5.9" sheetId="34" r:id="rId4"/>
    <sheet name="5.10" sheetId="20" r:id="rId5"/>
    <sheet name="5.12" sheetId="25" r:id="rId6"/>
    <sheet name="6.3" sheetId="38" r:id="rId7"/>
    <sheet name="6.4" sheetId="33" r:id="rId8"/>
    <sheet name="6.8" sheetId="39" r:id="rId9"/>
    <sheet name="6.11" sheetId="40" r:id="rId10"/>
    <sheet name="6.12" sheetId="47" r:id="rId11"/>
  </sheets>
  <externalReferences>
    <externalReference r:id="rId12"/>
    <externalReference r:id="rId13"/>
  </externalReferences>
  <definedNames>
    <definedName name="__123Graph_A" localSheetId="1" hidden="1">[1]DATE!#REF!</definedName>
    <definedName name="__123Graph_A" hidden="1">[1]DATE!#REF!</definedName>
    <definedName name="__123Graph_B" localSheetId="1" hidden="1">[1]DATE!#REF!</definedName>
    <definedName name="__123Graph_B" hidden="1">[1]DATE!#REF!</definedName>
    <definedName name="__123Graph_C" localSheetId="1" hidden="1">[1]DATE!#REF!</definedName>
    <definedName name="__123Graph_C" hidden="1">[1]DATE!#REF!</definedName>
    <definedName name="__123Graph_D" localSheetId="1" hidden="1">[1]DATE!#REF!</definedName>
    <definedName name="__123Graph_D" hidden="1">[1]DATE!#REF!</definedName>
    <definedName name="__123Graph_E" localSheetId="1" hidden="1">[1]DATE!#REF!</definedName>
    <definedName name="__123Graph_E" hidden="1">[1]DATE!#REF!</definedName>
    <definedName name="__123Graph_F" localSheetId="1" hidden="1">[1]DATE!#REF!</definedName>
    <definedName name="__123Graph_F" hidden="1">[1]DATE!#REF!</definedName>
    <definedName name="__123Graph_LBL_A" localSheetId="1" hidden="1">[1]DATE!#REF!</definedName>
    <definedName name="__123Graph_LBL_A" hidden="1">[1]DATE!#REF!</definedName>
    <definedName name="__123Graph_LBL_B" localSheetId="1" hidden="1">[1]DATE!#REF!</definedName>
    <definedName name="__123Graph_LBL_B" hidden="1">[1]DATE!#REF!</definedName>
    <definedName name="__123Graph_X" localSheetId="1" hidden="1">[1]DATE!#REF!</definedName>
    <definedName name="__123Graph_X" hidden="1">[1]DATE!#REF!</definedName>
    <definedName name="PartialBarrier" localSheetId="1">[2]!PartialBarrier</definedName>
    <definedName name="PartialBarrier" localSheetId="10">[2]!PartialBarrier</definedName>
    <definedName name="PartialBarrier">[2]!PartialBarrier</definedName>
    <definedName name="Ta" localSheetId="1">#REF!</definedName>
    <definedName name="Ta" localSheetId="8">#REF!</definedName>
    <definedName name="Ta">#REF!</definedName>
    <definedName name="Tb" localSheetId="1">#REF!</definedName>
    <definedName name="Tb" localSheetId="8">#REF!</definedName>
    <definedName name="Tb">#REF!</definedName>
    <definedName name="Tc" localSheetId="1">#REF!</definedName>
    <definedName name="Tc" localSheetId="8">#REF!</definedName>
    <definedName name="Tc">#REF!</definedName>
    <definedName name="Td" localSheetId="1">#REF!</definedName>
    <definedName name="Td" localSheetId="8">#REF!</definedName>
    <definedName name="Td">#REF!</definedName>
    <definedName name="Ti" localSheetId="1">#REF!</definedName>
    <definedName name="Ti" localSheetId="8">#REF!</definedName>
    <definedName name="Ti">#REF!</definedName>
    <definedName name="va" localSheetId="1">#REF!</definedName>
    <definedName name="va" localSheetId="8">#REF!</definedName>
    <definedName name="va">#REF!</definedName>
    <definedName name="vb" localSheetId="1">#REF!</definedName>
    <definedName name="vb" localSheetId="8">#REF!</definedName>
    <definedName name="vb">#REF!</definedName>
    <definedName name="vc" localSheetId="1">#REF!</definedName>
    <definedName name="vc" localSheetId="8">#REF!</definedName>
    <definedName name="vc">#REF!</definedName>
    <definedName name="vd" localSheetId="1">#REF!</definedName>
    <definedName name="vd" localSheetId="8">#REF!</definedName>
    <definedName name="vd">#REF!</definedName>
    <definedName name="ya" localSheetId="1">#REF!</definedName>
    <definedName name="ya" localSheetId="8">#REF!</definedName>
    <definedName name="ya">#REF!</definedName>
    <definedName name="yb" localSheetId="1">#REF!</definedName>
    <definedName name="yb" localSheetId="8">#REF!</definedName>
    <definedName name="yb">#REF!</definedName>
    <definedName name="yc" localSheetId="1">#REF!</definedName>
    <definedName name="yc" localSheetId="8">#REF!</definedName>
    <definedName name="yc">#REF!</definedName>
    <definedName name="yd" localSheetId="1">#REF!</definedName>
    <definedName name="yd" localSheetId="8">#REF!</definedName>
    <definedName name="yd">#REF!</definedName>
  </definedNames>
  <calcPr calcId="181029"/>
</workbook>
</file>

<file path=xl/calcChain.xml><?xml version="1.0" encoding="utf-8"?>
<calcChain xmlns="http://schemas.openxmlformats.org/spreadsheetml/2006/main">
  <c r="N13" i="36" l="1"/>
  <c r="N23" i="36" s="1"/>
  <c r="O13" i="36"/>
  <c r="O23" i="36" s="1"/>
  <c r="P13" i="36"/>
  <c r="P23" i="36" s="1"/>
  <c r="Q13" i="36"/>
  <c r="Q23" i="36" s="1"/>
  <c r="R13" i="36"/>
  <c r="R23" i="36" s="1"/>
  <c r="S13" i="36"/>
  <c r="S23" i="36" s="1"/>
  <c r="T13" i="36"/>
  <c r="T23" i="36" s="1"/>
  <c r="U13" i="36"/>
  <c r="U23" i="36" s="1"/>
  <c r="N14" i="36"/>
  <c r="N24" i="36" s="1"/>
  <c r="O14" i="36"/>
  <c r="O24" i="36" s="1"/>
  <c r="P14" i="36"/>
  <c r="P24" i="36" s="1"/>
  <c r="Q14" i="36"/>
  <c r="Q24" i="36" s="1"/>
  <c r="R14" i="36"/>
  <c r="R24" i="36" s="1"/>
  <c r="S14" i="36"/>
  <c r="S24" i="36" s="1"/>
  <c r="T14" i="36"/>
  <c r="T24" i="36" s="1"/>
  <c r="U14" i="36"/>
  <c r="U24" i="36" s="1"/>
  <c r="N15" i="36"/>
  <c r="N25" i="36" s="1"/>
  <c r="O15" i="36"/>
  <c r="O25" i="36" s="1"/>
  <c r="P15" i="36"/>
  <c r="P25" i="36" s="1"/>
  <c r="Q15" i="36"/>
  <c r="Q25" i="36" s="1"/>
  <c r="R15" i="36"/>
  <c r="R25" i="36" s="1"/>
  <c r="S15" i="36"/>
  <c r="S25" i="36" s="1"/>
  <c r="T15" i="36"/>
  <c r="T25" i="36" s="1"/>
  <c r="U15" i="36"/>
  <c r="U25" i="36" s="1"/>
  <c r="N16" i="36"/>
  <c r="N26" i="36" s="1"/>
  <c r="O16" i="36"/>
  <c r="O26" i="36" s="1"/>
  <c r="P16" i="36"/>
  <c r="P26" i="36" s="1"/>
  <c r="Q16" i="36"/>
  <c r="Q26" i="36" s="1"/>
  <c r="R16" i="36"/>
  <c r="R26" i="36" s="1"/>
  <c r="S16" i="36"/>
  <c r="S26" i="36" s="1"/>
  <c r="T16" i="36"/>
  <c r="T26" i="36" s="1"/>
  <c r="U16" i="36"/>
  <c r="U26" i="36" s="1"/>
  <c r="N17" i="36"/>
  <c r="N27" i="36" s="1"/>
  <c r="O17" i="36"/>
  <c r="O27" i="36" s="1"/>
  <c r="P17" i="36"/>
  <c r="P27" i="36" s="1"/>
  <c r="Q17" i="36"/>
  <c r="Q27" i="36" s="1"/>
  <c r="R17" i="36"/>
  <c r="R27" i="36" s="1"/>
  <c r="S17" i="36"/>
  <c r="S27" i="36" s="1"/>
  <c r="T17" i="36"/>
  <c r="T27" i="36" s="1"/>
  <c r="U17" i="36"/>
  <c r="U27" i="36" s="1"/>
  <c r="N18" i="36"/>
  <c r="N28" i="36" s="1"/>
  <c r="O18" i="36"/>
  <c r="O28" i="36" s="1"/>
  <c r="P18" i="36"/>
  <c r="P28" i="36" s="1"/>
  <c r="Q18" i="36"/>
  <c r="Q28" i="36" s="1"/>
  <c r="R18" i="36"/>
  <c r="R28" i="36" s="1"/>
  <c r="S18" i="36"/>
  <c r="S28" i="36" s="1"/>
  <c r="T18" i="36"/>
  <c r="T28" i="36" s="1"/>
  <c r="U18" i="36"/>
  <c r="U28" i="36" s="1"/>
  <c r="N19" i="36"/>
  <c r="N29" i="36" s="1"/>
  <c r="O19" i="36"/>
  <c r="O29" i="36" s="1"/>
  <c r="P19" i="36"/>
  <c r="P29" i="36" s="1"/>
  <c r="Q19" i="36"/>
  <c r="Q29" i="36" s="1"/>
  <c r="R19" i="36"/>
  <c r="R29" i="36" s="1"/>
  <c r="S19" i="36"/>
  <c r="S29" i="36" s="1"/>
  <c r="T19" i="36"/>
  <c r="T29" i="36" s="1"/>
  <c r="U19" i="36"/>
  <c r="U29" i="36" s="1"/>
  <c r="N20" i="36"/>
  <c r="N30" i="36" s="1"/>
  <c r="O20" i="36"/>
  <c r="O30" i="36" s="1"/>
  <c r="P20" i="36"/>
  <c r="P30" i="36" s="1"/>
  <c r="Q20" i="36"/>
  <c r="Q30" i="36" s="1"/>
  <c r="R20" i="36"/>
  <c r="R30" i="36" s="1"/>
  <c r="S20" i="36"/>
  <c r="S30" i="36" s="1"/>
  <c r="T20" i="36"/>
  <c r="T30" i="36" s="1"/>
  <c r="U20" i="36"/>
  <c r="U30" i="36" s="1"/>
  <c r="N21" i="36"/>
  <c r="N31" i="36" s="1"/>
  <c r="O21" i="36"/>
  <c r="O31" i="36" s="1"/>
  <c r="P21" i="36"/>
  <c r="P31" i="36" s="1"/>
  <c r="Q21" i="36"/>
  <c r="Q31" i="36" s="1"/>
  <c r="R21" i="36"/>
  <c r="R31" i="36" s="1"/>
  <c r="S21" i="36"/>
  <c r="S31" i="36" s="1"/>
  <c r="T21" i="36"/>
  <c r="T31" i="36" s="1"/>
  <c r="U21" i="36"/>
  <c r="U31" i="36" s="1"/>
  <c r="U12" i="36"/>
  <c r="U22" i="36" s="1"/>
  <c r="T12" i="36"/>
  <c r="T22" i="36" s="1"/>
  <c r="S12" i="36"/>
  <c r="S22" i="36" s="1"/>
  <c r="R12" i="36"/>
  <c r="R22" i="36" s="1"/>
  <c r="Q12" i="36"/>
  <c r="Q22" i="36" s="1"/>
  <c r="P12" i="36"/>
  <c r="P22" i="36" s="1"/>
  <c r="O12" i="36"/>
  <c r="O22" i="36" s="1"/>
  <c r="N12" i="36"/>
  <c r="N22" i="36" s="1"/>
  <c r="F6" i="36"/>
  <c r="B16" i="39"/>
  <c r="B4" i="47"/>
  <c r="B7" i="47" s="1"/>
  <c r="B8" i="47" s="1"/>
  <c r="B7" i="34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10" i="47" l="1"/>
  <c r="B9" i="47"/>
  <c r="B13" i="47" s="1"/>
  <c r="D26" i="40"/>
  <c r="D27" i="40" s="1"/>
  <c r="B14" i="47" l="1"/>
  <c r="B15" i="47"/>
  <c r="B12" i="47"/>
  <c r="B6" i="39" l="1"/>
  <c r="B9" i="39" s="1"/>
  <c r="B10" i="39" l="1"/>
  <c r="B12" i="39" l="1"/>
  <c r="B11" i="39"/>
  <c r="B14" i="39" l="1"/>
  <c r="B3" i="38"/>
  <c r="B5" i="38"/>
  <c r="B7" i="38"/>
  <c r="B9" i="38"/>
  <c r="B11" i="38"/>
  <c r="B12" i="38" l="1"/>
  <c r="B14" i="38" s="1"/>
  <c r="B13" i="38" l="1"/>
  <c r="B15" i="38" s="1"/>
  <c r="B16" i="38" s="1"/>
  <c r="B17" i="38" l="1"/>
  <c r="C6" i="36"/>
  <c r="B7" i="37"/>
  <c r="B4" i="37"/>
  <c r="B5" i="37" s="1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E6" i="36" l="1"/>
  <c r="H6" i="36"/>
  <c r="C21" i="36"/>
  <c r="D21" i="36" s="1"/>
  <c r="E21" i="36" s="1"/>
  <c r="F21" i="36" s="1"/>
  <c r="G21" i="36" s="1"/>
  <c r="H21" i="36" s="1"/>
  <c r="I21" i="36" s="1"/>
  <c r="J21" i="36" s="1"/>
  <c r="K21" i="36" s="1"/>
  <c r="C31" i="36"/>
  <c r="D31" i="36" s="1"/>
  <c r="E31" i="36" s="1"/>
  <c r="F31" i="36" s="1"/>
  <c r="G31" i="36" s="1"/>
  <c r="H31" i="36" s="1"/>
  <c r="I31" i="36" s="1"/>
  <c r="J31" i="36" s="1"/>
  <c r="K31" i="36" s="1"/>
  <c r="C18" i="36"/>
  <c r="D18" i="36" s="1"/>
  <c r="E18" i="36" s="1"/>
  <c r="F18" i="36" s="1"/>
  <c r="G18" i="36" s="1"/>
  <c r="H18" i="36" s="1"/>
  <c r="I18" i="36" s="1"/>
  <c r="J18" i="36" s="1"/>
  <c r="K18" i="36" s="1"/>
  <c r="C28" i="36"/>
  <c r="D28" i="36" s="1"/>
  <c r="E28" i="36" s="1"/>
  <c r="F28" i="36" s="1"/>
  <c r="G28" i="36" s="1"/>
  <c r="H28" i="36" s="1"/>
  <c r="I28" i="36" s="1"/>
  <c r="J28" i="36" s="1"/>
  <c r="K28" i="36" s="1"/>
  <c r="C14" i="36"/>
  <c r="D14" i="36" s="1"/>
  <c r="E14" i="36" s="1"/>
  <c r="F14" i="36" s="1"/>
  <c r="G14" i="36" s="1"/>
  <c r="H14" i="36" s="1"/>
  <c r="I14" i="36" s="1"/>
  <c r="J14" i="36" s="1"/>
  <c r="K14" i="36" s="1"/>
  <c r="C24" i="36"/>
  <c r="D24" i="36" s="1"/>
  <c r="E24" i="36" s="1"/>
  <c r="F24" i="36" s="1"/>
  <c r="G24" i="36" s="1"/>
  <c r="H24" i="36" s="1"/>
  <c r="I24" i="36" s="1"/>
  <c r="J24" i="36" s="1"/>
  <c r="K24" i="36" s="1"/>
  <c r="C12" i="36"/>
  <c r="D12" i="36" s="1"/>
  <c r="C22" i="36"/>
  <c r="D22" i="36" s="1"/>
  <c r="E22" i="36" s="1"/>
  <c r="F22" i="36" s="1"/>
  <c r="G22" i="36" s="1"/>
  <c r="H22" i="36" s="1"/>
  <c r="I22" i="36" s="1"/>
  <c r="J22" i="36" s="1"/>
  <c r="K22" i="36" s="1"/>
  <c r="C16" i="36"/>
  <c r="D16" i="36" s="1"/>
  <c r="E16" i="36" s="1"/>
  <c r="F16" i="36" s="1"/>
  <c r="G16" i="36" s="1"/>
  <c r="H16" i="36" s="1"/>
  <c r="I16" i="36" s="1"/>
  <c r="J16" i="36" s="1"/>
  <c r="K16" i="36" s="1"/>
  <c r="C26" i="36"/>
  <c r="D26" i="36" s="1"/>
  <c r="E26" i="36" s="1"/>
  <c r="F26" i="36" s="1"/>
  <c r="G26" i="36" s="1"/>
  <c r="H26" i="36" s="1"/>
  <c r="I26" i="36" s="1"/>
  <c r="J26" i="36" s="1"/>
  <c r="K26" i="36" s="1"/>
  <c r="C20" i="36"/>
  <c r="D20" i="36" s="1"/>
  <c r="E20" i="36" s="1"/>
  <c r="F20" i="36" s="1"/>
  <c r="G20" i="36" s="1"/>
  <c r="H20" i="36" s="1"/>
  <c r="I20" i="36" s="1"/>
  <c r="J20" i="36" s="1"/>
  <c r="K20" i="36" s="1"/>
  <c r="C30" i="36"/>
  <c r="D30" i="36" s="1"/>
  <c r="E30" i="36" s="1"/>
  <c r="F30" i="36" s="1"/>
  <c r="G30" i="36" s="1"/>
  <c r="H30" i="36" s="1"/>
  <c r="I30" i="36" s="1"/>
  <c r="J30" i="36" s="1"/>
  <c r="K30" i="36" s="1"/>
  <c r="C15" i="36"/>
  <c r="D15" i="36" s="1"/>
  <c r="E15" i="36" s="1"/>
  <c r="F15" i="36" s="1"/>
  <c r="G15" i="36" s="1"/>
  <c r="H15" i="36" s="1"/>
  <c r="I15" i="36" s="1"/>
  <c r="J15" i="36" s="1"/>
  <c r="K15" i="36" s="1"/>
  <c r="C25" i="36"/>
  <c r="D25" i="36" s="1"/>
  <c r="E25" i="36" s="1"/>
  <c r="F25" i="36" s="1"/>
  <c r="G25" i="36" s="1"/>
  <c r="H25" i="36" s="1"/>
  <c r="I25" i="36" s="1"/>
  <c r="J25" i="36" s="1"/>
  <c r="K25" i="36" s="1"/>
  <c r="C19" i="36"/>
  <c r="D19" i="36" s="1"/>
  <c r="E19" i="36" s="1"/>
  <c r="F19" i="36" s="1"/>
  <c r="G19" i="36" s="1"/>
  <c r="H19" i="36" s="1"/>
  <c r="I19" i="36" s="1"/>
  <c r="J19" i="36" s="1"/>
  <c r="K19" i="36" s="1"/>
  <c r="C29" i="36"/>
  <c r="D29" i="36" s="1"/>
  <c r="E29" i="36" s="1"/>
  <c r="F29" i="36" s="1"/>
  <c r="G29" i="36" s="1"/>
  <c r="H29" i="36" s="1"/>
  <c r="I29" i="36" s="1"/>
  <c r="J29" i="36" s="1"/>
  <c r="K29" i="36" s="1"/>
  <c r="C17" i="36"/>
  <c r="D17" i="36" s="1"/>
  <c r="E17" i="36" s="1"/>
  <c r="F17" i="36" s="1"/>
  <c r="G17" i="36" s="1"/>
  <c r="H17" i="36" s="1"/>
  <c r="I17" i="36" s="1"/>
  <c r="J17" i="36" s="1"/>
  <c r="K17" i="36" s="1"/>
  <c r="C27" i="36"/>
  <c r="D27" i="36" s="1"/>
  <c r="E27" i="36" s="1"/>
  <c r="F27" i="36" s="1"/>
  <c r="G27" i="36" s="1"/>
  <c r="H27" i="36" s="1"/>
  <c r="I27" i="36" s="1"/>
  <c r="J27" i="36" s="1"/>
  <c r="K27" i="36" s="1"/>
  <c r="C13" i="36"/>
  <c r="D13" i="36" s="1"/>
  <c r="E13" i="36" s="1"/>
  <c r="F13" i="36" s="1"/>
  <c r="G13" i="36" s="1"/>
  <c r="H13" i="36" s="1"/>
  <c r="I13" i="36" s="1"/>
  <c r="J13" i="36" s="1"/>
  <c r="K13" i="36" s="1"/>
  <c r="C23" i="36"/>
  <c r="D23" i="36" s="1"/>
  <c r="E23" i="36" s="1"/>
  <c r="F23" i="36" s="1"/>
  <c r="G23" i="36" s="1"/>
  <c r="H23" i="36" s="1"/>
  <c r="I23" i="36" s="1"/>
  <c r="J23" i="36" s="1"/>
  <c r="K23" i="36" s="1"/>
  <c r="B9" i="37"/>
  <c r="B10" i="37" s="1"/>
  <c r="B12" i="37" s="1"/>
  <c r="E12" i="36" l="1"/>
  <c r="F12" i="36" s="1"/>
  <c r="G12" i="36" s="1"/>
  <c r="H12" i="36" s="1"/>
  <c r="I12" i="36" s="1"/>
  <c r="J12" i="36" s="1"/>
  <c r="K12" i="36" s="1"/>
  <c r="K10" i="36" s="1"/>
  <c r="B11" i="37"/>
  <c r="B13" i="37" s="1"/>
  <c r="B3" i="24" l="1"/>
  <c r="B8" i="24" l="1"/>
  <c r="B5" i="24"/>
  <c r="B7" i="24" s="1"/>
  <c r="B5" i="34"/>
  <c r="B9" i="34" s="1"/>
  <c r="B12" i="33"/>
  <c r="B10" i="33"/>
  <c r="B11" i="33" s="1"/>
  <c r="B5" i="33"/>
  <c r="B13" i="33" s="1"/>
  <c r="B3" i="25"/>
  <c r="B5" i="25"/>
  <c r="B7" i="25"/>
  <c r="B9" i="25"/>
  <c r="C2" i="20"/>
  <c r="C3" i="20"/>
  <c r="C4" i="20"/>
  <c r="C5" i="20"/>
  <c r="C7" i="20"/>
  <c r="C8" i="20" s="1"/>
  <c r="D13" i="33" l="1"/>
  <c r="B9" i="24"/>
  <c r="B10" i="24" s="1"/>
  <c r="B12" i="24" s="1"/>
  <c r="B16" i="24" s="1"/>
  <c r="B11" i="25"/>
  <c r="B12" i="25" s="1"/>
  <c r="B14" i="25" s="1"/>
  <c r="D14" i="33"/>
  <c r="B14" i="33"/>
  <c r="B11" i="34"/>
  <c r="B14" i="34" s="1"/>
  <c r="B10" i="34"/>
  <c r="B12" i="34" s="1"/>
  <c r="B13" i="25" l="1"/>
  <c r="B15" i="25" s="1"/>
  <c r="B16" i="25" s="1"/>
  <c r="B11" i="24"/>
  <c r="B13" i="24" s="1"/>
  <c r="B13" i="34"/>
  <c r="B15" i="24" l="1"/>
</calcChain>
</file>

<file path=xl/sharedStrings.xml><?xml version="1.0" encoding="utf-8"?>
<sst xmlns="http://schemas.openxmlformats.org/spreadsheetml/2006/main" count="299" uniqueCount="235">
  <si>
    <t>N(d2)</t>
  </si>
  <si>
    <t>ユーロ円先物</t>
    <rPh sb="3" eb="4">
      <t>エン</t>
    </rPh>
    <rPh sb="4" eb="6">
      <t>サキモノ</t>
    </rPh>
    <phoneticPr fontId="5"/>
  </si>
  <si>
    <t>T : オプション満期年</t>
    <rPh sb="9" eb="11">
      <t>マンキ</t>
    </rPh>
    <rPh sb="11" eb="12">
      <t>ネン</t>
    </rPh>
    <phoneticPr fontId="5"/>
  </si>
  <si>
    <t>Ｆ：１００－先物価格</t>
    <rPh sb="6" eb="8">
      <t>サキモノ</t>
    </rPh>
    <rPh sb="8" eb="10">
      <t>カカク</t>
    </rPh>
    <phoneticPr fontId="5"/>
  </si>
  <si>
    <t>Ｘ：１００－行使価格</t>
    <rPh sb="6" eb="8">
      <t>コウシ</t>
    </rPh>
    <rPh sb="8" eb="10">
      <t>カカク</t>
    </rPh>
    <phoneticPr fontId="5"/>
  </si>
  <si>
    <t xml:space="preserve">    先物価格</t>
    <rPh sb="4" eb="6">
      <t>サキモノ</t>
    </rPh>
    <rPh sb="6" eb="8">
      <t>カカク</t>
    </rPh>
    <phoneticPr fontId="5"/>
  </si>
  <si>
    <t xml:space="preserve">    行使価格</t>
    <rPh sb="4" eb="6">
      <t>コウシ</t>
    </rPh>
    <rPh sb="6" eb="8">
      <t>カカク</t>
    </rPh>
    <phoneticPr fontId="5"/>
  </si>
  <si>
    <t xml:space="preserve">    満期日数</t>
    <rPh sb="4" eb="6">
      <t>マンキ</t>
    </rPh>
    <rPh sb="6" eb="8">
      <t>ニッスウ</t>
    </rPh>
    <phoneticPr fontId="5"/>
  </si>
  <si>
    <t xml:space="preserve"> r : リスクフリーレート</t>
    <phoneticPr fontId="5"/>
  </si>
  <si>
    <t>d1</t>
    <phoneticPr fontId="5"/>
  </si>
  <si>
    <t>d2</t>
    <phoneticPr fontId="5"/>
  </si>
  <si>
    <t>σ: ボラティリティー</t>
    <phoneticPr fontId="5"/>
  </si>
  <si>
    <t>d1</t>
    <phoneticPr fontId="5"/>
  </si>
  <si>
    <t>d2</t>
    <phoneticPr fontId="5"/>
  </si>
  <si>
    <t>Ｆ : 先物価格</t>
    <rPh sb="4" eb="6">
      <t>サキモノ</t>
    </rPh>
    <rPh sb="6" eb="8">
      <t>カカク</t>
    </rPh>
    <phoneticPr fontId="5"/>
  </si>
  <si>
    <t>X : 行使価格</t>
    <rPh sb="4" eb="6">
      <t>コウシ</t>
    </rPh>
    <rPh sb="6" eb="8">
      <t>カカク</t>
    </rPh>
    <phoneticPr fontId="5"/>
  </si>
  <si>
    <t>N(d1)</t>
    <phoneticPr fontId="5"/>
  </si>
  <si>
    <t>債券先物</t>
    <rPh sb="0" eb="2">
      <t>サイケン</t>
    </rPh>
    <rPh sb="2" eb="4">
      <t>サキモノ</t>
    </rPh>
    <phoneticPr fontId="5"/>
  </si>
  <si>
    <t>コール代金</t>
    <rPh sb="3" eb="5">
      <t>ダイキン</t>
    </rPh>
    <phoneticPr fontId="5"/>
  </si>
  <si>
    <t>（Ｂ列の数式等）</t>
    <phoneticPr fontId="5"/>
  </si>
  <si>
    <t>=NORMSDIST(B9)</t>
    <phoneticPr fontId="5"/>
  </si>
  <si>
    <t>2/25/11</t>
  </si>
  <si>
    <t>2/24/11</t>
  </si>
  <si>
    <t>2/23/11</t>
  </si>
  <si>
    <t>2/22/11</t>
  </si>
  <si>
    <t>2/21/11</t>
  </si>
  <si>
    <t>日付</t>
    <rPh sb="0" eb="2">
      <t>ヒヅケ</t>
    </rPh>
    <phoneticPr fontId="5"/>
  </si>
  <si>
    <t>価格</t>
    <rPh sb="0" eb="2">
      <t>カカク</t>
    </rPh>
    <phoneticPr fontId="5"/>
  </si>
  <si>
    <t>日次収益率</t>
    <rPh sb="0" eb="2">
      <t>ニチジ</t>
    </rPh>
    <rPh sb="2" eb="4">
      <t>シュウエキ</t>
    </rPh>
    <rPh sb="4" eb="5">
      <t>リツ</t>
    </rPh>
    <phoneticPr fontId="5"/>
  </si>
  <si>
    <t>計算式</t>
    <rPh sb="0" eb="2">
      <t>ケイサン</t>
    </rPh>
    <rPh sb="2" eb="3">
      <t>シキ</t>
    </rPh>
    <phoneticPr fontId="5"/>
  </si>
  <si>
    <t>（以下同じ）</t>
    <rPh sb="1" eb="3">
      <t>イカ</t>
    </rPh>
    <rPh sb="3" eb="4">
      <t>オナ</t>
    </rPh>
    <phoneticPr fontId="5"/>
  </si>
  <si>
    <t>日次標準偏差</t>
    <rPh sb="0" eb="2">
      <t>ニチジ</t>
    </rPh>
    <rPh sb="2" eb="4">
      <t>ヒョウジュン</t>
    </rPh>
    <rPh sb="4" eb="6">
      <t>ヘンサ</t>
    </rPh>
    <phoneticPr fontId="5"/>
  </si>
  <si>
    <t>ボラティリティー</t>
    <phoneticPr fontId="5"/>
  </si>
  <si>
    <t>=LN(B2/B3)</t>
    <phoneticPr fontId="5"/>
  </si>
  <si>
    <t>=LN(B3/B4)</t>
    <phoneticPr fontId="5"/>
  </si>
  <si>
    <t>=STDEV(C2:C5)</t>
    <phoneticPr fontId="5"/>
  </si>
  <si>
    <t>=C7*(260^0.5)</t>
    <phoneticPr fontId="5"/>
  </si>
  <si>
    <t>連続複利</t>
    <rPh sb="0" eb="2">
      <t>レンゾク</t>
    </rPh>
    <rPh sb="2" eb="4">
      <t>フクリ</t>
    </rPh>
    <phoneticPr fontId="5"/>
  </si>
  <si>
    <t>（Ｂ列の数式等）</t>
    <phoneticPr fontId="5"/>
  </si>
  <si>
    <t>=B4/365</t>
    <phoneticPr fontId="5"/>
  </si>
  <si>
    <t>D : ディスカウント</t>
    <phoneticPr fontId="5"/>
  </si>
  <si>
    <t>=EXP(-B6*B5)</t>
    <phoneticPr fontId="5"/>
  </si>
  <si>
    <t>σ: ボラティリティー</t>
    <phoneticPr fontId="5"/>
  </si>
  <si>
    <t>d1</t>
    <phoneticPr fontId="5"/>
  </si>
  <si>
    <t>=(LN(B2/B3)+(B8^2/2)
   *B5)/(B8*B5^0.5)</t>
    <phoneticPr fontId="5"/>
  </si>
  <si>
    <t>d2</t>
    <phoneticPr fontId="5"/>
  </si>
  <si>
    <t>=B9-B8*B5^0.5</t>
    <phoneticPr fontId="5"/>
  </si>
  <si>
    <t>N(d1)</t>
    <phoneticPr fontId="5"/>
  </si>
  <si>
    <t>=NORMSDIST(B9)</t>
    <phoneticPr fontId="5"/>
  </si>
  <si>
    <t>=NORMSDIST(B10)</t>
    <phoneticPr fontId="5"/>
  </si>
  <si>
    <t>ヨーロピアン コール</t>
    <phoneticPr fontId="5"/>
  </si>
  <si>
    <t>=B7*(B2*B11-B3*B12)</t>
    <phoneticPr fontId="5"/>
  </si>
  <si>
    <t>デルタ Δ</t>
    <phoneticPr fontId="5"/>
  </si>
  <si>
    <t>=EXP(-B6*B5)*B11</t>
    <phoneticPr fontId="5"/>
  </si>
  <si>
    <t xml:space="preserve"> </t>
    <phoneticPr fontId="5"/>
  </si>
  <si>
    <t>=1億円*90日/360日*B15</t>
    <rPh sb="2" eb="4">
      <t>オクエン</t>
    </rPh>
    <rPh sb="7" eb="8">
      <t>ニチ</t>
    </rPh>
    <rPh sb="12" eb="13">
      <t>ニチ</t>
    </rPh>
    <phoneticPr fontId="5"/>
  </si>
  <si>
    <t>=B6/365</t>
    <phoneticPr fontId="5"/>
  </si>
  <si>
    <t>ﾏﾈｰﾏｰｹｯﾄﾚｰﾄ</t>
    <phoneticPr fontId="5"/>
  </si>
  <si>
    <t>D : ディスカウント</t>
    <phoneticPr fontId="5"/>
  </si>
  <si>
    <t>=1/(1+B8*B6/365)</t>
    <phoneticPr fontId="5"/>
  </si>
  <si>
    <t>=(LN(B3/B5)+(B9^2/2)
   *B7)/(B9*B7^0.5)</t>
    <phoneticPr fontId="5"/>
  </si>
  <si>
    <t>=B11-B9*B7^0.5</t>
    <phoneticPr fontId="5"/>
  </si>
  <si>
    <t>N(-d1)</t>
    <phoneticPr fontId="5"/>
  </si>
  <si>
    <t>=NORMSDIST(-B11)</t>
    <phoneticPr fontId="5"/>
  </si>
  <si>
    <t>N(-d2)</t>
    <phoneticPr fontId="5"/>
  </si>
  <si>
    <t>=NORMSDIST(-B12)</t>
    <phoneticPr fontId="5"/>
  </si>
  <si>
    <t>ヨーロピアン コール</t>
    <phoneticPr fontId="5"/>
  </si>
  <si>
    <t>=B9*(B5*B14-B3*B13)</t>
    <phoneticPr fontId="5"/>
  </si>
  <si>
    <t>Hagan&amp;Woodward 式</t>
  </si>
  <si>
    <t>| (F-K)/K |条件</t>
  </si>
  <si>
    <t xml:space="preserve"> &gt; 0.001</t>
  </si>
  <si>
    <t xml:space="preserve"> &lt; 0.001</t>
  </si>
  <si>
    <t>log(F/X)</t>
  </si>
  <si>
    <t>log(F/X)^2</t>
  </si>
  <si>
    <t xml:space="preserve">    満期日数</t>
  </si>
  <si>
    <t>σ^2</t>
  </si>
  <si>
    <t>分母</t>
  </si>
  <si>
    <t>=1+B12*B5/24</t>
  </si>
  <si>
    <t>=LN(B2/B3)</t>
  </si>
  <si>
    <t>=B10^2</t>
  </si>
  <si>
    <t>=B6^2</t>
  </si>
  <si>
    <t>=B6*(B2-B3)/(B10*B13)</t>
  </si>
  <si>
    <t>B列計算式</t>
  </si>
  <si>
    <t>Ｆ：100－先物価格</t>
  </si>
  <si>
    <t>Ｘ：100－行使価格</t>
  </si>
  <si>
    <t>T : ｵﾌﾟｼｮﾝ満期年</t>
  </si>
  <si>
    <t>=B6*SQRT(B2*B3)*(1+B11/24)/D13 ↑</t>
  </si>
  <si>
    <t>行使価格の期待値</t>
    <rPh sb="0" eb="2">
      <t>コウシ</t>
    </rPh>
    <rPh sb="2" eb="4">
      <t>カカク</t>
    </rPh>
    <rPh sb="5" eb="7">
      <t>キタイ</t>
    </rPh>
    <rPh sb="7" eb="8">
      <t>チ</t>
    </rPh>
    <phoneticPr fontId="5"/>
  </si>
  <si>
    <t>先物価格の期待値</t>
    <rPh sb="0" eb="2">
      <t>サキモノ</t>
    </rPh>
    <rPh sb="2" eb="4">
      <t>カカク</t>
    </rPh>
    <rPh sb="5" eb="7">
      <t>キタイ</t>
    </rPh>
    <rPh sb="7" eb="8">
      <t>チ</t>
    </rPh>
    <phoneticPr fontId="5"/>
  </si>
  <si>
    <t>(内訳)</t>
    <rPh sb="1" eb="3">
      <t>ウチワケ</t>
    </rPh>
    <phoneticPr fontId="5"/>
  </si>
  <si>
    <t>=0.2456%*365^0.5</t>
    <phoneticPr fontId="5"/>
  </si>
  <si>
    <t>=B3*B12</t>
    <phoneticPr fontId="5"/>
  </si>
  <si>
    <t>=B2*B11</t>
    <phoneticPr fontId="5"/>
  </si>
  <si>
    <t>=B2+0.2456%*B2</t>
  </si>
  <si>
    <t>1日ｺｰﾙのBlack76計算</t>
  </si>
  <si>
    <t xml:space="preserve">ﾕｰﾛ円先物ｵﾌﾟｼｮﾝの条件 </t>
  </si>
  <si>
    <t>ノーマル ボラ</t>
  </si>
  <si>
    <t>ブラック ボラ</t>
  </si>
  <si>
    <t>So</t>
  </si>
  <si>
    <t>K</t>
  </si>
  <si>
    <t>σ</t>
  </si>
  <si>
    <t>8週後</t>
  </si>
  <si>
    <t>Call価格</t>
  </si>
  <si>
    <t xml:space="preserve">Week -&gt; </t>
  </si>
  <si>
    <t>株価S</t>
  </si>
  <si>
    <t>Scenario</t>
  </si>
  <si>
    <t>max(S-K)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</si>
  <si>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</si>
  <si>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</si>
  <si>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</si>
  <si>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</si>
  <si>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</si>
  <si>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</si>
  <si>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</si>
  <si>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</si>
  <si>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</si>
  <si>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</si>
  <si>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</si>
  <si>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</si>
  <si>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</si>
  <si>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</si>
  <si>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</si>
  <si>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</si>
  <si>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</si>
  <si>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</si>
  <si>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</si>
  <si>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</si>
  <si>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=B2*B11-B7*B3*B12</t>
  </si>
  <si>
    <t>ヨーロピアン(BS式)</t>
  </si>
  <si>
    <t>モンテカルロシミュレーションの
解析解 BS価格式</t>
  </si>
  <si>
    <t xml:space="preserve">r </t>
  </si>
  <si>
    <t>S : 現物価格</t>
  </si>
  <si>
    <t>デルタ</t>
    <phoneticPr fontId="3"/>
  </si>
  <si>
    <t>=250000*B15</t>
    <phoneticPr fontId="3"/>
  </si>
  <si>
    <t>コール代金</t>
    <rPh sb="3" eb="5">
      <t>ダイキン</t>
    </rPh>
    <phoneticPr fontId="3"/>
  </si>
  <si>
    <t>=B9*B11*(-B12*B13+B14)</t>
    <phoneticPr fontId="3"/>
  </si>
  <si>
    <t>コール価格</t>
    <rPh sb="3" eb="5">
      <t>カカク</t>
    </rPh>
    <phoneticPr fontId="3"/>
  </si>
  <si>
    <t>=NORMDIST(-B12,0,1,FALSE)</t>
    <phoneticPr fontId="3"/>
  </si>
  <si>
    <t>n(-d)</t>
    <phoneticPr fontId="3"/>
  </si>
  <si>
    <t>=NORMSDIST(-B11)</t>
    <phoneticPr fontId="3"/>
  </si>
  <si>
    <t>N(-d)</t>
    <phoneticPr fontId="3"/>
  </si>
  <si>
    <t>=(B3-B5)/B11</t>
    <phoneticPr fontId="3"/>
  </si>
  <si>
    <t>d</t>
    <phoneticPr fontId="3"/>
  </si>
  <si>
    <t>=(B10*B7^0.5)</t>
    <phoneticPr fontId="3"/>
  </si>
  <si>
    <t>σ√T</t>
    <phoneticPr fontId="3"/>
  </si>
  <si>
    <t>(%)</t>
    <phoneticPr fontId="3"/>
  </si>
  <si>
    <t>σ: ボラティリティー</t>
    <phoneticPr fontId="3"/>
  </si>
  <si>
    <t>=1/(1+B8*B6/365)</t>
    <phoneticPr fontId="3"/>
  </si>
  <si>
    <t>D : ディスカウント</t>
    <phoneticPr fontId="3"/>
  </si>
  <si>
    <t>ﾏﾈｰﾏｰｹｯﾄﾚｰﾄ</t>
    <phoneticPr fontId="3"/>
  </si>
  <si>
    <t xml:space="preserve"> r : リスクフリーレート</t>
    <phoneticPr fontId="3"/>
  </si>
  <si>
    <t>=B6/365</t>
    <phoneticPr fontId="3"/>
  </si>
  <si>
    <t>T : オプション満期年</t>
    <rPh sb="9" eb="11">
      <t>マンキ</t>
    </rPh>
    <rPh sb="11" eb="12">
      <t>ネン</t>
    </rPh>
    <phoneticPr fontId="3"/>
  </si>
  <si>
    <t xml:space="preserve">    満期日数</t>
    <rPh sb="4" eb="6">
      <t>マンキ</t>
    </rPh>
    <rPh sb="6" eb="8">
      <t>ニッスウ</t>
    </rPh>
    <phoneticPr fontId="3"/>
  </si>
  <si>
    <t>Ｘ：１００－行使価格</t>
    <rPh sb="6" eb="8">
      <t>コウシ</t>
    </rPh>
    <rPh sb="8" eb="10">
      <t>カカク</t>
    </rPh>
    <phoneticPr fontId="3"/>
  </si>
  <si>
    <t xml:space="preserve">    行使価格</t>
    <rPh sb="4" eb="6">
      <t>コウシ</t>
    </rPh>
    <rPh sb="6" eb="8">
      <t>カカク</t>
    </rPh>
    <phoneticPr fontId="3"/>
  </si>
  <si>
    <t>Ｆ：１００－先物価格</t>
    <rPh sb="6" eb="8">
      <t>サキモノ</t>
    </rPh>
    <rPh sb="8" eb="10">
      <t>カカク</t>
    </rPh>
    <phoneticPr fontId="3"/>
  </si>
  <si>
    <t xml:space="preserve">    先物価格</t>
    <rPh sb="4" eb="6">
      <t>サキモノ</t>
    </rPh>
    <rPh sb="6" eb="8">
      <t>カカク</t>
    </rPh>
    <phoneticPr fontId="3"/>
  </si>
  <si>
    <t>（Ｂ列の数式等）</t>
    <phoneticPr fontId="3"/>
  </si>
  <si>
    <t>ユーロ円先物 (ノーマルモデル)</t>
    <rPh sb="3" eb="4">
      <t>エン</t>
    </rPh>
    <rPh sb="4" eb="6">
      <t>サキモノ</t>
    </rPh>
    <phoneticPr fontId="3"/>
  </si>
  <si>
    <t>フロア額面</t>
    <phoneticPr fontId="35"/>
  </si>
  <si>
    <t>（Ｂ列の数式等）</t>
    <phoneticPr fontId="7"/>
  </si>
  <si>
    <t>評価日</t>
    <rPh sb="0" eb="2">
      <t>ヒョウカ</t>
    </rPh>
    <rPh sb="2" eb="3">
      <t>ビ</t>
    </rPh>
    <phoneticPr fontId="7"/>
  </si>
  <si>
    <t>Ｆ：フォワードレート</t>
    <phoneticPr fontId="7"/>
  </si>
  <si>
    <t>SWPMより入力</t>
    <rPh sb="6" eb="8">
      <t>ニュウリョク</t>
    </rPh>
    <phoneticPr fontId="7"/>
  </si>
  <si>
    <t>Ｘ：ストライク</t>
    <phoneticPr fontId="7"/>
  </si>
  <si>
    <t xml:space="preserve">    フロアレット満期日</t>
    <rPh sb="10" eb="12">
      <t>マンキ</t>
    </rPh>
    <rPh sb="12" eb="13">
      <t>ビ</t>
    </rPh>
    <phoneticPr fontId="7"/>
  </si>
  <si>
    <t>T：オプション満期年</t>
    <rPh sb="7" eb="9">
      <t>マンキ</t>
    </rPh>
    <rPh sb="9" eb="10">
      <t>ネン</t>
    </rPh>
    <phoneticPr fontId="7"/>
  </si>
  <si>
    <t>=(B5-B2)/365</t>
    <phoneticPr fontId="7"/>
  </si>
  <si>
    <t>Ｄp：支払日ﾃﾞｨｽｶｳﾝﾄﾌｧｸﾀｰ</t>
    <rPh sb="3" eb="6">
      <t>シハライビ</t>
    </rPh>
    <phoneticPr fontId="7"/>
  </si>
  <si>
    <t>σ:ノーマル</t>
    <phoneticPr fontId="7"/>
  </si>
  <si>
    <t>σ√T</t>
    <phoneticPr fontId="7"/>
  </si>
  <si>
    <t>=B8*B6^0.5</t>
    <phoneticPr fontId="7"/>
  </si>
  <si>
    <t>d</t>
    <phoneticPr fontId="7"/>
  </si>
  <si>
    <t>=(B3-B4)/B9</t>
    <phoneticPr fontId="7"/>
  </si>
  <si>
    <t>N(-d)</t>
    <phoneticPr fontId="7"/>
  </si>
  <si>
    <t>=NORMSDIST(-B10)</t>
    <phoneticPr fontId="7"/>
  </si>
  <si>
    <t>n(d)</t>
    <phoneticPr fontId="7"/>
  </si>
  <si>
    <t>=NORMDIST(B10,0,1,FALSE)</t>
    <phoneticPr fontId="7"/>
  </si>
  <si>
    <t>ノーマル コア</t>
    <phoneticPr fontId="7"/>
  </si>
  <si>
    <t>=B9*(-B10*B11+B12)</t>
    <phoneticPr fontId="7"/>
  </si>
  <si>
    <t>付利期間 日数</t>
    <rPh sb="0" eb="2">
      <t>フリ</t>
    </rPh>
    <rPh sb="2" eb="4">
      <t>キカン</t>
    </rPh>
    <rPh sb="5" eb="7">
      <t>ニッスウ</t>
    </rPh>
    <phoneticPr fontId="7"/>
  </si>
  <si>
    <t>フロアレット時価</t>
    <rPh sb="6" eb="8">
      <t>ジカ</t>
    </rPh>
    <phoneticPr fontId="7"/>
  </si>
  <si>
    <t>1年先10年のスワップレートの計算</t>
    <rPh sb="1" eb="2">
      <t>ネン</t>
    </rPh>
    <rPh sb="2" eb="3">
      <t>サキ</t>
    </rPh>
    <rPh sb="5" eb="6">
      <t>ネン</t>
    </rPh>
    <rPh sb="15" eb="17">
      <t>ケイサン</t>
    </rPh>
    <phoneticPr fontId="4"/>
  </si>
  <si>
    <t>ディスカウント</t>
    <phoneticPr fontId="4"/>
  </si>
  <si>
    <t>支払日</t>
  </si>
  <si>
    <t>δ:テナー</t>
    <phoneticPr fontId="4"/>
  </si>
  <si>
    <t>ファクター</t>
    <phoneticPr fontId="4"/>
  </si>
  <si>
    <t>Act/365</t>
    <phoneticPr fontId="4"/>
  </si>
  <si>
    <t>B列 計算式</t>
    <rPh sb="1" eb="2">
      <t>レツ</t>
    </rPh>
    <rPh sb="3" eb="5">
      <t>ケイサン</t>
    </rPh>
    <rPh sb="5" eb="6">
      <t>シキ</t>
    </rPh>
    <phoneticPr fontId="4"/>
  </si>
  <si>
    <t>D列 計算式</t>
    <rPh sb="1" eb="2">
      <t>レツ</t>
    </rPh>
    <rPh sb="3" eb="5">
      <t>ケイサン</t>
    </rPh>
    <rPh sb="5" eb="6">
      <t>シキ</t>
    </rPh>
    <phoneticPr fontId="4"/>
  </si>
  <si>
    <t>=(A6-A5)/365</t>
    <phoneticPr fontId="4"/>
  </si>
  <si>
    <t>（以下同じ）</t>
    <rPh sb="1" eb="3">
      <t>イカ</t>
    </rPh>
    <rPh sb="3" eb="4">
      <t>オナ</t>
    </rPh>
    <phoneticPr fontId="4"/>
  </si>
  <si>
    <t>アニュイティ</t>
    <phoneticPr fontId="4"/>
  </si>
  <si>
    <t>=SumProduct
     (B6:B25,D6:D25)</t>
    <phoneticPr fontId="4"/>
  </si>
  <si>
    <t>1Yx10Yスワップ</t>
    <phoneticPr fontId="4"/>
  </si>
  <si>
    <t>=(D5-D25)/D26</t>
    <phoneticPr fontId="4"/>
  </si>
  <si>
    <t>ノーマル ペイヤー</t>
    <phoneticPr fontId="4"/>
  </si>
  <si>
    <t>（F列の数式等）</t>
    <phoneticPr fontId="4"/>
  </si>
  <si>
    <t>Ｆ：フォワードスワップ</t>
    <phoneticPr fontId="4"/>
  </si>
  <si>
    <t>X : 行使価格</t>
    <rPh sb="4" eb="6">
      <t>コウシ</t>
    </rPh>
    <rPh sb="6" eb="8">
      <t>カカク</t>
    </rPh>
    <phoneticPr fontId="4"/>
  </si>
  <si>
    <t>T : オプション満期年</t>
    <rPh sb="9" eb="11">
      <t>マンキ</t>
    </rPh>
    <rPh sb="11" eb="12">
      <t>ネン</t>
    </rPh>
    <phoneticPr fontId="4"/>
  </si>
  <si>
    <t>σ:ノーマル</t>
    <phoneticPr fontId="4"/>
  </si>
  <si>
    <t>σ√T</t>
    <phoneticPr fontId="4"/>
  </si>
  <si>
    <t>=F6*F4^0.5</t>
    <phoneticPr fontId="4"/>
  </si>
  <si>
    <t>d</t>
    <phoneticPr fontId="4"/>
  </si>
  <si>
    <t>=(F2-F3)/F7</t>
    <phoneticPr fontId="4"/>
  </si>
  <si>
    <t>N(d)</t>
    <phoneticPr fontId="4"/>
  </si>
  <si>
    <t>=NORMSDIST(F7)</t>
    <phoneticPr fontId="4"/>
  </si>
  <si>
    <t>n(d)</t>
    <phoneticPr fontId="4"/>
  </si>
  <si>
    <t>=NORMDIST(F8,0,1,false)</t>
    <phoneticPr fontId="4"/>
  </si>
  <si>
    <t>ノーマル 価格</t>
    <rPh sb="5" eb="7">
      <t>カカク</t>
    </rPh>
    <phoneticPr fontId="4"/>
  </si>
  <si>
    <t>=F5*F7*(F8*F9+F10)</t>
    <phoneticPr fontId="4"/>
  </si>
  <si>
    <t>デルタ</t>
    <phoneticPr fontId="4"/>
  </si>
  <si>
    <t>=F5*F9</t>
    <phoneticPr fontId="4"/>
  </si>
  <si>
    <t>ガンマ</t>
    <phoneticPr fontId="4"/>
  </si>
  <si>
    <t>=F5*F10/F7</t>
    <phoneticPr fontId="4"/>
  </si>
  <si>
    <t>ベガ</t>
    <phoneticPr fontId="4"/>
  </si>
  <si>
    <t>=F5*(F4^0.5)*F10</t>
    <phoneticPr fontId="4"/>
  </si>
  <si>
    <t>=1/(1+B6*B5)</t>
    <phoneticPr fontId="5"/>
  </si>
  <si>
    <t>マネーマーケット(MMkt)</t>
    <phoneticPr fontId="5"/>
  </si>
  <si>
    <t>(SWPM数値)</t>
  </si>
  <si>
    <t>=(B1*B15/365)*B7*B14</t>
    <phoneticPr fontId="7"/>
  </si>
  <si>
    <t>BSモデル モンテカルロ シミュレーション例</t>
    <phoneticPr fontId="5"/>
  </si>
  <si>
    <t>パラメータ: dt=1/52</t>
    <phoneticPr fontId="5"/>
  </si>
  <si>
    <t>σ√ dt</t>
    <phoneticPr fontId="5"/>
  </si>
  <si>
    <t xml:space="preserve">正規乱数: =NORMSINV( RAND() ) </t>
    <phoneticPr fontId="5"/>
  </si>
  <si>
    <r>
      <t>(r- .5σ</t>
    </r>
    <r>
      <rPr>
        <vertAlign val="superscript"/>
        <sz val="11"/>
        <color theme="1"/>
        <rFont val="Arial Unicode MS"/>
        <family val="3"/>
        <charset val="128"/>
      </rPr>
      <t>2</t>
    </r>
    <r>
      <rPr>
        <sz val="11"/>
        <color theme="1"/>
        <rFont val="Arial Unicode MS"/>
        <family val="3"/>
        <charset val="128"/>
      </rPr>
      <t>)</t>
    </r>
    <phoneticPr fontId="5"/>
  </si>
  <si>
    <r>
      <rPr>
        <sz val="9"/>
        <color theme="1"/>
        <rFont val="Arial Unicode MS"/>
        <family val="3"/>
        <charset val="128"/>
      </rPr>
      <t>x</t>
    </r>
    <r>
      <rPr>
        <sz val="11"/>
        <color theme="1"/>
        <rFont val="Arial Unicode MS"/>
        <family val="3"/>
        <charset val="128"/>
      </rPr>
      <t xml:space="preserve"> dt</t>
    </r>
    <phoneticPr fontId="5"/>
  </si>
  <si>
    <t>DF</t>
    <phoneticPr fontId="5"/>
  </si>
  <si>
    <t>F6=D6*(1/52)^0.5</t>
    <phoneticPr fontId="5"/>
  </si>
  <si>
    <t>H6=EXP(-C6*8/52)</t>
    <phoneticPr fontId="5"/>
  </si>
  <si>
    <t>K10=AVERAGE(K12:K31)*H6</t>
    <phoneticPr fontId="5"/>
  </si>
  <si>
    <t xml:space="preserve">E6=(C6-0.5*D6^2)*(1/52),   </t>
    <phoneticPr fontId="5"/>
  </si>
  <si>
    <t xml:space="preserve"> 8週間</t>
    <rPh sb="2" eb="4">
      <t>シュウカン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</si>
</sst>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76" formatCode="0.000%"/>
    <numFmt numFmtId="177" formatCode="0.0000%"/>
    <numFmt numFmtId="178" formatCode="#,##0.000;[Red]\-#,##0.000"/>
    <numFmt numFmtId="179" formatCode="#,##0.0000;[Red]\-#,##0.0000"/>
    <numFmt numFmtId="180" formatCode="#,##0.00000;[Red]\-#,##0.00000"/>
    <numFmt numFmtId="181" formatCode="#,##0.000000;[Red]\-#,##0.000000"/>
    <numFmt numFmtId="182" formatCode="0.000_ "/>
    <numFmt numFmtId="183" formatCode="0.00000_ "/>
    <numFmt numFmtId="184" formatCode="0.0000_ "/>
    <numFmt numFmtId="185" formatCode="#,##0.0000_);[Red]\(#,##0.0000\)"/>
    <numFmt numFmtId="186" formatCode="0.00000%"/>
    <numFmt numFmtId="187" formatCode="#,##0.0000"/>
    <numFmt numFmtId="188" formatCode="0.0"/>
    <numFmt numFmtId="189" formatCode="0.0000"/>
    <numFmt numFmtId="190" formatCode="0.00000"/>
    <numFmt numFmtId="191" formatCode="mm/dd/yy;@"/>
    <numFmt numFmtId="192" formatCode="#,##0.0000000;[Red]\-#,##0.0000000"/>
    <numFmt numFmtId="193" formatCode="0.000000%"/>
    <numFmt numFmtId="194" formatCode="0.00_ "/>
    <numFmt numFmtId="195" formatCode="0.000"/>
    <numFmt numFmtId="196" formatCode="0.0000000000000%"/>
  </numFmts>
  <fonts count="4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0"/>
      <name val="Arial"/>
      <family val="2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Arial Unicode MS"/>
      <family val="3"/>
      <charset val="128"/>
    </font>
    <font>
      <sz val="8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.5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  <scheme val="major"/>
    </font>
    <font>
      <sz val="9"/>
      <name val="Arial Unicode MS"/>
      <family val="3"/>
      <charset val="128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b/>
      <u/>
      <sz val="10"/>
      <name val="Arial Unicode MS"/>
      <family val="3"/>
      <charset val="128"/>
    </font>
    <font>
      <b/>
      <sz val="11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vertAlign val="superscript"/>
      <sz val="11"/>
      <color theme="1"/>
      <name val="Arial Unicode MS"/>
      <family val="3"/>
      <charset val="128"/>
    </font>
    <font>
      <sz val="8"/>
      <color theme="1"/>
      <name val="Arial Unicode MS"/>
      <family val="3"/>
      <charset val="128"/>
    </font>
    <font>
      <sz val="11"/>
      <color theme="1" tint="0.34998626667073579"/>
      <name val="Arial Unicode MS"/>
      <family val="3"/>
      <charset val="128"/>
    </font>
    <font>
      <sz val="11"/>
      <color theme="0" tint="-0.499984740745262"/>
      <name val="Arial Unicode MS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1">
    <xf numFmtId="0" fontId="0" fillId="0" borderId="0">
      <alignment vertical="center"/>
    </xf>
    <xf numFmtId="40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/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/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2" fillId="0" borderId="0"/>
    <xf numFmtId="0" fontId="18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6" borderId="9" applyNumberFormat="0" applyFon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27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27" borderId="1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1" borderId="11" applyNumberFormat="0" applyAlignment="0" applyProtection="0">
      <alignment vertical="center"/>
    </xf>
    <xf numFmtId="0" fontId="18" fillId="0" borderId="0">
      <alignment vertical="center"/>
    </xf>
    <xf numFmtId="0" fontId="34" fillId="8" borderId="0" applyNumberFormat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/>
    <xf numFmtId="0" fontId="6" fillId="0" borderId="0" applyNumberFormat="0"/>
    <xf numFmtId="40" fontId="3" fillId="0" borderId="0" applyFon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11" fillId="0" borderId="1" xfId="0" applyFont="1" applyBorder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/>
    <xf numFmtId="0" fontId="8" fillId="0" borderId="0" xfId="0" applyFont="1">
      <alignment vertical="center"/>
    </xf>
    <xf numFmtId="0" fontId="0" fillId="2" borderId="1" xfId="0" applyFill="1" applyBorder="1" applyAlignment="1">
      <alignment horizontal="center"/>
    </xf>
    <xf numFmtId="0" fontId="7" fillId="0" borderId="1" xfId="4" applyFont="1" applyBorder="1" applyAlignment="1">
      <alignment horizontal="center"/>
    </xf>
    <xf numFmtId="0" fontId="7" fillId="0" borderId="1" xfId="4" applyFont="1" applyBorder="1"/>
    <xf numFmtId="0" fontId="6" fillId="0" borderId="0" xfId="4"/>
    <xf numFmtId="182" fontId="6" fillId="0" borderId="0" xfId="4" applyNumberFormat="1"/>
    <xf numFmtId="183" fontId="6" fillId="0" borderId="0" xfId="4" applyNumberFormat="1"/>
    <xf numFmtId="0" fontId="7" fillId="0" borderId="0" xfId="4" applyFont="1" applyAlignment="1">
      <alignment horizontal="right"/>
    </xf>
    <xf numFmtId="176" fontId="6" fillId="0" borderId="2" xfId="3" applyNumberFormat="1" applyFont="1" applyBorder="1" applyAlignment="1">
      <alignment horizontal="right" vertical="top"/>
    </xf>
    <xf numFmtId="176" fontId="6" fillId="0" borderId="0" xfId="3" applyNumberFormat="1" applyFont="1" applyAlignment="1">
      <alignment horizontal="right"/>
    </xf>
    <xf numFmtId="0" fontId="10" fillId="0" borderId="0" xfId="4" applyFont="1"/>
    <xf numFmtId="0" fontId="6" fillId="0" borderId="0" xfId="4" quotePrefix="1"/>
    <xf numFmtId="0" fontId="7" fillId="0" borderId="0" xfId="4" applyFont="1"/>
    <xf numFmtId="0" fontId="7" fillId="0" borderId="0" xfId="0" quotePrefix="1" applyFont="1">
      <alignment vertical="center"/>
    </xf>
    <xf numFmtId="0" fontId="7" fillId="0" borderId="0" xfId="0" applyFont="1">
      <alignment vertical="center"/>
    </xf>
    <xf numFmtId="0" fontId="7" fillId="0" borderId="0" xfId="0" quotePrefix="1" applyFont="1" applyAlignment="1">
      <alignment wrapText="1"/>
    </xf>
    <xf numFmtId="178" fontId="4" fillId="0" borderId="0" xfId="2" applyNumberFormat="1" applyFont="1">
      <alignment vertical="center"/>
    </xf>
    <xf numFmtId="180" fontId="4" fillId="0" borderId="0" xfId="2" applyNumberFormat="1" applyFont="1">
      <alignment vertical="center"/>
    </xf>
    <xf numFmtId="177" fontId="4" fillId="0" borderId="0" xfId="3" applyNumberFormat="1" applyFont="1">
      <alignment vertical="center"/>
    </xf>
    <xf numFmtId="181" fontId="4" fillId="0" borderId="0" xfId="2" applyNumberFormat="1" applyFont="1">
      <alignment vertical="center"/>
    </xf>
    <xf numFmtId="179" fontId="4" fillId="0" borderId="0" xfId="2" applyNumberFormat="1" applyFont="1">
      <alignment vertical="center"/>
    </xf>
    <xf numFmtId="180" fontId="4" fillId="0" borderId="0" xfId="2" applyNumberFormat="1" applyFont="1" applyAlignment="1"/>
    <xf numFmtId="0" fontId="0" fillId="0" borderId="1" xfId="0" applyBorder="1">
      <alignment vertical="center"/>
    </xf>
    <xf numFmtId="185" fontId="0" fillId="0" borderId="0" xfId="1" applyNumberFormat="1" applyFont="1">
      <alignment vertical="center"/>
    </xf>
    <xf numFmtId="0" fontId="9" fillId="0" borderId="0" xfId="0" quotePrefix="1" applyFont="1" applyAlignment="1">
      <alignment horizontal="right" vertical="center"/>
    </xf>
    <xf numFmtId="0" fontId="12" fillId="0" borderId="0" xfId="0" quotePrefix="1" applyFont="1">
      <alignment vertical="center"/>
    </xf>
    <xf numFmtId="187" fontId="4" fillId="0" borderId="0" xfId="2" applyNumberFormat="1" applyFont="1" applyAlignment="1"/>
    <xf numFmtId="187" fontId="4" fillId="0" borderId="0" xfId="2" applyNumberFormat="1" applyFont="1">
      <alignment vertical="center"/>
    </xf>
    <xf numFmtId="0" fontId="8" fillId="0" borderId="0" xfId="0" quotePrefix="1" applyFont="1">
      <alignment vertical="center"/>
    </xf>
    <xf numFmtId="0" fontId="13" fillId="0" borderId="0" xfId="0" applyFont="1">
      <alignment vertical="center"/>
    </xf>
    <xf numFmtId="176" fontId="13" fillId="0" borderId="0" xfId="3" applyNumberFormat="1" applyFont="1">
      <alignment vertical="center"/>
    </xf>
    <xf numFmtId="179" fontId="13" fillId="0" borderId="0" xfId="2" applyNumberFormat="1" applyFont="1">
      <alignment vertical="center"/>
    </xf>
    <xf numFmtId="0" fontId="13" fillId="0" borderId="0" xfId="0" quotePrefix="1" applyFont="1">
      <alignment vertical="center"/>
    </xf>
    <xf numFmtId="180" fontId="13" fillId="0" borderId="0" xfId="2" applyNumberFormat="1" applyFont="1">
      <alignment vertical="center"/>
    </xf>
    <xf numFmtId="0" fontId="13" fillId="0" borderId="1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3" borderId="3" xfId="0" quotePrefix="1" applyFont="1" applyFill="1" applyBorder="1">
      <alignment vertical="center"/>
    </xf>
    <xf numFmtId="0" fontId="14" fillId="0" borderId="1" xfId="0" quotePrefix="1" applyFont="1" applyBorder="1">
      <alignment vertical="center"/>
    </xf>
    <xf numFmtId="0" fontId="13" fillId="0" borderId="0" xfId="0" applyFont="1" applyAlignment="1">
      <alignment horizontal="right" vertical="center"/>
    </xf>
    <xf numFmtId="184" fontId="13" fillId="0" borderId="0" xfId="0" applyNumberFormat="1" applyFont="1">
      <alignment vertical="center"/>
    </xf>
    <xf numFmtId="183" fontId="14" fillId="0" borderId="0" xfId="0" quotePrefix="1" applyNumberFormat="1" applyFont="1">
      <alignment vertical="center"/>
    </xf>
    <xf numFmtId="0" fontId="14" fillId="0" borderId="0" xfId="0" quotePrefix="1" applyFont="1">
      <alignment vertical="center"/>
    </xf>
    <xf numFmtId="176" fontId="14" fillId="0" borderId="3" xfId="3" quotePrefix="1" applyNumberFormat="1" applyFont="1" applyBorder="1">
      <alignment vertical="center"/>
    </xf>
    <xf numFmtId="0" fontId="15" fillId="0" borderId="1" xfId="0" applyFont="1" applyBorder="1">
      <alignment vertical="center"/>
    </xf>
    <xf numFmtId="0" fontId="15" fillId="0" borderId="3" xfId="0" applyFont="1" applyBorder="1" applyAlignment="1">
      <alignment horizontal="right" vertical="center"/>
    </xf>
    <xf numFmtId="176" fontId="13" fillId="0" borderId="3" xfId="3" applyNumberFormat="1" applyFont="1" applyFill="1" applyBorder="1">
      <alignment vertical="center"/>
    </xf>
    <xf numFmtId="0" fontId="13" fillId="2" borderId="1" xfId="0" applyFont="1" applyFill="1" applyBorder="1" applyAlignment="1">
      <alignment horizontal="center"/>
    </xf>
    <xf numFmtId="178" fontId="13" fillId="0" borderId="0" xfId="2" applyNumberFormat="1" applyFont="1">
      <alignment vertical="center"/>
    </xf>
    <xf numFmtId="0" fontId="36" fillId="0" borderId="0" xfId="0" applyFont="1">
      <alignment vertical="center"/>
    </xf>
    <xf numFmtId="0" fontId="36" fillId="0" borderId="0" xfId="0" quotePrefix="1" applyFont="1">
      <alignment vertical="center"/>
    </xf>
    <xf numFmtId="0" fontId="37" fillId="0" borderId="0" xfId="0" quotePrefix="1" applyFont="1">
      <alignment vertical="center"/>
    </xf>
    <xf numFmtId="177" fontId="13" fillId="0" borderId="0" xfId="3" applyNumberFormat="1" applyFont="1">
      <alignment vertical="center"/>
    </xf>
    <xf numFmtId="0" fontId="37" fillId="0" borderId="0" xfId="0" applyFont="1">
      <alignment vertical="center"/>
    </xf>
    <xf numFmtId="181" fontId="13" fillId="0" borderId="0" xfId="2" applyNumberFormat="1" applyFont="1">
      <alignment vertical="center"/>
    </xf>
    <xf numFmtId="0" fontId="38" fillId="0" borderId="0" xfId="0" quotePrefix="1" applyFont="1">
      <alignment vertical="center"/>
    </xf>
    <xf numFmtId="0" fontId="13" fillId="0" borderId="0" xfId="0" applyFont="1" applyAlignment="1"/>
    <xf numFmtId="187" fontId="13" fillId="0" borderId="0" xfId="2" applyNumberFormat="1" applyFont="1" applyAlignment="1"/>
    <xf numFmtId="0" fontId="37" fillId="0" borderId="0" xfId="0" quotePrefix="1" applyFont="1" applyAlignment="1">
      <alignment wrapText="1"/>
    </xf>
    <xf numFmtId="187" fontId="13" fillId="0" borderId="0" xfId="2" applyNumberFormat="1" applyFont="1">
      <alignment vertical="center"/>
    </xf>
    <xf numFmtId="179" fontId="13" fillId="0" borderId="0" xfId="2" applyNumberFormat="1" applyFont="1" applyAlignment="1"/>
    <xf numFmtId="0" fontId="13" fillId="0" borderId="0" xfId="0" applyFont="1" applyAlignment="1">
      <alignment horizontal="left" vertical="center" indent="1"/>
    </xf>
    <xf numFmtId="0" fontId="13" fillId="0" borderId="0" xfId="0" applyFont="1" applyAlignment="1">
      <alignment vertical="top" wrapText="1"/>
    </xf>
    <xf numFmtId="0" fontId="13" fillId="2" borderId="1" xfId="0" applyFont="1" applyFill="1" applyBorder="1" applyAlignment="1">
      <alignment horizontal="center" vertical="center"/>
    </xf>
    <xf numFmtId="184" fontId="13" fillId="0" borderId="0" xfId="2" applyNumberFormat="1" applyFont="1" applyAlignment="1"/>
    <xf numFmtId="0" fontId="37" fillId="0" borderId="0" xfId="0" quotePrefix="1" applyFont="1" applyAlignment="1">
      <alignment vertical="center" wrapText="1"/>
    </xf>
    <xf numFmtId="184" fontId="13" fillId="0" borderId="0" xfId="2" applyNumberFormat="1" applyFont="1">
      <alignment vertical="center"/>
    </xf>
    <xf numFmtId="181" fontId="13" fillId="0" borderId="0" xfId="2" applyNumberFormat="1" applyFont="1" applyAlignment="1"/>
    <xf numFmtId="40" fontId="13" fillId="0" borderId="0" xfId="2" applyNumberFormat="1" applyFont="1">
      <alignment vertical="center"/>
    </xf>
    <xf numFmtId="0" fontId="13" fillId="0" borderId="0" xfId="0" applyFont="1" applyAlignment="1">
      <alignment vertical="top"/>
    </xf>
    <xf numFmtId="180" fontId="13" fillId="0" borderId="0" xfId="2" applyNumberFormat="1" applyFont="1" applyAlignment="1"/>
    <xf numFmtId="0" fontId="13" fillId="2" borderId="1" xfId="0" applyFont="1" applyFill="1" applyBorder="1" applyAlignment="1">
      <alignment horizontal="left" vertical="center"/>
    </xf>
    <xf numFmtId="180" fontId="13" fillId="0" borderId="0" xfId="5" applyNumberFormat="1" applyFont="1">
      <alignment vertical="center"/>
    </xf>
    <xf numFmtId="177" fontId="13" fillId="0" borderId="0" xfId="6" applyNumberFormat="1" applyFont="1">
      <alignment vertical="center"/>
    </xf>
    <xf numFmtId="181" fontId="13" fillId="0" borderId="0" xfId="5" applyNumberFormat="1" applyFont="1">
      <alignment vertical="center"/>
    </xf>
    <xf numFmtId="190" fontId="13" fillId="0" borderId="0" xfId="0" applyNumberFormat="1" applyFont="1">
      <alignment vertical="center"/>
    </xf>
    <xf numFmtId="40" fontId="13" fillId="0" borderId="0" xfId="5" applyNumberFormat="1" applyFont="1">
      <alignment vertical="center"/>
    </xf>
    <xf numFmtId="177" fontId="13" fillId="0" borderId="3" xfId="3" applyNumberFormat="1" applyFont="1" applyBorder="1">
      <alignment vertical="center"/>
    </xf>
    <xf numFmtId="0" fontId="15" fillId="0" borderId="1" xfId="0" applyFont="1" applyBorder="1" applyAlignment="1"/>
    <xf numFmtId="0" fontId="36" fillId="2" borderId="1" xfId="0" applyFont="1" applyFill="1" applyBorder="1" applyAlignment="1">
      <alignment horizontal="center"/>
    </xf>
    <xf numFmtId="193" fontId="13" fillId="0" borderId="0" xfId="6" applyNumberFormat="1" applyFont="1" applyFill="1">
      <alignment vertical="center"/>
    </xf>
    <xf numFmtId="194" fontId="13" fillId="0" borderId="0" xfId="0" applyNumberFormat="1" applyFont="1">
      <alignment vertical="center"/>
    </xf>
    <xf numFmtId="192" fontId="13" fillId="0" borderId="0" xfId="5" applyNumberFormat="1" applyFont="1">
      <alignment vertical="center"/>
    </xf>
    <xf numFmtId="0" fontId="13" fillId="0" borderId="0" xfId="0" applyFont="1" applyAlignment="1">
      <alignment horizontal="left" indent="1"/>
    </xf>
    <xf numFmtId="190" fontId="13" fillId="0" borderId="0" xfId="0" applyNumberFormat="1" applyFont="1" applyAlignment="1"/>
    <xf numFmtId="0" fontId="14" fillId="0" borderId="0" xfId="0" quotePrefix="1" applyFont="1" applyAlignment="1"/>
    <xf numFmtId="184" fontId="13" fillId="0" borderId="0" xfId="5" applyNumberFormat="1" applyFont="1" applyAlignment="1"/>
    <xf numFmtId="184" fontId="13" fillId="0" borderId="0" xfId="5" applyNumberFormat="1" applyFont="1">
      <alignment vertical="center"/>
    </xf>
    <xf numFmtId="186" fontId="13" fillId="0" borderId="0" xfId="6" applyNumberFormat="1" applyFont="1" applyFill="1">
      <alignment vertical="center"/>
    </xf>
    <xf numFmtId="195" fontId="13" fillId="0" borderId="0" xfId="0" applyNumberFormat="1" applyFont="1">
      <alignment vertical="center"/>
    </xf>
    <xf numFmtId="10" fontId="13" fillId="0" borderId="0" xfId="3" applyNumberFormat="1" applyFont="1">
      <alignment vertical="center"/>
    </xf>
    <xf numFmtId="196" fontId="13" fillId="0" borderId="0" xfId="0" quotePrefix="1" applyNumberFormat="1" applyFont="1">
      <alignment vertical="center"/>
    </xf>
    <xf numFmtId="0" fontId="39" fillId="0" borderId="0" xfId="55" applyFont="1">
      <alignment vertical="center"/>
    </xf>
    <xf numFmtId="38" fontId="13" fillId="0" borderId="0" xfId="56" applyFont="1">
      <alignment vertical="center"/>
    </xf>
    <xf numFmtId="14" fontId="39" fillId="0" borderId="0" xfId="55" applyNumberFormat="1" applyFont="1">
      <alignment vertical="center"/>
    </xf>
    <xf numFmtId="14" fontId="37" fillId="0" borderId="0" xfId="55" applyNumberFormat="1" applyFont="1">
      <alignment vertical="center"/>
    </xf>
    <xf numFmtId="0" fontId="39" fillId="0" borderId="0" xfId="55" applyFont="1" applyAlignment="1"/>
    <xf numFmtId="186" fontId="13" fillId="0" borderId="0" xfId="57" applyNumberFormat="1" applyFont="1" applyFill="1" applyAlignment="1"/>
    <xf numFmtId="14" fontId="37" fillId="0" borderId="0" xfId="55" applyNumberFormat="1" applyFont="1" applyAlignment="1"/>
    <xf numFmtId="186" fontId="13" fillId="0" borderId="0" xfId="57" applyNumberFormat="1" applyFont="1">
      <alignment vertical="center"/>
    </xf>
    <xf numFmtId="186" fontId="37" fillId="0" borderId="0" xfId="57" applyNumberFormat="1" applyFont="1">
      <alignment vertical="center"/>
    </xf>
    <xf numFmtId="181" fontId="37" fillId="0" borderId="0" xfId="56" quotePrefix="1" applyNumberFormat="1" applyFont="1" applyAlignment="1"/>
    <xf numFmtId="0" fontId="37" fillId="0" borderId="0" xfId="58" applyFont="1"/>
    <xf numFmtId="0" fontId="37" fillId="0" borderId="0" xfId="55" quotePrefix="1" applyFont="1">
      <alignment vertical="center"/>
    </xf>
    <xf numFmtId="0" fontId="39" fillId="0" borderId="0" xfId="55" applyFont="1" applyAlignment="1">
      <alignment horizontal="left" indent="1"/>
    </xf>
    <xf numFmtId="0" fontId="37" fillId="0" borderId="0" xfId="55" quotePrefix="1" applyFont="1" applyAlignment="1"/>
    <xf numFmtId="0" fontId="39" fillId="0" borderId="0" xfId="55" applyFont="1" applyAlignment="1">
      <alignment horizontal="left" vertical="center" indent="1"/>
    </xf>
    <xf numFmtId="190" fontId="39" fillId="0" borderId="0" xfId="55" applyNumberFormat="1" applyFont="1">
      <alignment vertical="center"/>
    </xf>
    <xf numFmtId="0" fontId="13" fillId="0" borderId="0" xfId="55" applyFont="1" applyAlignment="1"/>
    <xf numFmtId="38" fontId="13" fillId="0" borderId="0" xfId="56" applyFont="1" applyFill="1">
      <alignment vertical="center"/>
    </xf>
    <xf numFmtId="38" fontId="37" fillId="0" borderId="0" xfId="56" quotePrefix="1" applyFont="1" applyFill="1">
      <alignment vertical="center"/>
    </xf>
    <xf numFmtId="0" fontId="40" fillId="0" borderId="0" xfId="55" applyFont="1">
      <alignment vertical="center"/>
    </xf>
    <xf numFmtId="181" fontId="13" fillId="0" borderId="0" xfId="56" applyNumberFormat="1" applyFont="1" applyAlignment="1"/>
    <xf numFmtId="177" fontId="13" fillId="0" borderId="0" xfId="3" applyNumberFormat="1" applyFont="1" applyAlignment="1"/>
    <xf numFmtId="0" fontId="40" fillId="2" borderId="1" xfId="55" applyFont="1" applyFill="1" applyBorder="1" applyAlignment="1">
      <alignment horizontal="left" vertical="center"/>
    </xf>
    <xf numFmtId="0" fontId="41" fillId="0" borderId="0" xfId="59" applyFont="1"/>
    <xf numFmtId="0" fontId="37" fillId="0" borderId="0" xfId="59" applyFont="1"/>
    <xf numFmtId="0" fontId="37" fillId="0" borderId="0" xfId="59" applyFont="1" applyAlignment="1">
      <alignment horizontal="center"/>
    </xf>
    <xf numFmtId="0" fontId="37" fillId="0" borderId="0" xfId="59" applyFont="1" applyAlignment="1">
      <alignment horizontal="left"/>
    </xf>
    <xf numFmtId="0" fontId="14" fillId="0" borderId="1" xfId="59" applyFont="1" applyBorder="1" applyAlignment="1">
      <alignment horizontal="center"/>
    </xf>
    <xf numFmtId="0" fontId="37" fillId="0" borderId="1" xfId="59" applyFont="1" applyBorder="1" applyAlignment="1">
      <alignment horizontal="center"/>
    </xf>
    <xf numFmtId="191" fontId="37" fillId="0" borderId="0" xfId="59" applyNumberFormat="1" applyFont="1" applyAlignment="1">
      <alignment horizontal="center"/>
    </xf>
    <xf numFmtId="0" fontId="14" fillId="0" borderId="0" xfId="59" applyFont="1" applyAlignment="1">
      <alignment horizontal="center"/>
    </xf>
    <xf numFmtId="0" fontId="14" fillId="0" borderId="0" xfId="59" applyFont="1" applyAlignment="1">
      <alignment horizontal="left"/>
    </xf>
    <xf numFmtId="181" fontId="37" fillId="0" borderId="0" xfId="5" applyNumberFormat="1" applyFont="1" applyAlignment="1">
      <alignment horizontal="center"/>
    </xf>
    <xf numFmtId="0" fontId="14" fillId="0" borderId="0" xfId="59" quotePrefix="1" applyFont="1" applyAlignment="1">
      <alignment horizontal="left"/>
    </xf>
    <xf numFmtId="192" fontId="37" fillId="0" borderId="0" xfId="5" applyNumberFormat="1" applyFont="1" applyBorder="1" applyAlignment="1">
      <alignment horizontal="center"/>
    </xf>
    <xf numFmtId="0" fontId="37" fillId="0" borderId="0" xfId="59" quotePrefix="1" applyFont="1" applyAlignment="1">
      <alignment horizontal="left"/>
    </xf>
    <xf numFmtId="0" fontId="14" fillId="0" borderId="0" xfId="59" quotePrefix="1" applyFont="1" applyAlignment="1">
      <alignment horizontal="center"/>
    </xf>
    <xf numFmtId="0" fontId="37" fillId="0" borderId="2" xfId="59" applyFont="1" applyBorder="1" applyAlignment="1">
      <alignment horizontal="center"/>
    </xf>
    <xf numFmtId="192" fontId="37" fillId="0" borderId="2" xfId="5" applyNumberFormat="1" applyFont="1" applyBorder="1" applyAlignment="1">
      <alignment horizontal="center"/>
    </xf>
    <xf numFmtId="192" fontId="14" fillId="0" borderId="2" xfId="59" quotePrefix="1" applyNumberFormat="1" applyFont="1" applyBorder="1" applyAlignment="1">
      <alignment horizontal="left" wrapText="1"/>
    </xf>
    <xf numFmtId="0" fontId="37" fillId="0" borderId="0" xfId="59" applyFont="1" applyAlignment="1">
      <alignment horizontal="right"/>
    </xf>
    <xf numFmtId="177" fontId="37" fillId="28" borderId="0" xfId="6" applyNumberFormat="1" applyFont="1" applyFill="1" applyBorder="1" applyAlignment="1">
      <alignment horizontal="center"/>
    </xf>
    <xf numFmtId="192" fontId="37" fillId="0" borderId="0" xfId="5" applyNumberFormat="1" applyFont="1" applyFill="1" applyBorder="1" applyAlignment="1">
      <alignment horizontal="center"/>
    </xf>
    <xf numFmtId="0" fontId="42" fillId="0" borderId="1" xfId="7" applyFont="1" applyBorder="1"/>
    <xf numFmtId="0" fontId="39" fillId="0" borderId="1" xfId="7" applyFont="1" applyBorder="1"/>
    <xf numFmtId="0" fontId="39" fillId="0" borderId="0" xfId="7" applyFont="1"/>
    <xf numFmtId="0" fontId="43" fillId="0" borderId="0" xfId="7" quotePrefix="1" applyFont="1"/>
    <xf numFmtId="0" fontId="39" fillId="0" borderId="0" xfId="7" applyFont="1" applyAlignment="1">
      <alignment horizontal="center"/>
    </xf>
    <xf numFmtId="0" fontId="39" fillId="0" borderId="1" xfId="7" applyFont="1" applyBorder="1" applyAlignment="1">
      <alignment horizontal="center"/>
    </xf>
    <xf numFmtId="176" fontId="43" fillId="0" borderId="0" xfId="7" applyNumberFormat="1" applyFont="1" applyAlignment="1">
      <alignment horizontal="center"/>
    </xf>
    <xf numFmtId="9" fontId="39" fillId="0" borderId="0" xfId="7" applyNumberFormat="1" applyFont="1" applyAlignment="1">
      <alignment horizontal="center"/>
    </xf>
    <xf numFmtId="0" fontId="39" fillId="0" borderId="0" xfId="7" applyFont="1" applyAlignment="1">
      <alignment horizontal="left"/>
    </xf>
    <xf numFmtId="0" fontId="45" fillId="0" borderId="0" xfId="7" applyFont="1"/>
    <xf numFmtId="0" fontId="42" fillId="4" borderId="4" xfId="7" applyFont="1" applyFill="1" applyBorder="1" applyAlignment="1">
      <alignment horizontal="center"/>
    </xf>
    <xf numFmtId="0" fontId="39" fillId="0" borderId="5" xfId="7" applyFont="1" applyBorder="1" applyAlignment="1">
      <alignment horizontal="center"/>
    </xf>
    <xf numFmtId="0" fontId="39" fillId="5" borderId="1" xfId="7" applyFont="1" applyFill="1" applyBorder="1"/>
    <xf numFmtId="0" fontId="42" fillId="4" borderId="6" xfId="7" applyFont="1" applyFill="1" applyBorder="1" applyAlignment="1">
      <alignment horizontal="center"/>
    </xf>
    <xf numFmtId="0" fontId="39" fillId="0" borderId="7" xfId="7" applyFont="1" applyBorder="1" applyAlignment="1">
      <alignment horizontal="center"/>
    </xf>
    <xf numFmtId="0" fontId="39" fillId="4" borderId="1" xfId="7" applyFont="1" applyFill="1" applyBorder="1" applyAlignment="1">
      <alignment horizontal="center"/>
    </xf>
    <xf numFmtId="0" fontId="39" fillId="0" borderId="1" xfId="7" applyFont="1" applyBorder="1" applyAlignment="1">
      <alignment horizontal="left"/>
    </xf>
    <xf numFmtId="188" fontId="39" fillId="0" borderId="0" xfId="7" applyNumberFormat="1" applyFont="1" applyAlignment="1">
      <alignment horizontal="right"/>
    </xf>
    <xf numFmtId="188" fontId="39" fillId="0" borderId="0" xfId="7" applyNumberFormat="1" applyFont="1"/>
    <xf numFmtId="189" fontId="46" fillId="0" borderId="0" xfId="7" applyNumberFormat="1" applyFont="1"/>
    <xf numFmtId="0" fontId="13" fillId="0" borderId="0" xfId="7" applyFont="1" applyAlignment="1">
      <alignment horizontal="center"/>
    </xf>
    <xf numFmtId="189" fontId="13" fillId="0" borderId="0" xfId="7" applyNumberFormat="1" applyFont="1"/>
    <xf numFmtId="0" fontId="43" fillId="0" borderId="0" xfId="7" quotePrefix="1" applyFont="1" applyAlignment="1">
      <alignment horizontal="right"/>
    </xf>
    <xf numFmtId="0" fontId="47" fillId="0" borderId="0" xfId="7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181" fontId="39" fillId="0" borderId="0" xfId="2" applyNumberFormat="1" applyFont="1" applyAlignment="1">
      <alignment horizontal="center"/>
    </xf>
    <xf numFmtId="0" fontId="39" fillId="0" borderId="1" xfId="7" applyFont="1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37" fillId="0" borderId="0" xfId="59" applyFont="1" applyAlignment="1">
      <alignment horizontal="left"/>
    </xf>
  </cellXfs>
  <cellStyles count="61">
    <cellStyle name="20% - アクセント 1" xfId="8" xr:uid="{00000000-0005-0000-0000-000000000000}"/>
    <cellStyle name="20% - アクセント 2" xfId="9" xr:uid="{00000000-0005-0000-0000-000001000000}"/>
    <cellStyle name="20% - アクセント 3" xfId="10" xr:uid="{00000000-0005-0000-0000-000002000000}"/>
    <cellStyle name="20% - アクセント 4" xfId="11" xr:uid="{00000000-0005-0000-0000-000003000000}"/>
    <cellStyle name="20% - アクセント 5" xfId="12" xr:uid="{00000000-0005-0000-0000-000004000000}"/>
    <cellStyle name="20% - アクセント 6" xfId="13" xr:uid="{00000000-0005-0000-0000-000005000000}"/>
    <cellStyle name="40% - アクセント 1" xfId="14" xr:uid="{00000000-0005-0000-0000-000006000000}"/>
    <cellStyle name="40% - アクセント 2" xfId="15" xr:uid="{00000000-0005-0000-0000-000007000000}"/>
    <cellStyle name="40% - アクセント 3" xfId="16" xr:uid="{00000000-0005-0000-0000-000008000000}"/>
    <cellStyle name="40% - アクセント 4" xfId="17" xr:uid="{00000000-0005-0000-0000-000009000000}"/>
    <cellStyle name="40% - アクセント 5" xfId="18" xr:uid="{00000000-0005-0000-0000-00000A000000}"/>
    <cellStyle name="40% - アクセント 6" xfId="19" xr:uid="{00000000-0005-0000-0000-00000B000000}"/>
    <cellStyle name="60% - アクセント 1" xfId="20" xr:uid="{00000000-0005-0000-0000-00000C000000}"/>
    <cellStyle name="60% - アクセント 2" xfId="21" xr:uid="{00000000-0005-0000-0000-00000D000000}"/>
    <cellStyle name="60% - アクセント 3" xfId="22" xr:uid="{00000000-0005-0000-0000-00000E000000}"/>
    <cellStyle name="60% - アクセント 4" xfId="23" xr:uid="{00000000-0005-0000-0000-00000F000000}"/>
    <cellStyle name="60% - アクセント 5" xfId="24" xr:uid="{00000000-0005-0000-0000-000010000000}"/>
    <cellStyle name="60% - アクセント 6" xfId="25" xr:uid="{00000000-0005-0000-0000-000011000000}"/>
    <cellStyle name="Comma [0] 2" xfId="26" xr:uid="{00000000-0005-0000-0000-000012000000}"/>
    <cellStyle name="Normal 2" xfId="7" xr:uid="{00000000-0005-0000-0000-000013000000}"/>
    <cellStyle name="Normal 3" xfId="27" xr:uid="{00000000-0005-0000-0000-000014000000}"/>
    <cellStyle name="Normal 3 2" xfId="28" xr:uid="{00000000-0005-0000-0000-000015000000}"/>
    <cellStyle name="Percent 2" xfId="29" xr:uid="{00000000-0005-0000-0000-000016000000}"/>
    <cellStyle name="Percent 2 2" xfId="30" xr:uid="{00000000-0005-0000-0000-000017000000}"/>
    <cellStyle name="アクセント 1" xfId="31" xr:uid="{00000000-0005-0000-0000-000018000000}"/>
    <cellStyle name="アクセント 2" xfId="32" xr:uid="{00000000-0005-0000-0000-000019000000}"/>
    <cellStyle name="アクセント 3" xfId="33" xr:uid="{00000000-0005-0000-0000-00001A000000}"/>
    <cellStyle name="アクセント 4" xfId="34" xr:uid="{00000000-0005-0000-0000-00001B000000}"/>
    <cellStyle name="アクセント 5" xfId="35" xr:uid="{00000000-0005-0000-0000-00001C000000}"/>
    <cellStyle name="アクセント 6" xfId="36" xr:uid="{00000000-0005-0000-0000-00001D000000}"/>
    <cellStyle name="タイトル" xfId="37" xr:uid="{00000000-0005-0000-0000-00001E000000}"/>
    <cellStyle name="チェック セル" xfId="38" xr:uid="{00000000-0005-0000-0000-00001F000000}"/>
    <cellStyle name="どちらでもない" xfId="39" xr:uid="{00000000-0005-0000-0000-000020000000}"/>
    <cellStyle name="パーセント" xfId="3" builtinId="5"/>
    <cellStyle name="パーセント 2" xfId="6" xr:uid="{00000000-0005-0000-0000-000022000000}"/>
    <cellStyle name="パーセント 3" xfId="57" xr:uid="{00000000-0005-0000-0000-000023000000}"/>
    <cellStyle name="メモ" xfId="40" xr:uid="{00000000-0005-0000-0000-000024000000}"/>
    <cellStyle name="リンク セル" xfId="41" xr:uid="{00000000-0005-0000-0000-000025000000}"/>
    <cellStyle name="悪い" xfId="42" xr:uid="{00000000-0005-0000-0000-000026000000}"/>
    <cellStyle name="計算" xfId="43" xr:uid="{00000000-0005-0000-0000-000027000000}"/>
    <cellStyle name="警告文" xfId="44" xr:uid="{00000000-0005-0000-0000-000028000000}"/>
    <cellStyle name="桁区切り" xfId="2" builtinId="6"/>
    <cellStyle name="桁区切り [0.00]" xfId="1" builtinId="3"/>
    <cellStyle name="桁区切り [0.00] 2" xfId="60" xr:uid="{00000000-0005-0000-0000-00002B000000}"/>
    <cellStyle name="桁区切り 2" xfId="5" xr:uid="{00000000-0005-0000-0000-00002C000000}"/>
    <cellStyle name="桁区切り 3" xfId="56" xr:uid="{00000000-0005-0000-0000-00002D000000}"/>
    <cellStyle name="見出し 1" xfId="45" xr:uid="{00000000-0005-0000-0000-00002E000000}"/>
    <cellStyle name="見出し 2" xfId="46" xr:uid="{00000000-0005-0000-0000-00002F000000}"/>
    <cellStyle name="見出し 3" xfId="47" xr:uid="{00000000-0005-0000-0000-000030000000}"/>
    <cellStyle name="見出し 4" xfId="48" xr:uid="{00000000-0005-0000-0000-000031000000}"/>
    <cellStyle name="集計" xfId="49" xr:uid="{00000000-0005-0000-0000-000032000000}"/>
    <cellStyle name="出力" xfId="50" xr:uid="{00000000-0005-0000-0000-000033000000}"/>
    <cellStyle name="説明文" xfId="51" xr:uid="{00000000-0005-0000-0000-000034000000}"/>
    <cellStyle name="入力" xfId="52" xr:uid="{00000000-0005-0000-0000-000035000000}"/>
    <cellStyle name="標準" xfId="0" builtinId="0"/>
    <cellStyle name="標準 2" xfId="53" xr:uid="{00000000-0005-0000-0000-000037000000}"/>
    <cellStyle name="標準 3" xfId="55" xr:uid="{00000000-0005-0000-0000-000038000000}"/>
    <cellStyle name="標準_Cap2 未完成" xfId="58" xr:uid="{00000000-0005-0000-0000-000039000000}"/>
    <cellStyle name="標準_chap04" xfId="59" xr:uid="{00000000-0005-0000-0000-00003A000000}"/>
    <cellStyle name="標準_ex-5day-hist-volatility" xfId="4" xr:uid="{00000000-0005-0000-0000-00003B000000}"/>
    <cellStyle name="良い" xfId="54" xr:uid="{00000000-0005-0000-0000-00003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'5.8'!$B$11:$J$11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5-4F77-98CF-D4C16841E4D2}"/>
            </c:ext>
          </c:extLst>
        </c:ser>
        <c:ser>
          <c:idx val="1"/>
          <c:order val="1"/>
          <c:marker>
            <c:symbol val="none"/>
          </c:marker>
          <c:val>
            <c:numRef>
              <c:f>'5.8'!$B$12:$J$12</c:f>
              <c:numCache>
                <c:formatCode>0.0</c:formatCode>
                <c:ptCount val="9"/>
                <c:pt idx="0" formatCode="General">
                  <c:v>100</c:v>
                </c:pt>
                <c:pt idx="1">
                  <c:v>109.13164771693961</c:v>
                </c:pt>
                <c:pt idx="2">
                  <c:v>99.097300385038238</c:v>
                </c:pt>
                <c:pt idx="3">
                  <c:v>97.627579180363085</c:v>
                </c:pt>
                <c:pt idx="4">
                  <c:v>98.389186142670368</c:v>
                </c:pt>
                <c:pt idx="5">
                  <c:v>100.01541063256795</c:v>
                </c:pt>
                <c:pt idx="6">
                  <c:v>98.75013502958231</c:v>
                </c:pt>
                <c:pt idx="7">
                  <c:v>100.249128118828</c:v>
                </c:pt>
                <c:pt idx="8">
                  <c:v>99.920172755207503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5-4F77-98CF-D4C16841E4D2}"/>
            </c:ext>
          </c:extLst>
        </c:ser>
        <c:ser>
          <c:idx val="2"/>
          <c:order val="2"/>
          <c:marker>
            <c:symbol val="none"/>
          </c:marker>
          <c:val>
            <c:numRef>
              <c:f>'5.8'!$B$13:$J$13</c:f>
              <c:numCache>
                <c:formatCode>0.0</c:formatCode>
                <c:ptCount val="9"/>
                <c:pt idx="0" formatCode="General">
                  <c:v>100</c:v>
                </c:pt>
                <c:pt idx="1">
                  <c:v>100.26009958913784</c:v>
                </c:pt>
                <c:pt idx="2">
                  <c:v>97.181424626398595</c:v>
                </c:pt>
                <c:pt idx="3">
                  <c:v>95.616047764228739</c:v>
                </c:pt>
                <c:pt idx="4">
                  <c:v>93.698323049302218</c:v>
                </c:pt>
                <c:pt idx="5">
                  <c:v>99.834841279899592</c:v>
                </c:pt>
                <c:pt idx="6">
                  <c:v>97.297105501971672</c:v>
                </c:pt>
                <c:pt idx="7">
                  <c:v>99.008302978418314</c:v>
                </c:pt>
                <c:pt idx="8">
                  <c:v>95.38113745478293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5-4F77-98CF-D4C16841E4D2}"/>
            </c:ext>
          </c:extLst>
        </c:ser>
        <c:ser>
          <c:idx val="3"/>
          <c:order val="3"/>
          <c:marker>
            <c:symbol val="none"/>
          </c:marker>
          <c:val>
            <c:numRef>
              <c:f>'5.8'!$B$14:$J$14</c:f>
              <c:numCache>
                <c:formatCode>0.0</c:formatCode>
                <c:ptCount val="9"/>
                <c:pt idx="0" formatCode="General">
                  <c:v>100</c:v>
                </c:pt>
                <c:pt idx="1">
                  <c:v>102.68086911770826</c:v>
                </c:pt>
                <c:pt idx="2">
                  <c:v>101.97489148337579</c:v>
                </c:pt>
                <c:pt idx="3">
                  <c:v>105.01240014114259</c:v>
                </c:pt>
                <c:pt idx="4">
                  <c:v>100.60017295629567</c:v>
                </c:pt>
                <c:pt idx="5">
                  <c:v>104.63552381859894</c:v>
                </c:pt>
                <c:pt idx="6">
                  <c:v>107.00930485217877</c:v>
                </c:pt>
                <c:pt idx="7">
                  <c:v>118.51211819575647</c:v>
                </c:pt>
                <c:pt idx="8">
                  <c:v>115.73768489392484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5-4F77-98CF-D4C16841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22592"/>
        <c:axId val="256624128"/>
      </c:lineChart>
      <c:catAx>
        <c:axId val="256622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256624128"/>
        <c:crosses val="autoZero"/>
        <c:auto val="1"/>
        <c:lblAlgn val="ctr"/>
        <c:lblOffset val="100"/>
        <c:noMultiLvlLbl val="0"/>
      </c:catAx>
      <c:valAx>
        <c:axId val="256624128"/>
        <c:scaling>
          <c:orientation val="minMax"/>
          <c:max val="125"/>
          <c:min val="7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256622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481013</xdr:colOff>
      <xdr:row>0</xdr:row>
      <xdr:rowOff>69850</xdr:rowOff>
    </xdr:from>
    <xdr:to>
      <xdr:col>20</xdr:col>
      <xdr:colOff>542925</xdr:colOff>
      <xdr:row>9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</xdr:colOff>
      <xdr:row>14</xdr:row>
      <xdr:rowOff>31750</xdr:rowOff>
    </xdr:from>
    <xdr:to>
      <xdr:col>9</xdr:col>
      <xdr:colOff>450850</xdr:colOff>
      <xdr:row>17</xdr:row>
      <xdr:rowOff>63500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21F6C5-1EB4-CCD3-EAEE-91B7E9AEAC9B}"/>
            </a:ext>
          </a:extLst>
        </xdr:cNvPr>
        <xdr:cNvSpPr txBox="1"/>
      </xdr:nvSpPr>
      <xdr:spPr>
        <a:xfrm>
          <a:off x="1460500" y="2997200"/>
          <a:ext cx="3073400" cy="660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</a:t>
          </a:r>
          <a:r>
            <a:rPr kumimoji="1" lang="ja-JP" altLang="en-US" sz="1100"/>
            <a:t>行計算式 </a:t>
          </a:r>
          <a:r>
            <a:rPr kumimoji="1" lang="en-US" altLang="ja-JP" sz="1100"/>
            <a:t>:  C12=B12*EXP($E$6+$F$6*N12)</a:t>
          </a:r>
        </a:p>
        <a:p>
          <a:r>
            <a:rPr kumimoji="1" lang="en-US" altLang="ja-JP" sz="1100" baseline="0"/>
            <a:t>                          </a:t>
          </a:r>
          <a:r>
            <a:rPr kumimoji="1" lang="en-US" altLang="ja-JP" sz="1100"/>
            <a:t>D12=C12*EXP($E$6+$F$6*O12)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・・・・・・・・・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14</xdr:col>
      <xdr:colOff>63500</xdr:colOff>
      <xdr:row>12</xdr:row>
      <xdr:rowOff>63500</xdr:rowOff>
    </xdr:from>
    <xdr:to>
      <xdr:col>19</xdr:col>
      <xdr:colOff>342900</xdr:colOff>
      <xdr:row>15</xdr:row>
      <xdr:rowOff>101600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4348751-04F4-1C6E-E6C2-57246A29589B}"/>
            </a:ext>
          </a:extLst>
        </xdr:cNvPr>
        <xdr:cNvSpPr txBox="1"/>
      </xdr:nvSpPr>
      <xdr:spPr>
        <a:xfrm>
          <a:off x="6940550" y="2609850"/>
          <a:ext cx="3073400" cy="6667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</a:t>
          </a:r>
          <a:r>
            <a:rPr kumimoji="1" lang="ja-JP" altLang="en-US" sz="1100"/>
            <a:t>行計算式 </a:t>
          </a:r>
          <a:r>
            <a:rPr kumimoji="1" lang="en-US" altLang="ja-JP" sz="1100"/>
            <a:t>:  N12=NORMSINV(RAND())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O12=NORMSINV(RAND())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・・・・・・・・・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120650</xdr:colOff>
      <xdr:row>0</xdr:row>
      <xdr:rowOff>0</xdr:rowOff>
    </xdr:from>
    <xdr:to>
      <xdr:col>7</xdr:col>
      <xdr:colOff>722743</xdr:colOff>
      <xdr:row>16</xdr:row>
      <xdr:rowOff>89868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09F7307-A5CB-41FA-9C92-0DB0E11F7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0"/>
          <a:ext cx="6596493" cy="36268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400050</xdr:colOff>
      <xdr:row>8</xdr:row>
      <xdr:rowOff>25141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B4E7A05-7349-9CE0-E578-B8DE5B39A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3400" y="0"/>
          <a:ext cx="3752850" cy="12951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14</xdr:col>
      <xdr:colOff>477987</xdr:colOff>
      <xdr:row>17</xdr:row>
      <xdr:rowOff>183069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6D7DD3B-6F7E-499D-8386-F0DAEC5C1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0"/>
          <a:ext cx="6573987" cy="3853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134669</xdr:colOff>
      <xdr:row>0</xdr:row>
      <xdr:rowOff>35278</xdr:rowOff>
    </xdr:from>
    <xdr:to>
      <xdr:col>14</xdr:col>
      <xdr:colOff>36875</xdr:colOff>
      <xdr:row>19</xdr:row>
      <xdr:rowOff>203395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81154DE-DE1E-4781-B3E7-22AB821D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0780" y="35278"/>
          <a:ext cx="6576762" cy="4147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</xdr:colOff>
      <xdr:row>0</xdr:row>
      <xdr:rowOff>12700</xdr:rowOff>
    </xdr:from>
    <xdr:to>
      <xdr:col>14</xdr:col>
      <xdr:colOff>20912</xdr:colOff>
      <xdr:row>20</xdr:row>
      <xdr:rowOff>18938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BD0C3DD-C036-460F-A62C-421EA7EC6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7850" y="12700"/>
          <a:ext cx="6694762" cy="4197238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20</xdr:row>
      <xdr:rowOff>120650</xdr:rowOff>
    </xdr:from>
    <xdr:to>
      <xdr:col>14</xdr:col>
      <xdr:colOff>81234</xdr:colOff>
      <xdr:row>28</xdr:row>
      <xdr:rowOff>33805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61DB4F5-D983-429D-A8E7-0486526DC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4311650"/>
          <a:ext cx="6723334" cy="158955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24</xdr:row>
      <xdr:rowOff>139700</xdr:rowOff>
    </xdr:from>
    <xdr:to>
      <xdr:col>19</xdr:col>
      <xdr:colOff>366042</xdr:colOff>
      <xdr:row>28</xdr:row>
      <xdr:rowOff>37547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4195A58-A19F-42F3-AD73-F1768DDD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3600" y="5168900"/>
          <a:ext cx="3452142" cy="7360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18</xdr:col>
      <xdr:colOff>27258</xdr:colOff>
      <xdr:row>25</xdr:row>
      <xdr:rowOff>201667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D53CD13-2D1C-499C-AE78-F2EE1A450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0"/>
          <a:ext cx="6732858" cy="4646667"/>
        </a:xfrm>
        <a:prstGeom prst="rect">
          <a:avLst/>
        </a:prstGeom>
      </xdr:spPr>
    </xdr:pic>
    <xdr:clientData/>
  </xdr:twoCellAnchor>
  <xdr:twoCellAnchor editAs="oneCell">
    <xdr:from>
      <xdr:col>19</xdr:col>
      <xdr:colOff>19050</xdr:colOff>
      <xdr:row>20</xdr:row>
      <xdr:rowOff>76200</xdr:rowOff>
    </xdr:from>
    <xdr:to>
      <xdr:col>31</xdr:col>
      <xdr:colOff>8212</xdr:colOff>
      <xdr:row>40</xdr:row>
      <xdr:rowOff>87023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6BA2F50-7C9D-45F2-8EB5-19C9B2B6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4750" y="3632200"/>
          <a:ext cx="6694762" cy="383352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31</xdr:col>
      <xdr:colOff>53114</xdr:colOff>
      <xdr:row>19</xdr:row>
      <xdr:rowOff>168705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C88C217-1561-4A1C-8593-EC152E82A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15700" y="0"/>
          <a:ext cx="6758714" cy="3546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aguraoka-old\ISPT&#26908;&#35342;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%20Folder/ExcelPC/Chapter1and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_siguma (5)"/>
      <sheetName val="cap_siguma (4)"/>
      <sheetName val="大和"/>
      <sheetName val="swaption_siguma"/>
      <sheetName val="USDN"/>
      <sheetName val="swaption"/>
      <sheetName val="cap_siguma＿ｆ) (2)"/>
      <sheetName val="cap_siguma (3)"/>
      <sheetName val="cap_siguma (2)"/>
      <sheetName val="Calc (2)"/>
      <sheetName val="cap_siguma"/>
      <sheetName val="TS"/>
      <sheetName val="USD_old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pter1and2"/>
    </sheetNames>
    <definedNames>
      <definedName name="PartialBarrier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zoomScaleNormal="100" workbookViewId="0"/>
  </sheetViews>
  <sheetFormatPr defaultRowHeight="13"/>
  <cols>
    <col min="1" max="1" width="19" customWidth="1"/>
    <col min="2" max="2" width="8.453125" customWidth="1"/>
    <col min="3" max="3" width="17.36328125" customWidth="1"/>
  </cols>
  <sheetData>
    <row r="1" spans="1:3" ht="18.75" customHeight="1">
      <c r="A1" s="1" t="s">
        <v>94</v>
      </c>
      <c r="B1" s="26"/>
      <c r="C1" s="5" t="s">
        <v>38</v>
      </c>
    </row>
    <row r="2" spans="1:3">
      <c r="A2" t="s">
        <v>14</v>
      </c>
      <c r="B2" s="20">
        <v>139.79</v>
      </c>
      <c r="C2" s="4"/>
    </row>
    <row r="3" spans="1:3">
      <c r="A3" t="s">
        <v>15</v>
      </c>
      <c r="B3" s="20">
        <f>B2+0.2456%*B2</f>
        <v>140.13332423999998</v>
      </c>
      <c r="C3" s="32" t="s">
        <v>93</v>
      </c>
    </row>
    <row r="4" spans="1:3">
      <c r="A4" t="s">
        <v>7</v>
      </c>
      <c r="B4">
        <v>1</v>
      </c>
      <c r="C4" s="4"/>
    </row>
    <row r="5" spans="1:3">
      <c r="A5" t="s">
        <v>2</v>
      </c>
      <c r="B5" s="21">
        <f>B4/365</f>
        <v>2.7397260273972603E-3</v>
      </c>
      <c r="C5" s="17" t="s">
        <v>39</v>
      </c>
    </row>
    <row r="6" spans="1:3">
      <c r="A6" t="s">
        <v>8</v>
      </c>
      <c r="B6" s="22">
        <v>0.01</v>
      </c>
      <c r="C6" s="18" t="s">
        <v>37</v>
      </c>
    </row>
    <row r="7" spans="1:3">
      <c r="A7" t="s">
        <v>40</v>
      </c>
      <c r="B7" s="23">
        <f>EXP(-B6*B5)</f>
        <v>0.99997260311502756</v>
      </c>
      <c r="C7" s="17" t="s">
        <v>41</v>
      </c>
    </row>
    <row r="8" spans="1:3">
      <c r="A8" t="s">
        <v>42</v>
      </c>
      <c r="B8" s="22">
        <f>0.2456%*365^0.5</f>
        <v>4.6921814116677119E-2</v>
      </c>
      <c r="C8" s="29" t="s">
        <v>90</v>
      </c>
    </row>
    <row r="9" spans="1:3" ht="36">
      <c r="A9" s="3" t="s">
        <v>43</v>
      </c>
      <c r="B9" s="30">
        <f>(LN(B2/B3)+(B8^2/2)*B5)/(B8*B5^0.5)</f>
        <v>-0.99754600694894291</v>
      </c>
      <c r="C9" s="19" t="s">
        <v>44</v>
      </c>
    </row>
    <row r="10" spans="1:3">
      <c r="A10" t="s">
        <v>45</v>
      </c>
      <c r="B10" s="31">
        <f>B9-B8*B5^0.5</f>
        <v>-1.0000020069489428</v>
      </c>
      <c r="C10" s="17" t="s">
        <v>46</v>
      </c>
    </row>
    <row r="11" spans="1:3">
      <c r="A11" t="s">
        <v>47</v>
      </c>
      <c r="B11" s="24">
        <f>NORMSDIST(B9)</f>
        <v>0.1592497769910142</v>
      </c>
      <c r="C11" s="17" t="s">
        <v>48</v>
      </c>
    </row>
    <row r="12" spans="1:3">
      <c r="A12" t="s">
        <v>0</v>
      </c>
      <c r="B12" s="24">
        <f>NORMSDIST(B10)</f>
        <v>0.15865476830905453</v>
      </c>
      <c r="C12" s="17" t="s">
        <v>49</v>
      </c>
    </row>
    <row r="13" spans="1:3" ht="12.75" customHeight="1">
      <c r="A13" s="3" t="s">
        <v>50</v>
      </c>
      <c r="B13" s="25">
        <f>B7*(B2*B11-B3*B12)</f>
        <v>2.8705449437615268E-2</v>
      </c>
      <c r="C13" s="19" t="s">
        <v>51</v>
      </c>
    </row>
    <row r="14" spans="1:3">
      <c r="A14" t="s">
        <v>89</v>
      </c>
    </row>
    <row r="15" spans="1:3">
      <c r="A15" s="2" t="s">
        <v>88</v>
      </c>
      <c r="B15">
        <f>B2*B11</f>
        <v>22.261526325573872</v>
      </c>
      <c r="C15" s="19" t="s">
        <v>92</v>
      </c>
    </row>
    <row r="16" spans="1:3">
      <c r="A16" s="2" t="s">
        <v>87</v>
      </c>
      <c r="B16">
        <f>B3*B12</f>
        <v>22.232820089674814</v>
      </c>
      <c r="C16" s="19" t="s">
        <v>91</v>
      </c>
    </row>
    <row r="25" spans="2:2">
      <c r="B25" t="s">
        <v>54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7"/>
  <sheetViews>
    <sheetView zoomScaleNormal="100" workbookViewId="0"/>
  </sheetViews>
  <sheetFormatPr defaultColWidth="8" defaultRowHeight="14"/>
  <cols>
    <col min="1" max="1" width="9.36328125" style="119" customWidth="1"/>
    <col min="2" max="2" width="8.26953125" style="119" customWidth="1"/>
    <col min="3" max="4" width="9.6328125" style="119" customWidth="1"/>
    <col min="5" max="5" width="13.08984375" style="119" customWidth="1"/>
    <col min="6" max="16384" width="8" style="119"/>
  </cols>
  <sheetData>
    <row r="1" spans="1:5">
      <c r="A1" s="118" t="s">
        <v>183</v>
      </c>
    </row>
    <row r="2" spans="1:5">
      <c r="D2" s="120" t="s">
        <v>184</v>
      </c>
    </row>
    <row r="3" spans="1:5">
      <c r="A3" s="120" t="s">
        <v>185</v>
      </c>
      <c r="B3" s="167" t="s">
        <v>186</v>
      </c>
      <c r="C3" s="167"/>
      <c r="D3" s="120" t="s">
        <v>187</v>
      </c>
      <c r="E3" s="120"/>
    </row>
    <row r="4" spans="1:5">
      <c r="A4" s="122" t="s">
        <v>221</v>
      </c>
      <c r="B4" s="123" t="s">
        <v>188</v>
      </c>
      <c r="C4" s="122" t="s">
        <v>189</v>
      </c>
      <c r="D4" s="122" t="s">
        <v>221</v>
      </c>
      <c r="E4" s="122" t="s">
        <v>190</v>
      </c>
    </row>
    <row r="5" spans="1:5">
      <c r="A5" s="124">
        <v>45161</v>
      </c>
      <c r="B5" s="120"/>
      <c r="C5" s="125"/>
      <c r="D5" s="137">
        <v>0.99847699999999995</v>
      </c>
      <c r="E5" s="126"/>
    </row>
    <row r="6" spans="1:5">
      <c r="A6" s="124">
        <v>45348</v>
      </c>
      <c r="B6" s="127">
        <f t="shared" ref="B6:B25" si="0">(A6-A5)/365</f>
        <v>0.51232876712328768</v>
      </c>
      <c r="C6" s="128" t="s">
        <v>191</v>
      </c>
      <c r="D6" s="129">
        <v>0.99717</v>
      </c>
      <c r="E6" s="130"/>
    </row>
    <row r="7" spans="1:5">
      <c r="A7" s="124">
        <v>45527</v>
      </c>
      <c r="B7" s="127">
        <f t="shared" si="0"/>
        <v>0.49041095890410957</v>
      </c>
      <c r="C7" s="131" t="s">
        <v>192</v>
      </c>
      <c r="D7" s="129">
        <v>0.99589499999999997</v>
      </c>
      <c r="E7" s="120"/>
    </row>
    <row r="8" spans="1:5">
      <c r="A8" s="124">
        <v>45713</v>
      </c>
      <c r="B8" s="127">
        <f t="shared" si="0"/>
        <v>0.50958904109589043</v>
      </c>
      <c r="D8" s="129">
        <v>0.99445700000000004</v>
      </c>
      <c r="E8" s="121"/>
    </row>
    <row r="9" spans="1:5">
      <c r="A9" s="124">
        <v>45895</v>
      </c>
      <c r="B9" s="127">
        <f t="shared" si="0"/>
        <v>0.49863013698630138</v>
      </c>
      <c r="C9" s="125"/>
      <c r="D9" s="129">
        <v>0.99304999999999999</v>
      </c>
      <c r="E9" s="121"/>
    </row>
    <row r="10" spans="1:5">
      <c r="A10" s="124">
        <v>46077</v>
      </c>
      <c r="B10" s="127">
        <f t="shared" si="0"/>
        <v>0.49863013698630138</v>
      </c>
      <c r="D10" s="129">
        <v>0.99140799999999996</v>
      </c>
    </row>
    <row r="11" spans="1:5">
      <c r="A11" s="124">
        <v>46258</v>
      </c>
      <c r="B11" s="127">
        <f t="shared" si="0"/>
        <v>0.49589041095890413</v>
      </c>
      <c r="D11" s="129">
        <v>0.98977700000000002</v>
      </c>
    </row>
    <row r="12" spans="1:5">
      <c r="A12" s="124">
        <v>46442</v>
      </c>
      <c r="B12" s="127">
        <f t="shared" si="0"/>
        <v>0.50410958904109593</v>
      </c>
      <c r="D12" s="129">
        <v>0.98777599999999999</v>
      </c>
    </row>
    <row r="13" spans="1:5">
      <c r="A13" s="124">
        <v>46622</v>
      </c>
      <c r="B13" s="127">
        <f t="shared" si="0"/>
        <v>0.49315068493150682</v>
      </c>
      <c r="D13" s="129">
        <v>0.985823</v>
      </c>
    </row>
    <row r="14" spans="1:5">
      <c r="A14" s="124">
        <v>46807</v>
      </c>
      <c r="B14" s="127">
        <f t="shared" si="0"/>
        <v>0.50684931506849318</v>
      </c>
      <c r="D14" s="129">
        <v>0.98325300000000004</v>
      </c>
    </row>
    <row r="15" spans="1:5">
      <c r="A15" s="124">
        <v>46988</v>
      </c>
      <c r="B15" s="127">
        <f t="shared" si="0"/>
        <v>0.49589041095890413</v>
      </c>
      <c r="D15" s="129">
        <v>0.98074399999999995</v>
      </c>
    </row>
    <row r="16" spans="1:5">
      <c r="A16" s="124">
        <v>47175</v>
      </c>
      <c r="B16" s="127">
        <f t="shared" si="0"/>
        <v>0.51232876712328768</v>
      </c>
      <c r="D16" s="129">
        <v>0.97761299999999995</v>
      </c>
    </row>
    <row r="17" spans="1:5">
      <c r="A17" s="124">
        <v>47353</v>
      </c>
      <c r="B17" s="127">
        <f t="shared" si="0"/>
        <v>0.48767123287671232</v>
      </c>
      <c r="D17" s="129">
        <v>0.97464099999999998</v>
      </c>
    </row>
    <row r="18" spans="1:5">
      <c r="A18" s="124">
        <v>47539</v>
      </c>
      <c r="B18" s="127">
        <f t="shared" si="0"/>
        <v>0.50958904109589043</v>
      </c>
      <c r="D18" s="129">
        <v>0.97109100000000004</v>
      </c>
    </row>
    <row r="19" spans="1:5">
      <c r="A19" s="124">
        <v>47718</v>
      </c>
      <c r="B19" s="127">
        <f t="shared" si="0"/>
        <v>0.49041095890410957</v>
      </c>
      <c r="D19" s="129">
        <v>0.96768600000000005</v>
      </c>
    </row>
    <row r="20" spans="1:5">
      <c r="A20" s="124">
        <v>47904</v>
      </c>
      <c r="B20" s="127">
        <f t="shared" si="0"/>
        <v>0.50958904109589043</v>
      </c>
      <c r="D20" s="129">
        <v>0.96362099999999995</v>
      </c>
    </row>
    <row r="21" spans="1:5">
      <c r="A21" s="124">
        <v>48086</v>
      </c>
      <c r="B21" s="127">
        <f t="shared" si="0"/>
        <v>0.49863013698630138</v>
      </c>
      <c r="D21" s="129">
        <v>0.95965800000000001</v>
      </c>
    </row>
    <row r="22" spans="1:5">
      <c r="A22" s="124">
        <v>48268</v>
      </c>
      <c r="B22" s="127">
        <f t="shared" si="0"/>
        <v>0.49863013698630138</v>
      </c>
      <c r="D22" s="129">
        <v>0.95515399999999995</v>
      </c>
    </row>
    <row r="23" spans="1:5">
      <c r="A23" s="124">
        <v>48449</v>
      </c>
      <c r="B23" s="127">
        <f t="shared" si="0"/>
        <v>0.49589041095890413</v>
      </c>
      <c r="D23" s="129">
        <v>0.95069499999999996</v>
      </c>
    </row>
    <row r="24" spans="1:5">
      <c r="A24" s="124">
        <v>48634</v>
      </c>
      <c r="B24" s="127">
        <f t="shared" si="0"/>
        <v>0.50684931506849318</v>
      </c>
      <c r="D24" s="129">
        <v>0.94548600000000005</v>
      </c>
    </row>
    <row r="25" spans="1:5">
      <c r="A25" s="124">
        <v>48814</v>
      </c>
      <c r="B25" s="127">
        <f t="shared" si="0"/>
        <v>0.49315068493150682</v>
      </c>
      <c r="D25" s="129">
        <v>0.94044499999999998</v>
      </c>
    </row>
    <row r="26" spans="1:5" ht="35">
      <c r="A26" s="120"/>
      <c r="B26" s="120"/>
      <c r="C26" s="132" t="s">
        <v>193</v>
      </c>
      <c r="D26" s="133">
        <f>SUMPRODUCT(B6:B25,D6:D25)</f>
        <v>9.761040895890412</v>
      </c>
      <c r="E26" s="134" t="s">
        <v>194</v>
      </c>
    </row>
    <row r="27" spans="1:5">
      <c r="C27" s="135" t="s">
        <v>195</v>
      </c>
      <c r="D27" s="136">
        <f>(D5-D25)/D26</f>
        <v>5.945267581496618E-3</v>
      </c>
      <c r="E27" s="128" t="s">
        <v>196</v>
      </c>
    </row>
  </sheetData>
  <mergeCells count="1">
    <mergeCell ref="B3:C3"/>
  </mergeCells>
  <phoneticPr fontId="5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C017-EBC0-4055-8305-2D38B8317440}">
  <dimension ref="A1:C15"/>
  <sheetViews>
    <sheetView tabSelected="1" zoomScaleNormal="100" workbookViewId="0"/>
  </sheetViews>
  <sheetFormatPr defaultRowHeight="16.5"/>
  <cols>
    <col min="1" max="1" width="24.36328125" style="33" bestFit="1" customWidth="1"/>
    <col min="2" max="2" width="11.36328125" style="33" bestFit="1" customWidth="1"/>
    <col min="3" max="3" width="19" style="33" bestFit="1" customWidth="1"/>
    <col min="4" max="16384" width="8.7265625" style="33"/>
  </cols>
  <sheetData>
    <row r="1" spans="1:3" ht="18.75" customHeight="1">
      <c r="A1" s="81" t="s">
        <v>197</v>
      </c>
      <c r="B1" s="38"/>
      <c r="C1" s="82" t="s">
        <v>198</v>
      </c>
    </row>
    <row r="2" spans="1:3">
      <c r="A2" s="33" t="s">
        <v>199</v>
      </c>
      <c r="B2" s="83">
        <v>5.9449999999999998E-3</v>
      </c>
      <c r="C2" s="45"/>
    </row>
    <row r="3" spans="1:3">
      <c r="A3" s="33" t="s">
        <v>200</v>
      </c>
      <c r="B3" s="83">
        <v>5.9449999999999998E-3</v>
      </c>
      <c r="C3" s="45"/>
    </row>
    <row r="4" spans="1:3">
      <c r="A4" s="33" t="s">
        <v>201</v>
      </c>
      <c r="B4" s="84">
        <f>365/365</f>
        <v>1</v>
      </c>
      <c r="C4" s="45"/>
    </row>
    <row r="5" spans="1:3">
      <c r="A5" s="33" t="s">
        <v>193</v>
      </c>
      <c r="B5" s="85">
        <v>9.761040895890412</v>
      </c>
      <c r="C5" s="45"/>
    </row>
    <row r="6" spans="1:3">
      <c r="A6" s="33" t="s">
        <v>202</v>
      </c>
      <c r="B6" s="76">
        <v>4.8199999999999996E-3</v>
      </c>
      <c r="C6" s="45"/>
    </row>
    <row r="7" spans="1:3">
      <c r="A7" s="86" t="s">
        <v>203</v>
      </c>
      <c r="B7" s="87">
        <f>B6*B4^0.5</f>
        <v>4.8199999999999996E-3</v>
      </c>
      <c r="C7" s="88" t="s">
        <v>204</v>
      </c>
    </row>
    <row r="8" spans="1:3">
      <c r="A8" s="64" t="s">
        <v>205</v>
      </c>
      <c r="B8" s="89">
        <f>(B2-B3)/B7</f>
        <v>0</v>
      </c>
      <c r="C8" s="88" t="s">
        <v>206</v>
      </c>
    </row>
    <row r="9" spans="1:3">
      <c r="A9" s="64" t="s">
        <v>207</v>
      </c>
      <c r="B9" s="90">
        <f>NORMSDIST(B8)</f>
        <v>0.5</v>
      </c>
      <c r="C9" s="45" t="s">
        <v>208</v>
      </c>
    </row>
    <row r="10" spans="1:3">
      <c r="A10" s="64" t="s">
        <v>209</v>
      </c>
      <c r="B10" s="78">
        <f>NORMDIST(B8,0,1,FALSE)</f>
        <v>0.3989422804014327</v>
      </c>
      <c r="C10" s="45" t="s">
        <v>210</v>
      </c>
    </row>
    <row r="11" spans="1:3">
      <c r="A11" s="38"/>
      <c r="B11" s="38"/>
      <c r="C11" s="41"/>
    </row>
    <row r="12" spans="1:3">
      <c r="A12" s="59" t="s">
        <v>211</v>
      </c>
      <c r="B12" s="91">
        <f>B5*B7*(B8*B9+B10)</f>
        <v>1.8769523025953149E-2</v>
      </c>
      <c r="C12" s="45" t="s">
        <v>212</v>
      </c>
    </row>
    <row r="13" spans="1:3">
      <c r="A13" s="64" t="s">
        <v>213</v>
      </c>
      <c r="B13" s="92">
        <f>B5*B9</f>
        <v>4.880520447945206</v>
      </c>
      <c r="C13" s="45" t="s">
        <v>214</v>
      </c>
    </row>
    <row r="14" spans="1:3">
      <c r="A14" s="64" t="s">
        <v>215</v>
      </c>
      <c r="B14" s="92">
        <f>B5*B10/B7</f>
        <v>807.90288674235785</v>
      </c>
      <c r="C14" s="45" t="s">
        <v>216</v>
      </c>
    </row>
    <row r="15" spans="1:3">
      <c r="A15" s="64" t="s">
        <v>217</v>
      </c>
      <c r="B15" s="92">
        <f>B5*(B4^0.5)*B10</f>
        <v>3.8940919140981647</v>
      </c>
      <c r="C15" s="45" t="s">
        <v>218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zoomScaleNormal="100" workbookViewId="0">
      <selection activeCell="B13" sqref="B13"/>
    </sheetView>
  </sheetViews>
  <sheetFormatPr defaultRowHeight="16.5"/>
  <cols>
    <col min="1" max="1" width="23.08984375" style="33" bestFit="1" customWidth="1"/>
    <col min="2" max="2" width="10.1796875" style="33" bestFit="1" customWidth="1"/>
    <col min="3" max="3" width="17.36328125" style="33" customWidth="1"/>
    <col min="4" max="16384" width="8.7265625" style="33"/>
  </cols>
  <sheetData>
    <row r="1" spans="1:3" ht="47.5" customHeight="1">
      <c r="A1" s="162" t="s">
        <v>129</v>
      </c>
      <c r="B1" s="162"/>
      <c r="C1" s="50" t="s">
        <v>19</v>
      </c>
    </row>
    <row r="2" spans="1:3">
      <c r="A2" s="33" t="s">
        <v>131</v>
      </c>
      <c r="B2" s="51">
        <v>100</v>
      </c>
      <c r="C2" s="52"/>
    </row>
    <row r="3" spans="1:3">
      <c r="A3" s="33" t="s">
        <v>15</v>
      </c>
      <c r="B3" s="51">
        <v>110</v>
      </c>
      <c r="C3" s="53"/>
    </row>
    <row r="4" spans="1:3">
      <c r="A4" s="33" t="s">
        <v>7</v>
      </c>
      <c r="B4" s="33">
        <f>8*7</f>
        <v>56</v>
      </c>
      <c r="C4" s="52" t="s">
        <v>234</v>
      </c>
    </row>
    <row r="5" spans="1:3">
      <c r="A5" s="33" t="s">
        <v>2</v>
      </c>
      <c r="B5" s="37">
        <f>B4/365</f>
        <v>0.15342465753424658</v>
      </c>
      <c r="C5" s="54" t="s">
        <v>39</v>
      </c>
    </row>
    <row r="6" spans="1:3">
      <c r="A6" s="33" t="s">
        <v>8</v>
      </c>
      <c r="B6" s="55">
        <v>1E-3</v>
      </c>
      <c r="C6" s="56" t="s">
        <v>37</v>
      </c>
    </row>
    <row r="7" spans="1:3">
      <c r="A7" s="33" t="s">
        <v>40</v>
      </c>
      <c r="B7" s="57">
        <f>EXP(-B6*B5)</f>
        <v>0.9998465871114266</v>
      </c>
      <c r="C7" s="54" t="s">
        <v>41</v>
      </c>
    </row>
    <row r="8" spans="1:3">
      <c r="A8" s="33" t="s">
        <v>11</v>
      </c>
      <c r="B8" s="55">
        <v>0.3</v>
      </c>
      <c r="C8" s="58"/>
    </row>
    <row r="9" spans="1:3">
      <c r="A9" s="59" t="s">
        <v>43</v>
      </c>
      <c r="B9" s="60">
        <f>(LN(B2/B3)+(B8^2/2)*B5)/(B8*B5^0.5)</f>
        <v>-0.75233843603640616</v>
      </c>
      <c r="C9" s="61"/>
    </row>
    <row r="10" spans="1:3">
      <c r="A10" s="33" t="s">
        <v>10</v>
      </c>
      <c r="B10" s="62">
        <f>B9-B8*B5^0.5</f>
        <v>-0.869846815218838</v>
      </c>
      <c r="C10" s="54"/>
    </row>
    <row r="11" spans="1:3">
      <c r="A11" s="33" t="s">
        <v>47</v>
      </c>
      <c r="B11" s="35">
        <f>NORMSDIST(B9)</f>
        <v>0.22592377954797557</v>
      </c>
      <c r="C11" s="54" t="s">
        <v>48</v>
      </c>
    </row>
    <row r="12" spans="1:3">
      <c r="A12" s="33" t="s">
        <v>0</v>
      </c>
      <c r="B12" s="35">
        <f>NORMSDIST(B10)</f>
        <v>0.19219206178115297</v>
      </c>
      <c r="C12" s="54" t="s">
        <v>49</v>
      </c>
    </row>
    <row r="13" spans="1:3" ht="29">
      <c r="A13" s="59" t="s">
        <v>128</v>
      </c>
      <c r="B13" s="63">
        <f>B2*B11-B7*B3*B12</f>
        <v>1.4544944802001893</v>
      </c>
      <c r="C13" s="61" t="s">
        <v>127</v>
      </c>
    </row>
    <row r="15" spans="1:3">
      <c r="A15" s="64"/>
      <c r="C15" s="61"/>
    </row>
    <row r="16" spans="1:3">
      <c r="A16" s="64"/>
      <c r="C16" s="61"/>
    </row>
    <row r="25" spans="2:2">
      <c r="B25" s="33" t="s">
        <v>54</v>
      </c>
    </row>
  </sheetData>
  <mergeCells count="1">
    <mergeCell ref="A1:B1"/>
  </mergeCells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workbookViewId="0">
      <selection activeCell="K10" sqref="K10"/>
    </sheetView>
  </sheetViews>
  <sheetFormatPr defaultColWidth="8" defaultRowHeight="16.5"/>
  <cols>
    <col min="1" max="1" width="7.453125" style="140" customWidth="1"/>
    <col min="2" max="3" width="6.26953125" style="140" customWidth="1"/>
    <col min="4" max="4" width="6.1796875" style="140" bestFit="1" customWidth="1"/>
    <col min="5" max="5" width="7.1796875" style="140" customWidth="1"/>
    <col min="6" max="9" width="6.26953125" style="140" customWidth="1"/>
    <col min="10" max="16384" width="8" style="140"/>
  </cols>
  <sheetData>
    <row r="1" spans="1:21">
      <c r="A1" s="138" t="s">
        <v>223</v>
      </c>
      <c r="B1" s="139"/>
      <c r="C1" s="139"/>
      <c r="D1" s="139"/>
      <c r="E1" s="139"/>
      <c r="F1" s="139"/>
    </row>
    <row r="3" spans="1:21">
      <c r="G3" s="141"/>
    </row>
    <row r="4" spans="1:21" ht="18">
      <c r="A4" s="140" t="s">
        <v>224</v>
      </c>
      <c r="E4" s="142" t="s">
        <v>227</v>
      </c>
    </row>
    <row r="5" spans="1:21">
      <c r="A5" s="143" t="s">
        <v>98</v>
      </c>
      <c r="B5" s="143" t="s">
        <v>99</v>
      </c>
      <c r="C5" s="143" t="s">
        <v>130</v>
      </c>
      <c r="D5" s="143" t="s">
        <v>100</v>
      </c>
      <c r="E5" s="143" t="s">
        <v>228</v>
      </c>
      <c r="F5" s="143" t="s">
        <v>225</v>
      </c>
      <c r="H5" s="164" t="s">
        <v>229</v>
      </c>
      <c r="I5" s="164"/>
    </row>
    <row r="6" spans="1:21">
      <c r="A6" s="142">
        <v>100</v>
      </c>
      <c r="B6" s="142">
        <v>110</v>
      </c>
      <c r="C6" s="144">
        <f>0.1%</f>
        <v>1E-3</v>
      </c>
      <c r="D6" s="145">
        <v>0.3</v>
      </c>
      <c r="E6" s="144">
        <f>(C6-0.5*D6^2)*(1/52)</f>
        <v>-8.461538461538462E-4</v>
      </c>
      <c r="F6" s="142">
        <f>D6*(1/52)^0.5</f>
        <v>4.1602514716892185E-2</v>
      </c>
      <c r="H6" s="163">
        <f>EXP(-C6*8/52)</f>
        <v>0.99984616567986651</v>
      </c>
      <c r="I6" s="163"/>
      <c r="J6" s="141" t="s">
        <v>231</v>
      </c>
    </row>
    <row r="7" spans="1:21">
      <c r="E7" s="160" t="s">
        <v>233</v>
      </c>
      <c r="F7" s="141" t="s">
        <v>230</v>
      </c>
    </row>
    <row r="8" spans="1:21" ht="17" thickBot="1">
      <c r="E8" s="147"/>
      <c r="I8" s="146"/>
    </row>
    <row r="9" spans="1:21">
      <c r="J9" s="148" t="s">
        <v>101</v>
      </c>
      <c r="K9" s="149" t="s">
        <v>102</v>
      </c>
    </row>
    <row r="10" spans="1:21" ht="17" thickBot="1">
      <c r="C10" s="150" t="s">
        <v>103</v>
      </c>
      <c r="D10" s="150"/>
      <c r="E10" s="150"/>
      <c r="F10" s="150"/>
      <c r="G10" s="150"/>
      <c r="H10" s="150"/>
      <c r="I10" s="150"/>
      <c r="J10" s="151" t="s">
        <v>104</v>
      </c>
      <c r="K10" s="152">
        <f ca="1">AVERAGE(K12:K31)*H6</f>
        <v>1.289662992843696</v>
      </c>
      <c r="L10" s="141" t="s">
        <v>232</v>
      </c>
    </row>
    <row r="11" spans="1:21">
      <c r="A11" s="139" t="s">
        <v>105</v>
      </c>
      <c r="B11" s="143" t="s">
        <v>98</v>
      </c>
      <c r="C11" s="143">
        <v>1</v>
      </c>
      <c r="D11" s="143">
        <v>2</v>
      </c>
      <c r="E11" s="143">
        <v>3</v>
      </c>
      <c r="F11" s="143">
        <v>4</v>
      </c>
      <c r="G11" s="143">
        <v>5</v>
      </c>
      <c r="H11" s="143">
        <v>6</v>
      </c>
      <c r="I11" s="143">
        <v>7</v>
      </c>
      <c r="J11" s="153">
        <v>8</v>
      </c>
      <c r="K11" s="139" t="s">
        <v>106</v>
      </c>
      <c r="M11" s="154" t="s">
        <v>226</v>
      </c>
      <c r="N11" s="139"/>
      <c r="O11" s="139"/>
      <c r="P11" s="139"/>
      <c r="Q11" s="139"/>
      <c r="R11" s="139"/>
      <c r="S11" s="139"/>
      <c r="T11" s="139"/>
      <c r="U11" s="139"/>
    </row>
    <row r="12" spans="1:21">
      <c r="A12" s="142" t="s">
        <v>107</v>
      </c>
      <c r="B12" s="142">
        <f t="shared" ref="B12:B31" si="0">$A$6</f>
        <v>100</v>
      </c>
      <c r="C12" s="155">
        <f ca="1">B12*EXP($E$6+$F$6*N12)</f>
        <v>109.13164771693961</v>
      </c>
      <c r="D12" s="155">
        <f ca="1">C12*EXP($E$6+$F$6*O12)</f>
        <v>99.097300385038238</v>
      </c>
      <c r="E12" s="155">
        <f t="shared" ref="E12:J12" ca="1" si="1">D12*EXP($E$6+$F$6*P12)</f>
        <v>97.627579180363085</v>
      </c>
      <c r="F12" s="155">
        <f t="shared" ca="1" si="1"/>
        <v>98.389186142670368</v>
      </c>
      <c r="G12" s="155">
        <f t="shared" ca="1" si="1"/>
        <v>100.01541063256795</v>
      </c>
      <c r="H12" s="155">
        <f t="shared" ca="1" si="1"/>
        <v>98.75013502958231</v>
      </c>
      <c r="I12" s="155">
        <f t="shared" ca="1" si="1"/>
        <v>100.249128118828</v>
      </c>
      <c r="J12" s="155">
        <f t="shared" ca="1" si="1"/>
        <v>99.920172755207503</v>
      </c>
      <c r="K12" s="156">
        <f t="shared" ref="K12:K31" ca="1" si="2">MAX(J12-$B$6,0)</f>
        <v>0</v>
      </c>
      <c r="M12" s="158" t="s">
        <v>107</v>
      </c>
      <c r="N12" s="159">
        <f ca="1">NORMSINV(RAND())</f>
        <v>2.1208068582172741</v>
      </c>
      <c r="O12" s="159">
        <f t="shared" ref="O12:U21" ca="1" si="3">NORMSINV(RAND())</f>
        <v>-2.2980961087011949</v>
      </c>
      <c r="P12" s="159">
        <f t="shared" ca="1" si="3"/>
        <v>-0.33882612195923795</v>
      </c>
      <c r="Q12" s="159">
        <f t="shared" ca="1" si="3"/>
        <v>0.20712757216386743</v>
      </c>
      <c r="R12" s="159">
        <f t="shared" ca="1" si="3"/>
        <v>0.41438680591940341</v>
      </c>
      <c r="S12" s="159">
        <f t="shared" ca="1" si="3"/>
        <v>-0.28568838943669517</v>
      </c>
      <c r="T12" s="159">
        <f t="shared" ca="1" si="3"/>
        <v>0.38247091229398383</v>
      </c>
      <c r="U12" s="159">
        <f t="shared" ca="1" si="3"/>
        <v>-5.8665215293240563E-2</v>
      </c>
    </row>
    <row r="13" spans="1:21">
      <c r="A13" s="142" t="s">
        <v>108</v>
      </c>
      <c r="B13" s="142">
        <f t="shared" si="0"/>
        <v>100</v>
      </c>
      <c r="C13" s="155">
        <f ca="1">B13*EXP($E$6+$F$6*N13)</f>
        <v>100.26009958913784</v>
      </c>
      <c r="D13" s="155">
        <f t="shared" ref="D13:J13" ca="1" si="4">C13*EXP($E$6+$F$6*O13)</f>
        <v>97.181424626398595</v>
      </c>
      <c r="E13" s="155">
        <f t="shared" ca="1" si="4"/>
        <v>95.616047764228739</v>
      </c>
      <c r="F13" s="155">
        <f t="shared" ca="1" si="4"/>
        <v>93.698323049302218</v>
      </c>
      <c r="G13" s="155">
        <f t="shared" ca="1" si="4"/>
        <v>99.834841279899592</v>
      </c>
      <c r="H13" s="155">
        <f t="shared" ca="1" si="4"/>
        <v>97.297105501971672</v>
      </c>
      <c r="I13" s="155">
        <f t="shared" ca="1" si="4"/>
        <v>99.008302978418314</v>
      </c>
      <c r="J13" s="155">
        <f t="shared" ca="1" si="4"/>
        <v>95.38113745478293</v>
      </c>
      <c r="K13" s="156">
        <f t="shared" ca="1" si="2"/>
        <v>0</v>
      </c>
      <c r="M13" s="158" t="s">
        <v>108</v>
      </c>
      <c r="N13" s="159">
        <f t="shared" ref="N13:N21" ca="1" si="5">NORMSINV(RAND())</f>
        <v>8.2778000924635969E-2</v>
      </c>
      <c r="O13" s="159">
        <f t="shared" ca="1" si="3"/>
        <v>-0.72933242057786307</v>
      </c>
      <c r="P13" s="159">
        <f t="shared" ca="1" si="3"/>
        <v>-0.36999602507427104</v>
      </c>
      <c r="Q13" s="159">
        <f t="shared" ca="1" si="3"/>
        <v>-0.46665986018671507</v>
      </c>
      <c r="R13" s="159">
        <f t="shared" ca="1" si="3"/>
        <v>1.5451733057953649</v>
      </c>
      <c r="S13" s="159">
        <f t="shared" ca="1" si="3"/>
        <v>-0.59856571575995832</v>
      </c>
      <c r="T13" s="159">
        <f t="shared" ca="1" si="3"/>
        <v>0.43941161944066798</v>
      </c>
      <c r="U13" s="159">
        <f t="shared" ca="1" si="3"/>
        <v>-0.87679129936217604</v>
      </c>
    </row>
    <row r="14" spans="1:21">
      <c r="A14" s="142" t="s">
        <v>109</v>
      </c>
      <c r="B14" s="142">
        <f t="shared" si="0"/>
        <v>100</v>
      </c>
      <c r="C14" s="155">
        <f t="shared" ref="C14:C31" ca="1" si="6">B14*EXP($E$6+$F$6*N14)</f>
        <v>102.68086911770826</v>
      </c>
      <c r="D14" s="155">
        <f t="shared" ref="D14:D31" ca="1" si="7">C14*EXP($E$6+$F$6*O14)</f>
        <v>101.97489148337579</v>
      </c>
      <c r="E14" s="155">
        <f t="shared" ref="E14:E31" ca="1" si="8">D14*EXP($E$6+$F$6*P14)</f>
        <v>105.01240014114259</v>
      </c>
      <c r="F14" s="155">
        <f t="shared" ref="F14:F31" ca="1" si="9">E14*EXP($E$6+$F$6*Q14)</f>
        <v>100.60017295629567</v>
      </c>
      <c r="G14" s="155">
        <f t="shared" ref="G14:G31" ca="1" si="10">F14*EXP($E$6+$F$6*R14)</f>
        <v>104.63552381859894</v>
      </c>
      <c r="H14" s="155">
        <f t="shared" ref="H14:H31" ca="1" si="11">G14*EXP($E$6+$F$6*S14)</f>
        <v>107.00930485217877</v>
      </c>
      <c r="I14" s="155">
        <f t="shared" ref="I14:I31" ca="1" si="12">H14*EXP($E$6+$F$6*T14)</f>
        <v>118.51211819575647</v>
      </c>
      <c r="J14" s="155">
        <f t="shared" ref="J14:J31" ca="1" si="13">I14*EXP($E$6+$F$6*U14)</f>
        <v>115.73768489392484</v>
      </c>
      <c r="K14" s="156">
        <f t="shared" ca="1" si="2"/>
        <v>5.7376848939248362</v>
      </c>
      <c r="M14" s="158" t="s">
        <v>109</v>
      </c>
      <c r="N14" s="159">
        <f t="shared" ca="1" si="5"/>
        <v>0.65625331410684062</v>
      </c>
      <c r="O14" s="159">
        <f t="shared" ca="1" si="3"/>
        <v>-0.14549710375326655</v>
      </c>
      <c r="P14" s="159">
        <f t="shared" ca="1" si="3"/>
        <v>0.72586892318582397</v>
      </c>
      <c r="Q14" s="159">
        <f t="shared" ca="1" si="3"/>
        <v>-1.0114366714497998</v>
      </c>
      <c r="R14" s="159">
        <f t="shared" ca="1" si="3"/>
        <v>0.96569370959698397</v>
      </c>
      <c r="S14" s="159">
        <f t="shared" ca="1" si="3"/>
        <v>0.55955357722683607</v>
      </c>
      <c r="T14" s="159">
        <f t="shared" ca="1" si="3"/>
        <v>2.4745037945993658</v>
      </c>
      <c r="U14" s="159">
        <f t="shared" ca="1" si="3"/>
        <v>-0.5490718916908357</v>
      </c>
    </row>
    <row r="15" spans="1:21">
      <c r="A15" s="142" t="s">
        <v>110</v>
      </c>
      <c r="B15" s="142">
        <f t="shared" si="0"/>
        <v>100</v>
      </c>
      <c r="C15" s="155">
        <f t="shared" ca="1" si="6"/>
        <v>102.9694649931906</v>
      </c>
      <c r="D15" s="155">
        <f t="shared" ca="1" si="7"/>
        <v>103.93018976348426</v>
      </c>
      <c r="E15" s="155">
        <f t="shared" ca="1" si="8"/>
        <v>100.19923953679944</v>
      </c>
      <c r="F15" s="155">
        <f t="shared" ca="1" si="9"/>
        <v>105.83661975837909</v>
      </c>
      <c r="G15" s="155">
        <f t="shared" ca="1" si="10"/>
        <v>107.37635565104559</v>
      </c>
      <c r="H15" s="155">
        <f t="shared" ca="1" si="11"/>
        <v>115.87188392854256</v>
      </c>
      <c r="I15" s="155">
        <f t="shared" ca="1" si="12"/>
        <v>123.1624077278187</v>
      </c>
      <c r="J15" s="155">
        <f t="shared" ca="1" si="13"/>
        <v>128.16613801600531</v>
      </c>
      <c r="K15" s="156">
        <f t="shared" ca="1" si="2"/>
        <v>18.166138016005306</v>
      </c>
      <c r="M15" s="158" t="s">
        <v>110</v>
      </c>
      <c r="N15" s="159">
        <f t="shared" ca="1" si="5"/>
        <v>0.72371720709479948</v>
      </c>
      <c r="O15" s="159">
        <f t="shared" ca="1" si="3"/>
        <v>0.24356910851783817</v>
      </c>
      <c r="P15" s="159">
        <f t="shared" ca="1" si="3"/>
        <v>-0.85842571547693491</v>
      </c>
      <c r="Q15" s="159">
        <f t="shared" ca="1" si="3"/>
        <v>1.3360282923547844</v>
      </c>
      <c r="R15" s="159">
        <f t="shared" ca="1" si="3"/>
        <v>0.36751570296698771</v>
      </c>
      <c r="S15" s="159">
        <f t="shared" ca="1" si="3"/>
        <v>1.8506400543007762</v>
      </c>
      <c r="T15" s="159">
        <f t="shared" ca="1" si="3"/>
        <v>1.4870469937584396</v>
      </c>
      <c r="U15" s="159">
        <f t="shared" ca="1" si="3"/>
        <v>0.97757688980251778</v>
      </c>
    </row>
    <row r="16" spans="1:21">
      <c r="A16" s="142" t="s">
        <v>111</v>
      </c>
      <c r="B16" s="142">
        <f t="shared" si="0"/>
        <v>100</v>
      </c>
      <c r="C16" s="155">
        <f t="shared" ca="1" si="6"/>
        <v>97.749892129260999</v>
      </c>
      <c r="D16" s="155">
        <f t="shared" ca="1" si="7"/>
        <v>99.172601447382519</v>
      </c>
      <c r="E16" s="155">
        <f t="shared" ca="1" si="8"/>
        <v>96.877723194059513</v>
      </c>
      <c r="F16" s="155">
        <f t="shared" ca="1" si="9"/>
        <v>101.70801330356345</v>
      </c>
      <c r="G16" s="155">
        <f t="shared" ca="1" si="10"/>
        <v>101.97508732132847</v>
      </c>
      <c r="H16" s="155">
        <f t="shared" ca="1" si="11"/>
        <v>102.35070831701169</v>
      </c>
      <c r="I16" s="155">
        <f t="shared" ca="1" si="12"/>
        <v>103.91606774824731</v>
      </c>
      <c r="J16" s="155">
        <f t="shared" ca="1" si="13"/>
        <v>101.09234590081714</v>
      </c>
      <c r="K16" s="156">
        <f t="shared" ca="1" si="2"/>
        <v>0</v>
      </c>
      <c r="M16" s="158" t="s">
        <v>111</v>
      </c>
      <c r="N16" s="159">
        <f t="shared" ca="1" si="5"/>
        <v>-0.52669741151839722</v>
      </c>
      <c r="O16" s="159">
        <f t="shared" ca="1" si="3"/>
        <v>0.36766622588606818</v>
      </c>
      <c r="P16" s="159">
        <f t="shared" ca="1" si="3"/>
        <v>-0.54241984393890774</v>
      </c>
      <c r="Q16" s="159">
        <f t="shared" ca="1" si="3"/>
        <v>1.1898956111220349</v>
      </c>
      <c r="R16" s="159">
        <f t="shared" ca="1" si="3"/>
        <v>8.3374812280400903E-2</v>
      </c>
      <c r="S16" s="159">
        <f t="shared" ca="1" si="3"/>
        <v>0.1087156628194485</v>
      </c>
      <c r="T16" s="159">
        <f t="shared" ca="1" si="3"/>
        <v>0.38517992868189116</v>
      </c>
      <c r="U16" s="159">
        <f t="shared" ca="1" si="3"/>
        <v>-0.64185936362455509</v>
      </c>
    </row>
    <row r="17" spans="1:21">
      <c r="A17" s="142" t="s">
        <v>112</v>
      </c>
      <c r="B17" s="142">
        <f t="shared" si="0"/>
        <v>100</v>
      </c>
      <c r="C17" s="155">
        <f t="shared" ca="1" si="6"/>
        <v>99.336375624654522</v>
      </c>
      <c r="D17" s="155">
        <f t="shared" ca="1" si="7"/>
        <v>103.23864328721203</v>
      </c>
      <c r="E17" s="155">
        <f t="shared" ca="1" si="8"/>
        <v>102.07177127934439</v>
      </c>
      <c r="F17" s="155">
        <f t="shared" ca="1" si="9"/>
        <v>100.29855233714768</v>
      </c>
      <c r="G17" s="155">
        <f t="shared" ca="1" si="10"/>
        <v>105.30726329383165</v>
      </c>
      <c r="H17" s="155">
        <f t="shared" ca="1" si="11"/>
        <v>110.82388170257654</v>
      </c>
      <c r="I17" s="155">
        <f t="shared" ca="1" si="12"/>
        <v>103.80657393911265</v>
      </c>
      <c r="J17" s="155">
        <f t="shared" ca="1" si="13"/>
        <v>101.7043772490691</v>
      </c>
      <c r="K17" s="156">
        <f t="shared" ca="1" si="2"/>
        <v>0</v>
      </c>
      <c r="M17" s="158" t="s">
        <v>112</v>
      </c>
      <c r="N17" s="159">
        <f t="shared" ca="1" si="5"/>
        <v>-0.13970808542122043</v>
      </c>
      <c r="O17" s="159">
        <f t="shared" ca="1" si="3"/>
        <v>0.94651881185200182</v>
      </c>
      <c r="P17" s="159">
        <f t="shared" ca="1" si="3"/>
        <v>-0.25289033131818711</v>
      </c>
      <c r="Q17" s="159">
        <f t="shared" ca="1" si="3"/>
        <v>-0.40090822805889986</v>
      </c>
      <c r="R17" s="159">
        <f t="shared" ca="1" si="3"/>
        <v>1.1916896504659356</v>
      </c>
      <c r="S17" s="159">
        <f t="shared" ca="1" si="3"/>
        <v>1.2476661617406706</v>
      </c>
      <c r="T17" s="159">
        <f t="shared" ca="1" si="3"/>
        <v>-1.5519935523145156</v>
      </c>
      <c r="U17" s="159">
        <f t="shared" ca="1" si="3"/>
        <v>-0.47143315338007263</v>
      </c>
    </row>
    <row r="18" spans="1:21">
      <c r="A18" s="142" t="s">
        <v>113</v>
      </c>
      <c r="B18" s="142">
        <f t="shared" si="0"/>
        <v>100</v>
      </c>
      <c r="C18" s="155">
        <f t="shared" ca="1" si="6"/>
        <v>103.75712109343237</v>
      </c>
      <c r="D18" s="155">
        <f t="shared" ca="1" si="7"/>
        <v>104.14998437331992</v>
      </c>
      <c r="E18" s="155">
        <f t="shared" ca="1" si="8"/>
        <v>97.847985621566892</v>
      </c>
      <c r="F18" s="155">
        <f t="shared" ca="1" si="9"/>
        <v>101.47981979153109</v>
      </c>
      <c r="G18" s="155">
        <f t="shared" ca="1" si="10"/>
        <v>96.626713547490979</v>
      </c>
      <c r="H18" s="155">
        <f t="shared" ca="1" si="11"/>
        <v>95.272449359774868</v>
      </c>
      <c r="I18" s="155">
        <f t="shared" ca="1" si="12"/>
        <v>102.49853664092545</v>
      </c>
      <c r="J18" s="155">
        <f t="shared" ca="1" si="13"/>
        <v>95.164820234019317</v>
      </c>
      <c r="K18" s="156">
        <f t="shared" ca="1" si="2"/>
        <v>0</v>
      </c>
      <c r="M18" s="158" t="s">
        <v>113</v>
      </c>
      <c r="N18" s="159">
        <f t="shared" ca="1" si="5"/>
        <v>0.9068865647986416</v>
      </c>
      <c r="O18" s="159">
        <f t="shared" ca="1" si="3"/>
        <v>0.11118024340450537</v>
      </c>
      <c r="P18" s="159">
        <f t="shared" ca="1" si="3"/>
        <v>-1.4799767995094757</v>
      </c>
      <c r="Q18" s="159">
        <f t="shared" ca="1" si="3"/>
        <v>0.89636421711979486</v>
      </c>
      <c r="R18" s="159">
        <f t="shared" ca="1" si="3"/>
        <v>-1.1575878203662751</v>
      </c>
      <c r="S18" s="159">
        <f t="shared" ca="1" si="3"/>
        <v>-0.31893292842271342</v>
      </c>
      <c r="T18" s="159">
        <f t="shared" ca="1" si="3"/>
        <v>1.7776329411567826</v>
      </c>
      <c r="U18" s="159">
        <f t="shared" ca="1" si="3"/>
        <v>-1.764124844629505</v>
      </c>
    </row>
    <row r="19" spans="1:21">
      <c r="A19" s="142" t="s">
        <v>114</v>
      </c>
      <c r="B19" s="142">
        <f t="shared" si="0"/>
        <v>100</v>
      </c>
      <c r="C19" s="155">
        <f t="shared" ca="1" si="6"/>
        <v>97.183423175639575</v>
      </c>
      <c r="D19" s="155">
        <f t="shared" ca="1" si="7"/>
        <v>101.19225235097294</v>
      </c>
      <c r="E19" s="155">
        <f t="shared" ca="1" si="8"/>
        <v>103.00792588154087</v>
      </c>
      <c r="F19" s="155">
        <f t="shared" ca="1" si="9"/>
        <v>100.01756837371258</v>
      </c>
      <c r="G19" s="155">
        <f t="shared" ca="1" si="10"/>
        <v>105.35295722188522</v>
      </c>
      <c r="H19" s="155">
        <f t="shared" ca="1" si="11"/>
        <v>100.27160001542423</v>
      </c>
      <c r="I19" s="155">
        <f t="shared" ca="1" si="12"/>
        <v>104.28555942067682</v>
      </c>
      <c r="J19" s="155">
        <f t="shared" ca="1" si="13"/>
        <v>105.60320715632754</v>
      </c>
      <c r="K19" s="156">
        <f t="shared" ca="1" si="2"/>
        <v>0</v>
      </c>
      <c r="M19" s="158" t="s">
        <v>114</v>
      </c>
      <c r="N19" s="159">
        <f t="shared" ca="1" si="5"/>
        <v>-0.66639910757546172</v>
      </c>
      <c r="O19" s="159">
        <f t="shared" ca="1" si="3"/>
        <v>0.9919639904279447</v>
      </c>
      <c r="P19" s="159">
        <f t="shared" ca="1" si="3"/>
        <v>0.44780690355640973</v>
      </c>
      <c r="Q19" s="159">
        <f t="shared" ca="1" si="3"/>
        <v>-0.68779321705103513</v>
      </c>
      <c r="R19" s="159">
        <f t="shared" ca="1" si="3"/>
        <v>1.2695508965493034</v>
      </c>
      <c r="S19" s="159">
        <f t="shared" ca="1" si="3"/>
        <v>-1.1678994001163709</v>
      </c>
      <c r="T19" s="159">
        <f t="shared" ca="1" si="3"/>
        <v>0.96380109998522168</v>
      </c>
      <c r="U19" s="159">
        <f t="shared" ca="1" si="3"/>
        <v>0.32214387683237405</v>
      </c>
    </row>
    <row r="20" spans="1:21">
      <c r="A20" s="142" t="s">
        <v>115</v>
      </c>
      <c r="B20" s="142">
        <f t="shared" si="0"/>
        <v>100</v>
      </c>
      <c r="C20" s="155">
        <f t="shared" ca="1" si="6"/>
        <v>92.132375173707473</v>
      </c>
      <c r="D20" s="155">
        <f t="shared" ca="1" si="7"/>
        <v>94.306550975543942</v>
      </c>
      <c r="E20" s="155">
        <f t="shared" ca="1" si="8"/>
        <v>104.25458283313711</v>
      </c>
      <c r="F20" s="155">
        <f t="shared" ca="1" si="9"/>
        <v>110.36368104338243</v>
      </c>
      <c r="G20" s="155">
        <f t="shared" ca="1" si="10"/>
        <v>112.59785012519816</v>
      </c>
      <c r="H20" s="155">
        <f t="shared" ca="1" si="11"/>
        <v>112.74080063734995</v>
      </c>
      <c r="I20" s="155">
        <f t="shared" ca="1" si="12"/>
        <v>118.72116140718556</v>
      </c>
      <c r="J20" s="155">
        <f t="shared" ca="1" si="13"/>
        <v>111.89340544602925</v>
      </c>
      <c r="K20" s="156">
        <f t="shared" ca="1" si="2"/>
        <v>1.8934054460292487</v>
      </c>
      <c r="M20" s="158" t="s">
        <v>115</v>
      </c>
      <c r="N20" s="159">
        <f t="shared" ca="1" si="5"/>
        <v>-1.9493443900924734</v>
      </c>
      <c r="O20" s="159">
        <f t="shared" ca="1" si="3"/>
        <v>0.58098428160631088</v>
      </c>
      <c r="P20" s="159">
        <f t="shared" ca="1" si="3"/>
        <v>2.4308943229193791</v>
      </c>
      <c r="Q20" s="159">
        <f t="shared" ca="1" si="3"/>
        <v>1.3891332809764505</v>
      </c>
      <c r="R20" s="159">
        <f t="shared" ca="1" si="3"/>
        <v>0.50207716583407525</v>
      </c>
      <c r="S20" s="159">
        <f t="shared" ca="1" si="3"/>
        <v>5.0836244357100602E-2</v>
      </c>
      <c r="T20" s="159">
        <f t="shared" ca="1" si="3"/>
        <v>1.262720103888068</v>
      </c>
      <c r="U20" s="159">
        <f t="shared" ca="1" si="3"/>
        <v>-1.4033941853776026</v>
      </c>
    </row>
    <row r="21" spans="1:21">
      <c r="A21" s="142" t="s">
        <v>116</v>
      </c>
      <c r="B21" s="142">
        <f t="shared" si="0"/>
        <v>100</v>
      </c>
      <c r="C21" s="155">
        <f t="shared" ca="1" si="6"/>
        <v>100.85491930779069</v>
      </c>
      <c r="D21" s="155">
        <f t="shared" ca="1" si="7"/>
        <v>103.85464713625183</v>
      </c>
      <c r="E21" s="155">
        <f t="shared" ca="1" si="8"/>
        <v>101.07791500077799</v>
      </c>
      <c r="F21" s="155">
        <f t="shared" ca="1" si="9"/>
        <v>94.52602612693228</v>
      </c>
      <c r="G21" s="155">
        <f t="shared" ca="1" si="10"/>
        <v>92.351317597715166</v>
      </c>
      <c r="H21" s="155">
        <f t="shared" ca="1" si="11"/>
        <v>94.67267394691541</v>
      </c>
      <c r="I21" s="155">
        <f t="shared" ca="1" si="12"/>
        <v>98.094201614772132</v>
      </c>
      <c r="J21" s="155">
        <f t="shared" ca="1" si="13"/>
        <v>94.440767458535362</v>
      </c>
      <c r="K21" s="156">
        <f t="shared" ca="1" si="2"/>
        <v>0</v>
      </c>
      <c r="M21" s="158" t="s">
        <v>116</v>
      </c>
      <c r="N21" s="159">
        <f t="shared" ca="1" si="5"/>
        <v>0.22496259164452173</v>
      </c>
      <c r="O21" s="159">
        <f t="shared" ca="1" si="3"/>
        <v>0.7248458475241174</v>
      </c>
      <c r="P21" s="159">
        <f t="shared" ca="1" si="3"/>
        <v>-0.63107937363998734</v>
      </c>
      <c r="Q21" s="159">
        <f t="shared" ca="1" si="3"/>
        <v>-1.5905359654542757</v>
      </c>
      <c r="R21" s="159">
        <f t="shared" ca="1" si="3"/>
        <v>-0.53912792674376364</v>
      </c>
      <c r="S21" s="159">
        <f t="shared" ca="1" si="3"/>
        <v>0.61706809568784182</v>
      </c>
      <c r="T21" s="159">
        <f t="shared" ca="1" si="3"/>
        <v>0.87372139327131382</v>
      </c>
      <c r="U21" s="159">
        <f t="shared" ca="1" si="3"/>
        <v>-0.89199573029404011</v>
      </c>
    </row>
    <row r="22" spans="1:21">
      <c r="A22" s="142" t="s">
        <v>117</v>
      </c>
      <c r="B22" s="142">
        <f t="shared" si="0"/>
        <v>100</v>
      </c>
      <c r="C22" s="155">
        <f t="shared" ca="1" si="6"/>
        <v>91.477508526426206</v>
      </c>
      <c r="D22" s="155">
        <f t="shared" ca="1" si="7"/>
        <v>100.56995519525017</v>
      </c>
      <c r="E22" s="155">
        <f t="shared" ca="1" si="8"/>
        <v>101.91136060813817</v>
      </c>
      <c r="F22" s="155">
        <f t="shared" ca="1" si="9"/>
        <v>100.95150369709334</v>
      </c>
      <c r="G22" s="155">
        <f t="shared" ca="1" si="10"/>
        <v>99.142137529189398</v>
      </c>
      <c r="H22" s="155">
        <f t="shared" ca="1" si="11"/>
        <v>100.24265078822974</v>
      </c>
      <c r="I22" s="155">
        <f t="shared" ca="1" si="12"/>
        <v>98.576791053690414</v>
      </c>
      <c r="J22" s="155">
        <f t="shared" ca="1" si="13"/>
        <v>98.73409383184368</v>
      </c>
      <c r="K22" s="156">
        <f t="shared" ca="1" si="2"/>
        <v>0</v>
      </c>
      <c r="M22" s="161" t="s">
        <v>117</v>
      </c>
      <c r="N22" s="157">
        <f ca="1">-N12</f>
        <v>-2.1208068582172741</v>
      </c>
      <c r="O22" s="157">
        <f t="shared" ref="O22:U22" ca="1" si="14">-O12</f>
        <v>2.2980961087011949</v>
      </c>
      <c r="P22" s="157">
        <f t="shared" ca="1" si="14"/>
        <v>0.33882612195923795</v>
      </c>
      <c r="Q22" s="157">
        <f t="shared" ca="1" si="14"/>
        <v>-0.20712757216386743</v>
      </c>
      <c r="R22" s="157">
        <f t="shared" ca="1" si="14"/>
        <v>-0.41438680591940341</v>
      </c>
      <c r="S22" s="157">
        <f t="shared" ca="1" si="14"/>
        <v>0.28568838943669517</v>
      </c>
      <c r="T22" s="157">
        <f t="shared" ca="1" si="14"/>
        <v>-0.38247091229398383</v>
      </c>
      <c r="U22" s="157">
        <f t="shared" ca="1" si="14"/>
        <v>5.8665215293240563E-2</v>
      </c>
    </row>
    <row r="23" spans="1:21">
      <c r="A23" s="142" t="s">
        <v>118</v>
      </c>
      <c r="B23" s="142">
        <f t="shared" si="0"/>
        <v>100</v>
      </c>
      <c r="C23" s="155">
        <f t="shared" ca="1" si="6"/>
        <v>99.571926174416561</v>
      </c>
      <c r="D23" s="155">
        <f t="shared" ca="1" si="7"/>
        <v>102.55263388047</v>
      </c>
      <c r="E23" s="155">
        <f t="shared" ca="1" si="8"/>
        <v>104.05533024835749</v>
      </c>
      <c r="F23" s="155">
        <f t="shared" ca="1" si="9"/>
        <v>106.0054861751313</v>
      </c>
      <c r="G23" s="155">
        <f t="shared" ca="1" si="10"/>
        <v>99.321454001938719</v>
      </c>
      <c r="H23" s="155">
        <f t="shared" ca="1" si="11"/>
        <v>101.73966892427597</v>
      </c>
      <c r="I23" s="155">
        <f t="shared" ca="1" si="12"/>
        <v>99.812208255286023</v>
      </c>
      <c r="J23" s="155">
        <f t="shared" ca="1" si="13"/>
        <v>103.43269094671479</v>
      </c>
      <c r="K23" s="156">
        <f t="shared" ca="1" si="2"/>
        <v>0</v>
      </c>
      <c r="M23" s="161" t="s">
        <v>118</v>
      </c>
      <c r="N23" s="157">
        <f t="shared" ref="N23:U23" ca="1" si="15">-N13</f>
        <v>-8.2778000924635969E-2</v>
      </c>
      <c r="O23" s="157">
        <f t="shared" ca="1" si="15"/>
        <v>0.72933242057786307</v>
      </c>
      <c r="P23" s="157">
        <f t="shared" ca="1" si="15"/>
        <v>0.36999602507427104</v>
      </c>
      <c r="Q23" s="157">
        <f t="shared" ca="1" si="15"/>
        <v>0.46665986018671507</v>
      </c>
      <c r="R23" s="157">
        <f t="shared" ca="1" si="15"/>
        <v>-1.5451733057953649</v>
      </c>
      <c r="S23" s="157">
        <f t="shared" ca="1" si="15"/>
        <v>0.59856571575995832</v>
      </c>
      <c r="T23" s="157">
        <f t="shared" ca="1" si="15"/>
        <v>-0.43941161944066798</v>
      </c>
      <c r="U23" s="157">
        <f t="shared" ca="1" si="15"/>
        <v>0.87679129936217604</v>
      </c>
    </row>
    <row r="24" spans="1:21">
      <c r="A24" s="142" t="s">
        <v>119</v>
      </c>
      <c r="B24" s="142">
        <f t="shared" si="0"/>
        <v>100</v>
      </c>
      <c r="C24" s="155">
        <f t="shared" ca="1" si="6"/>
        <v>97.224452035803907</v>
      </c>
      <c r="D24" s="155">
        <f t="shared" ca="1" si="7"/>
        <v>97.732009465469858</v>
      </c>
      <c r="E24" s="155">
        <f t="shared" ca="1" si="8"/>
        <v>94.744615052860823</v>
      </c>
      <c r="F24" s="155">
        <f t="shared" ca="1" si="9"/>
        <v>98.732795349674404</v>
      </c>
      <c r="G24" s="155">
        <f t="shared" ca="1" si="10"/>
        <v>94.764581225423925</v>
      </c>
      <c r="H24" s="155">
        <f t="shared" ca="1" si="11"/>
        <v>92.505743446658769</v>
      </c>
      <c r="I24" s="155">
        <f t="shared" ca="1" si="12"/>
        <v>83.385880754920066</v>
      </c>
      <c r="J24" s="155">
        <f t="shared" ca="1" si="13"/>
        <v>85.240409997388255</v>
      </c>
      <c r="K24" s="156">
        <f t="shared" ca="1" si="2"/>
        <v>0</v>
      </c>
      <c r="M24" s="161" t="s">
        <v>119</v>
      </c>
      <c r="N24" s="157">
        <f t="shared" ref="N24:U24" ca="1" si="16">-N14</f>
        <v>-0.65625331410684062</v>
      </c>
      <c r="O24" s="157">
        <f t="shared" ca="1" si="16"/>
        <v>0.14549710375326655</v>
      </c>
      <c r="P24" s="157">
        <f t="shared" ca="1" si="16"/>
        <v>-0.72586892318582397</v>
      </c>
      <c r="Q24" s="157">
        <f t="shared" ca="1" si="16"/>
        <v>1.0114366714497998</v>
      </c>
      <c r="R24" s="157">
        <f t="shared" ca="1" si="16"/>
        <v>-0.96569370959698397</v>
      </c>
      <c r="S24" s="157">
        <f t="shared" ca="1" si="16"/>
        <v>-0.55955357722683607</v>
      </c>
      <c r="T24" s="157">
        <f t="shared" ca="1" si="16"/>
        <v>-2.4745037945993658</v>
      </c>
      <c r="U24" s="157">
        <f t="shared" ca="1" si="16"/>
        <v>0.5490718916908357</v>
      </c>
    </row>
    <row r="25" spans="1:21">
      <c r="A25" s="142" t="s">
        <v>120</v>
      </c>
      <c r="B25" s="142">
        <f t="shared" si="0"/>
        <v>100</v>
      </c>
      <c r="C25" s="155">
        <f t="shared" ca="1" si="6"/>
        <v>96.951957895376751</v>
      </c>
      <c r="D25" s="155">
        <f t="shared" ca="1" si="7"/>
        <v>95.893321106925939</v>
      </c>
      <c r="E25" s="155">
        <f t="shared" ca="1" si="8"/>
        <v>99.295757863466761</v>
      </c>
      <c r="F25" s="155">
        <f t="shared" ca="1" si="9"/>
        <v>93.847822344585325</v>
      </c>
      <c r="G25" s="155">
        <f t="shared" ca="1" si="10"/>
        <v>92.345670849519493</v>
      </c>
      <c r="H25" s="155">
        <f t="shared" ca="1" si="11"/>
        <v>85.430347427211771</v>
      </c>
      <c r="I25" s="155">
        <f t="shared" ca="1" si="12"/>
        <v>80.237448570536841</v>
      </c>
      <c r="J25" s="155">
        <f t="shared" ca="1" si="13"/>
        <v>76.974525917872967</v>
      </c>
      <c r="K25" s="156">
        <f t="shared" ca="1" si="2"/>
        <v>0</v>
      </c>
      <c r="M25" s="161" t="s">
        <v>120</v>
      </c>
      <c r="N25" s="157">
        <f t="shared" ref="N25:U25" ca="1" si="17">-N15</f>
        <v>-0.72371720709479948</v>
      </c>
      <c r="O25" s="157">
        <f t="shared" ca="1" si="17"/>
        <v>-0.24356910851783817</v>
      </c>
      <c r="P25" s="157">
        <f t="shared" ca="1" si="17"/>
        <v>0.85842571547693491</v>
      </c>
      <c r="Q25" s="157">
        <f t="shared" ca="1" si="17"/>
        <v>-1.3360282923547844</v>
      </c>
      <c r="R25" s="157">
        <f t="shared" ca="1" si="17"/>
        <v>-0.36751570296698771</v>
      </c>
      <c r="S25" s="157">
        <f t="shared" ca="1" si="17"/>
        <v>-1.8506400543007762</v>
      </c>
      <c r="T25" s="157">
        <f t="shared" ca="1" si="17"/>
        <v>-1.4870469937584396</v>
      </c>
      <c r="U25" s="157">
        <f t="shared" ca="1" si="17"/>
        <v>-0.97757688980251778</v>
      </c>
    </row>
    <row r="26" spans="1:21">
      <c r="A26" s="142" t="s">
        <v>121</v>
      </c>
      <c r="B26" s="142">
        <f t="shared" si="0"/>
        <v>100</v>
      </c>
      <c r="C26" s="155">
        <f t="shared" ca="1" si="6"/>
        <v>102.12892328646255</v>
      </c>
      <c r="D26" s="155">
        <f t="shared" ca="1" si="7"/>
        <v>100.49359313198278</v>
      </c>
      <c r="E26" s="155">
        <f t="shared" ca="1" si="8"/>
        <v>102.70017811235714</v>
      </c>
      <c r="F26" s="155">
        <f t="shared" ca="1" si="9"/>
        <v>97.657362148944813</v>
      </c>
      <c r="G26" s="155">
        <f t="shared" ca="1" si="10"/>
        <v>97.236902232085541</v>
      </c>
      <c r="H26" s="155">
        <f t="shared" ca="1" si="11"/>
        <v>96.716236397707902</v>
      </c>
      <c r="I26" s="155">
        <f t="shared" ca="1" si="12"/>
        <v>95.098261221985325</v>
      </c>
      <c r="J26" s="155">
        <f t="shared" ca="1" si="13"/>
        <v>97.589264791479579</v>
      </c>
      <c r="K26" s="156">
        <f t="shared" ca="1" si="2"/>
        <v>0</v>
      </c>
      <c r="M26" s="161" t="s">
        <v>121</v>
      </c>
      <c r="N26" s="157">
        <f t="shared" ref="N26:U26" ca="1" si="18">-N16</f>
        <v>0.52669741151839722</v>
      </c>
      <c r="O26" s="157">
        <f t="shared" ca="1" si="18"/>
        <v>-0.36766622588606818</v>
      </c>
      <c r="P26" s="157">
        <f t="shared" ca="1" si="18"/>
        <v>0.54241984393890774</v>
      </c>
      <c r="Q26" s="157">
        <f t="shared" ca="1" si="18"/>
        <v>-1.1898956111220349</v>
      </c>
      <c r="R26" s="157">
        <f t="shared" ca="1" si="18"/>
        <v>-8.3374812280400903E-2</v>
      </c>
      <c r="S26" s="157">
        <f t="shared" ca="1" si="18"/>
        <v>-0.1087156628194485</v>
      </c>
      <c r="T26" s="157">
        <f t="shared" ca="1" si="18"/>
        <v>-0.38517992868189116</v>
      </c>
      <c r="U26" s="157">
        <f t="shared" ca="1" si="18"/>
        <v>0.64185936362455509</v>
      </c>
    </row>
    <row r="27" spans="1:21">
      <c r="A27" s="142" t="s">
        <v>122</v>
      </c>
      <c r="B27" s="142">
        <f t="shared" si="0"/>
        <v>100</v>
      </c>
      <c r="C27" s="155">
        <f t="shared" ca="1" si="6"/>
        <v>100.49784051162381</v>
      </c>
      <c r="D27" s="155">
        <f t="shared" ca="1" si="7"/>
        <v>96.535664770093305</v>
      </c>
      <c r="E27" s="155">
        <f t="shared" ca="1" si="8"/>
        <v>97.474152769629953</v>
      </c>
      <c r="F27" s="155">
        <f t="shared" ca="1" si="9"/>
        <v>99.029707380502899</v>
      </c>
      <c r="G27" s="155">
        <f t="shared" ca="1" si="10"/>
        <v>94.160091961607463</v>
      </c>
      <c r="H27" s="155">
        <f t="shared" ca="1" si="11"/>
        <v>89.321680029466137</v>
      </c>
      <c r="I27" s="155">
        <f t="shared" ca="1" si="12"/>
        <v>95.19856961738023</v>
      </c>
      <c r="J27" s="155">
        <f t="shared" ca="1" si="13"/>
        <v>97.001997154424188</v>
      </c>
      <c r="K27" s="156">
        <f t="shared" ca="1" si="2"/>
        <v>0</v>
      </c>
      <c r="M27" s="161" t="s">
        <v>122</v>
      </c>
      <c r="N27" s="157">
        <f t="shared" ref="N27:U27" ca="1" si="19">-N17</f>
        <v>0.13970808542122043</v>
      </c>
      <c r="O27" s="157">
        <f t="shared" ca="1" si="19"/>
        <v>-0.94651881185200182</v>
      </c>
      <c r="P27" s="157">
        <f t="shared" ca="1" si="19"/>
        <v>0.25289033131818711</v>
      </c>
      <c r="Q27" s="157">
        <f t="shared" ca="1" si="19"/>
        <v>0.40090822805889986</v>
      </c>
      <c r="R27" s="157">
        <f t="shared" ca="1" si="19"/>
        <v>-1.1916896504659356</v>
      </c>
      <c r="S27" s="157">
        <f t="shared" ca="1" si="19"/>
        <v>-1.2476661617406706</v>
      </c>
      <c r="T27" s="157">
        <f t="shared" ca="1" si="19"/>
        <v>1.5519935523145156</v>
      </c>
      <c r="U27" s="157">
        <f t="shared" ca="1" si="19"/>
        <v>0.47143315338007263</v>
      </c>
    </row>
    <row r="28" spans="1:21">
      <c r="A28" s="142" t="s">
        <v>123</v>
      </c>
      <c r="B28" s="142">
        <f t="shared" si="0"/>
        <v>100</v>
      </c>
      <c r="C28" s="155">
        <f t="shared" ca="1" si="6"/>
        <v>96.215962136609392</v>
      </c>
      <c r="D28" s="155">
        <f t="shared" ca="1" si="7"/>
        <v>95.690951080416937</v>
      </c>
      <c r="E28" s="155">
        <f t="shared" ca="1" si="8"/>
        <v>101.68180125474738</v>
      </c>
      <c r="F28" s="155">
        <f t="shared" ca="1" si="9"/>
        <v>97.876960257123997</v>
      </c>
      <c r="G28" s="155">
        <f t="shared" ca="1" si="10"/>
        <v>102.61905048751269</v>
      </c>
      <c r="H28" s="155">
        <f t="shared" ca="1" si="11"/>
        <v>103.90176139672562</v>
      </c>
      <c r="I28" s="155">
        <f t="shared" ca="1" si="12"/>
        <v>96.413448228085088</v>
      </c>
      <c r="J28" s="155">
        <f t="shared" ca="1" si="13"/>
        <v>103.66780169653471</v>
      </c>
      <c r="K28" s="156">
        <f t="shared" ca="1" si="2"/>
        <v>0</v>
      </c>
      <c r="M28" s="161" t="s">
        <v>123</v>
      </c>
      <c r="N28" s="157">
        <f t="shared" ref="N28:U28" ca="1" si="20">-N18</f>
        <v>-0.9068865647986416</v>
      </c>
      <c r="O28" s="157">
        <f t="shared" ca="1" si="20"/>
        <v>-0.11118024340450537</v>
      </c>
      <c r="P28" s="157">
        <f t="shared" ca="1" si="20"/>
        <v>1.4799767995094757</v>
      </c>
      <c r="Q28" s="157">
        <f t="shared" ca="1" si="20"/>
        <v>-0.89636421711979486</v>
      </c>
      <c r="R28" s="157">
        <f t="shared" ca="1" si="20"/>
        <v>1.1575878203662751</v>
      </c>
      <c r="S28" s="157">
        <f t="shared" ca="1" si="20"/>
        <v>0.31893292842271342</v>
      </c>
      <c r="T28" s="157">
        <f t="shared" ca="1" si="20"/>
        <v>-1.7776329411567826</v>
      </c>
      <c r="U28" s="157">
        <f t="shared" ca="1" si="20"/>
        <v>1.764124844629505</v>
      </c>
    </row>
    <row r="29" spans="1:21">
      <c r="A29" s="142" t="s">
        <v>124</v>
      </c>
      <c r="B29" s="142">
        <f t="shared" si="0"/>
        <v>100</v>
      </c>
      <c r="C29" s="155">
        <f t="shared" ca="1" si="6"/>
        <v>102.72421888748298</v>
      </c>
      <c r="D29" s="155">
        <f t="shared" ca="1" si="7"/>
        <v>98.487886455249182</v>
      </c>
      <c r="E29" s="155">
        <f t="shared" ca="1" si="8"/>
        <v>96.588290095184604</v>
      </c>
      <c r="F29" s="155">
        <f t="shared" ca="1" si="9"/>
        <v>99.307916100531202</v>
      </c>
      <c r="G29" s="155">
        <f t="shared" ca="1" si="10"/>
        <v>94.119252628938824</v>
      </c>
      <c r="H29" s="155">
        <f t="shared" ca="1" si="11"/>
        <v>98.721625061714832</v>
      </c>
      <c r="I29" s="155">
        <f t="shared" ca="1" si="12"/>
        <v>94.761320846162931</v>
      </c>
      <c r="J29" s="155">
        <f t="shared" ca="1" si="13"/>
        <v>93.420720621699061</v>
      </c>
      <c r="K29" s="156">
        <f t="shared" ca="1" si="2"/>
        <v>0</v>
      </c>
      <c r="M29" s="161" t="s">
        <v>124</v>
      </c>
      <c r="N29" s="157">
        <f t="shared" ref="N29:U29" ca="1" si="21">-N19</f>
        <v>0.66639910757546172</v>
      </c>
      <c r="O29" s="157">
        <f t="shared" ca="1" si="21"/>
        <v>-0.9919639904279447</v>
      </c>
      <c r="P29" s="157">
        <f t="shared" ca="1" si="21"/>
        <v>-0.44780690355640973</v>
      </c>
      <c r="Q29" s="157">
        <f t="shared" ca="1" si="21"/>
        <v>0.68779321705103513</v>
      </c>
      <c r="R29" s="157">
        <f t="shared" ca="1" si="21"/>
        <v>-1.2695508965493034</v>
      </c>
      <c r="S29" s="157">
        <f t="shared" ca="1" si="21"/>
        <v>1.1678994001163709</v>
      </c>
      <c r="T29" s="157">
        <f t="shared" ca="1" si="21"/>
        <v>-0.96380109998522168</v>
      </c>
      <c r="U29" s="157">
        <f t="shared" ca="1" si="21"/>
        <v>-0.32214387683237405</v>
      </c>
    </row>
    <row r="30" spans="1:21">
      <c r="A30" s="142" t="s">
        <v>125</v>
      </c>
      <c r="B30" s="142">
        <f t="shared" si="0"/>
        <v>100</v>
      </c>
      <c r="C30" s="155">
        <f t="shared" ca="1" si="6"/>
        <v>108.35595213633695</v>
      </c>
      <c r="D30" s="155">
        <f t="shared" ca="1" si="7"/>
        <v>105.67888398631005</v>
      </c>
      <c r="E30" s="155">
        <f t="shared" ca="1" si="8"/>
        <v>95.433305249264876</v>
      </c>
      <c r="F30" s="155">
        <f t="shared" ca="1" si="9"/>
        <v>89.998233066650329</v>
      </c>
      <c r="G30" s="155">
        <f t="shared" ca="1" si="10"/>
        <v>88.063329672343059</v>
      </c>
      <c r="H30" s="155">
        <f t="shared" ca="1" si="11"/>
        <v>87.802953723050919</v>
      </c>
      <c r="I30" s="155">
        <f t="shared" ca="1" si="12"/>
        <v>83.239055605180624</v>
      </c>
      <c r="J30" s="155">
        <f t="shared" ca="1" si="13"/>
        <v>88.168982552463561</v>
      </c>
      <c r="K30" s="156">
        <f t="shared" ca="1" si="2"/>
        <v>0</v>
      </c>
      <c r="M30" s="161" t="s">
        <v>125</v>
      </c>
      <c r="N30" s="157">
        <f t="shared" ref="N30:U30" ca="1" si="22">-N20</f>
        <v>1.9493443900924734</v>
      </c>
      <c r="O30" s="157">
        <f t="shared" ca="1" si="22"/>
        <v>-0.58098428160631088</v>
      </c>
      <c r="P30" s="157">
        <f t="shared" ca="1" si="22"/>
        <v>-2.4308943229193791</v>
      </c>
      <c r="Q30" s="157">
        <f t="shared" ca="1" si="22"/>
        <v>-1.3891332809764505</v>
      </c>
      <c r="R30" s="157">
        <f t="shared" ca="1" si="22"/>
        <v>-0.50207716583407525</v>
      </c>
      <c r="S30" s="157">
        <f t="shared" ca="1" si="22"/>
        <v>-5.0836244357100602E-2</v>
      </c>
      <c r="T30" s="157">
        <f t="shared" ca="1" si="22"/>
        <v>-1.262720103888068</v>
      </c>
      <c r="U30" s="157">
        <f t="shared" ca="1" si="22"/>
        <v>1.4033941853776026</v>
      </c>
    </row>
    <row r="31" spans="1:21">
      <c r="A31" s="142" t="s">
        <v>126</v>
      </c>
      <c r="B31" s="142">
        <f t="shared" si="0"/>
        <v>100</v>
      </c>
      <c r="C31" s="155">
        <f t="shared" ca="1" si="6"/>
        <v>98.984673261823971</v>
      </c>
      <c r="D31" s="155">
        <f t="shared" ca="1" si="7"/>
        <v>95.9630727608982</v>
      </c>
      <c r="E31" s="155">
        <f t="shared" ca="1" si="8"/>
        <v>98.432574782265348</v>
      </c>
      <c r="F31" s="155">
        <f t="shared" ca="1" si="9"/>
        <v>105.07726491430087</v>
      </c>
      <c r="G31" s="155">
        <f t="shared" ca="1" si="10"/>
        <v>107.36979020879416</v>
      </c>
      <c r="H31" s="155">
        <f t="shared" ca="1" si="11"/>
        <v>104.56000542048145</v>
      </c>
      <c r="I31" s="155">
        <f t="shared" ca="1" si="12"/>
        <v>100.74231904851106</v>
      </c>
      <c r="J31" s="155">
        <f t="shared" ca="1" si="13"/>
        <v>104.46259574116856</v>
      </c>
      <c r="K31" s="156">
        <f t="shared" ca="1" si="2"/>
        <v>0</v>
      </c>
      <c r="M31" s="161" t="s">
        <v>126</v>
      </c>
      <c r="N31" s="157">
        <f t="shared" ref="N31:U31" ca="1" si="23">-N21</f>
        <v>-0.22496259164452173</v>
      </c>
      <c r="O31" s="157">
        <f t="shared" ca="1" si="23"/>
        <v>-0.7248458475241174</v>
      </c>
      <c r="P31" s="157">
        <f t="shared" ca="1" si="23"/>
        <v>0.63107937363998734</v>
      </c>
      <c r="Q31" s="157">
        <f t="shared" ca="1" si="23"/>
        <v>1.5905359654542757</v>
      </c>
      <c r="R31" s="157">
        <f t="shared" ca="1" si="23"/>
        <v>0.53912792674376364</v>
      </c>
      <c r="S31" s="157">
        <f t="shared" ca="1" si="23"/>
        <v>-0.61706809568784182</v>
      </c>
      <c r="T31" s="157">
        <f t="shared" ca="1" si="23"/>
        <v>-0.87372139327131382</v>
      </c>
      <c r="U31" s="157">
        <f t="shared" ca="1" si="23"/>
        <v>0.89199573029404011</v>
      </c>
    </row>
  </sheetData>
  <mergeCells count="2">
    <mergeCell ref="H6:I6"/>
    <mergeCell ref="H5:I5"/>
  </mergeCells>
  <phoneticPr fontId="5"/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"/>
  <sheetViews>
    <sheetView workbookViewId="0">
      <selection activeCell="B13" sqref="B13"/>
    </sheetView>
  </sheetViews>
  <sheetFormatPr defaultColWidth="21.453125" defaultRowHeight="16.5"/>
  <cols>
    <col min="1" max="1" width="21.453125" style="33"/>
    <col min="2" max="2" width="9.7265625" style="33" bestFit="1" customWidth="1"/>
    <col min="3" max="16384" width="21.453125" style="33"/>
  </cols>
  <sheetData>
    <row r="1" spans="1:3" ht="18.75" customHeight="1">
      <c r="A1" s="72" t="s">
        <v>17</v>
      </c>
      <c r="C1" s="50" t="s">
        <v>19</v>
      </c>
    </row>
    <row r="2" spans="1:3">
      <c r="A2" s="33" t="s">
        <v>14</v>
      </c>
      <c r="B2" s="51">
        <v>149.71</v>
      </c>
      <c r="C2" s="52"/>
    </row>
    <row r="3" spans="1:3">
      <c r="A3" s="33" t="s">
        <v>15</v>
      </c>
      <c r="B3" s="51">
        <v>149</v>
      </c>
      <c r="C3" s="52"/>
    </row>
    <row r="4" spans="1:3">
      <c r="A4" s="33" t="s">
        <v>7</v>
      </c>
      <c r="B4" s="33">
        <v>103</v>
      </c>
      <c r="C4" s="52"/>
    </row>
    <row r="5" spans="1:3">
      <c r="A5" s="33" t="s">
        <v>2</v>
      </c>
      <c r="B5" s="37">
        <f>B4/365</f>
        <v>0.28219178082191781</v>
      </c>
      <c r="C5" s="54" t="s">
        <v>39</v>
      </c>
    </row>
    <row r="6" spans="1:3">
      <c r="A6" s="33" t="s">
        <v>8</v>
      </c>
      <c r="B6" s="55">
        <v>-1.8000000000000001E-4</v>
      </c>
      <c r="C6" s="56" t="s">
        <v>220</v>
      </c>
    </row>
    <row r="7" spans="1:3">
      <c r="A7" s="33" t="s">
        <v>40</v>
      </c>
      <c r="B7" s="57">
        <f>1/(1+B6*B5)</f>
        <v>1.0000507971007624</v>
      </c>
      <c r="C7" s="54" t="s">
        <v>219</v>
      </c>
    </row>
    <row r="8" spans="1:3">
      <c r="A8" s="33" t="s">
        <v>11</v>
      </c>
      <c r="B8" s="55">
        <v>3.8300000000000001E-2</v>
      </c>
      <c r="C8" s="56"/>
    </row>
    <row r="9" spans="1:3" ht="29">
      <c r="A9" s="59" t="s">
        <v>9</v>
      </c>
      <c r="B9" s="63">
        <f>(LN(B2/B3)+(B8^2/2)*B5)/(B8*B5^0.5)</f>
        <v>0.24382424218288451</v>
      </c>
      <c r="C9" s="61" t="s">
        <v>44</v>
      </c>
    </row>
    <row r="10" spans="1:3">
      <c r="A10" s="33" t="s">
        <v>10</v>
      </c>
      <c r="B10" s="35">
        <f>B9-B8*B5^0.5</f>
        <v>0.22347862099871166</v>
      </c>
      <c r="C10" s="54" t="s">
        <v>46</v>
      </c>
    </row>
    <row r="11" spans="1:3">
      <c r="A11" s="33" t="s">
        <v>16</v>
      </c>
      <c r="B11" s="35">
        <f>NORMSDIST(B9)</f>
        <v>0.59631652784637557</v>
      </c>
      <c r="C11" s="54" t="s">
        <v>20</v>
      </c>
    </row>
    <row r="12" spans="1:3">
      <c r="A12" s="33" t="s">
        <v>0</v>
      </c>
      <c r="B12" s="35">
        <f>NORMSDIST(B10)</f>
        <v>0.58841848981166556</v>
      </c>
      <c r="C12" s="54" t="s">
        <v>49</v>
      </c>
    </row>
    <row r="13" spans="1:3">
      <c r="A13" s="59" t="s">
        <v>50</v>
      </c>
      <c r="B13" s="73">
        <f>B7*(B2*B11-B3*B12)</f>
        <v>1.6002736870774015</v>
      </c>
      <c r="C13" s="61" t="s">
        <v>51</v>
      </c>
    </row>
    <row r="14" spans="1:3">
      <c r="A14" s="33" t="s">
        <v>52</v>
      </c>
      <c r="B14" s="93">
        <f>EXP(-B6*B5)*B11</f>
        <v>0.59634681822778857</v>
      </c>
      <c r="C14" s="54" t="s">
        <v>53</v>
      </c>
    </row>
    <row r="16" spans="1:3">
      <c r="B16" s="55"/>
    </row>
    <row r="24" spans="2:2">
      <c r="B24" s="33" t="s">
        <v>54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/>
  </sheetViews>
  <sheetFormatPr defaultColWidth="8" defaultRowHeight="12.5"/>
  <cols>
    <col min="1" max="1" width="6.36328125" style="8" customWidth="1"/>
    <col min="2" max="2" width="8" style="8" bestFit="1" customWidth="1"/>
    <col min="3" max="3" width="8.6328125" style="8" customWidth="1"/>
    <col min="4" max="4" width="13" style="14" customWidth="1"/>
    <col min="5" max="16384" width="8" style="8"/>
  </cols>
  <sheetData>
    <row r="1" spans="1:4">
      <c r="A1" s="6" t="s">
        <v>26</v>
      </c>
      <c r="B1" s="6" t="s">
        <v>27</v>
      </c>
      <c r="C1" s="6" t="s">
        <v>28</v>
      </c>
      <c r="D1" s="7" t="s">
        <v>29</v>
      </c>
    </row>
    <row r="2" spans="1:4">
      <c r="A2" s="8" t="s">
        <v>21</v>
      </c>
      <c r="B2" s="9">
        <v>139.59</v>
      </c>
      <c r="C2" s="10">
        <f>LN(B2/B3)</f>
        <v>-1.4317419583702378E-3</v>
      </c>
      <c r="D2" s="15" t="s">
        <v>33</v>
      </c>
    </row>
    <row r="3" spans="1:4">
      <c r="A3" s="8" t="s">
        <v>22</v>
      </c>
      <c r="B3" s="9">
        <v>139.79</v>
      </c>
      <c r="C3" s="10">
        <f>LN(B3/B4)</f>
        <v>6.4403022012098641E-4</v>
      </c>
      <c r="D3" s="15" t="s">
        <v>34</v>
      </c>
    </row>
    <row r="4" spans="1:4">
      <c r="A4" s="8" t="s">
        <v>23</v>
      </c>
      <c r="B4" s="9">
        <v>139.69999999999999</v>
      </c>
      <c r="C4" s="10">
        <f>LN(B4/B5)</f>
        <v>2.149767936492443E-3</v>
      </c>
      <c r="D4" s="16" t="s">
        <v>30</v>
      </c>
    </row>
    <row r="5" spans="1:4">
      <c r="A5" s="8" t="s">
        <v>24</v>
      </c>
      <c r="B5" s="9">
        <v>139.4</v>
      </c>
      <c r="C5" s="10">
        <f>LN(B5/B6)</f>
        <v>3.08941582793293E-3</v>
      </c>
      <c r="D5" s="15"/>
    </row>
    <row r="6" spans="1:4">
      <c r="A6" s="8" t="s">
        <v>25</v>
      </c>
      <c r="B6" s="9">
        <v>138.97</v>
      </c>
    </row>
    <row r="7" spans="1:4">
      <c r="B7" s="11" t="s">
        <v>31</v>
      </c>
      <c r="C7" s="12">
        <f>STDEV(C2:C5)</f>
        <v>1.9728787341077064E-3</v>
      </c>
      <c r="D7" s="15" t="s">
        <v>35</v>
      </c>
    </row>
    <row r="8" spans="1:4">
      <c r="B8" s="11" t="s">
        <v>32</v>
      </c>
      <c r="C8" s="13">
        <f>C7*(260^0.5)</f>
        <v>3.1811713721026577E-2</v>
      </c>
      <c r="D8" s="15" t="s">
        <v>36</v>
      </c>
    </row>
  </sheetData>
  <phoneticPr fontId="5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80" zoomScaleNormal="80" workbookViewId="0"/>
  </sheetViews>
  <sheetFormatPr defaultRowHeight="16.5"/>
  <cols>
    <col min="1" max="1" width="23.08984375" style="33" bestFit="1" customWidth="1"/>
    <col min="2" max="2" width="11.36328125" style="33" bestFit="1" customWidth="1"/>
    <col min="3" max="3" width="21.7265625" style="33" bestFit="1" customWidth="1"/>
    <col min="4" max="16384" width="8.7265625" style="33"/>
  </cols>
  <sheetData>
    <row r="1" spans="1:3" ht="13.5" customHeight="1">
      <c r="A1" s="65" t="s">
        <v>1</v>
      </c>
      <c r="C1" s="66" t="s">
        <v>19</v>
      </c>
    </row>
    <row r="2" spans="1:3">
      <c r="A2" s="33" t="s">
        <v>5</v>
      </c>
      <c r="B2" s="35">
        <v>99.947000000000003</v>
      </c>
      <c r="C2" s="54"/>
    </row>
    <row r="3" spans="1:3">
      <c r="A3" s="33" t="s">
        <v>3</v>
      </c>
      <c r="B3" s="35">
        <f>100-B2</f>
        <v>5.2999999999997272E-2</v>
      </c>
      <c r="C3" s="54"/>
    </row>
    <row r="4" spans="1:3">
      <c r="A4" s="33" t="s">
        <v>6</v>
      </c>
      <c r="B4" s="35">
        <v>99.75</v>
      </c>
      <c r="C4" s="54"/>
    </row>
    <row r="5" spans="1:3">
      <c r="A5" s="33" t="s">
        <v>4</v>
      </c>
      <c r="B5" s="35">
        <f>100-B4</f>
        <v>0.25</v>
      </c>
      <c r="C5" s="54"/>
    </row>
    <row r="6" spans="1:3">
      <c r="A6" s="33" t="s">
        <v>7</v>
      </c>
      <c r="B6" s="33">
        <v>68</v>
      </c>
      <c r="C6" s="54"/>
    </row>
    <row r="7" spans="1:3">
      <c r="A7" s="33" t="s">
        <v>2</v>
      </c>
      <c r="B7" s="37">
        <f>B6/365</f>
        <v>0.18630136986301371</v>
      </c>
      <c r="C7" s="54" t="s">
        <v>56</v>
      </c>
    </row>
    <row r="8" spans="1:3">
      <c r="A8" s="33" t="s">
        <v>8</v>
      </c>
      <c r="B8" s="55">
        <v>-3.2000000000000003E-4</v>
      </c>
      <c r="C8" s="56" t="s">
        <v>57</v>
      </c>
    </row>
    <row r="9" spans="1:3">
      <c r="A9" s="33" t="s">
        <v>58</v>
      </c>
      <c r="B9" s="57">
        <f>1/(1+B8*B6/365)</f>
        <v>1.0000596199926879</v>
      </c>
      <c r="C9" s="54" t="s">
        <v>59</v>
      </c>
    </row>
    <row r="10" spans="1:3">
      <c r="A10" s="33" t="s">
        <v>11</v>
      </c>
      <c r="B10" s="55">
        <v>4.2119400000000002</v>
      </c>
      <c r="C10" s="54"/>
    </row>
    <row r="11" spans="1:3" ht="28">
      <c r="A11" s="59" t="s">
        <v>12</v>
      </c>
      <c r="B11" s="67">
        <f>(LN(B3/B5)+(B10^2/2)*B7)/(B10*B7^0.5)</f>
        <v>5.5756797316281623E-2</v>
      </c>
      <c r="C11" s="68" t="s">
        <v>60</v>
      </c>
    </row>
    <row r="12" spans="1:3">
      <c r="A12" s="33" t="s">
        <v>13</v>
      </c>
      <c r="B12" s="69">
        <f>B11-B10*B7^0.5</f>
        <v>-1.7622278028300771</v>
      </c>
      <c r="C12" s="54" t="s">
        <v>61</v>
      </c>
    </row>
    <row r="13" spans="1:3">
      <c r="A13" s="33" t="s">
        <v>62</v>
      </c>
      <c r="B13" s="69">
        <f>NORMSDIST(-B11)</f>
        <v>0.47776777605919657</v>
      </c>
      <c r="C13" s="54" t="s">
        <v>63</v>
      </c>
    </row>
    <row r="14" spans="1:3">
      <c r="A14" s="33" t="s">
        <v>64</v>
      </c>
      <c r="B14" s="69">
        <f>NORMSDIST(-B12)</f>
        <v>0.96098459179430951</v>
      </c>
      <c r="C14" s="54" t="s">
        <v>65</v>
      </c>
    </row>
    <row r="15" spans="1:3">
      <c r="A15" s="59" t="s">
        <v>66</v>
      </c>
      <c r="B15" s="70">
        <f>B9*(B5*B14-B3*B13)</f>
        <v>0.21493726961192555</v>
      </c>
      <c r="C15" s="68" t="s">
        <v>67</v>
      </c>
    </row>
    <row r="16" spans="1:3">
      <c r="A16" s="33" t="s">
        <v>18</v>
      </c>
      <c r="B16" s="71">
        <f>250000*B15</f>
        <v>53734.317402981389</v>
      </c>
      <c r="C16" s="54" t="s">
        <v>55</v>
      </c>
    </row>
    <row r="17" spans="2:2">
      <c r="B17" s="71"/>
    </row>
  </sheetData>
  <phoneticPr fontId="5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"/>
  <sheetViews>
    <sheetView zoomScale="90" zoomScaleNormal="90" workbookViewId="0">
      <selection sqref="A1:B1"/>
    </sheetView>
  </sheetViews>
  <sheetFormatPr defaultRowHeight="16.5"/>
  <cols>
    <col min="1" max="1" width="23.81640625" style="33" bestFit="1" customWidth="1"/>
    <col min="2" max="2" width="13.90625" style="33" bestFit="1" customWidth="1"/>
    <col min="3" max="3" width="27.90625" style="33" bestFit="1" customWidth="1"/>
    <col min="4" max="16384" width="8.7265625" style="33"/>
  </cols>
  <sheetData>
    <row r="1" spans="1:3" ht="13.5" customHeight="1">
      <c r="A1" s="165" t="s">
        <v>159</v>
      </c>
      <c r="B1" s="165"/>
      <c r="C1" s="74" t="s">
        <v>158</v>
      </c>
    </row>
    <row r="2" spans="1:3">
      <c r="A2" s="33" t="s">
        <v>157</v>
      </c>
      <c r="B2" s="75">
        <v>99.947000000000003</v>
      </c>
      <c r="C2" s="54"/>
    </row>
    <row r="3" spans="1:3">
      <c r="A3" s="33" t="s">
        <v>156</v>
      </c>
      <c r="B3" s="75">
        <f>100-B2</f>
        <v>5.2999999999997272E-2</v>
      </c>
      <c r="C3" s="54" t="s">
        <v>145</v>
      </c>
    </row>
    <row r="4" spans="1:3">
      <c r="A4" s="33" t="s">
        <v>155</v>
      </c>
      <c r="B4" s="75">
        <v>99.75</v>
      </c>
      <c r="C4" s="54"/>
    </row>
    <row r="5" spans="1:3">
      <c r="A5" s="33" t="s">
        <v>154</v>
      </c>
      <c r="B5" s="75">
        <f>100-B4</f>
        <v>0.25</v>
      </c>
      <c r="C5" s="54" t="s">
        <v>145</v>
      </c>
    </row>
    <row r="6" spans="1:3">
      <c r="A6" s="33" t="s">
        <v>153</v>
      </c>
      <c r="B6" s="33">
        <v>68</v>
      </c>
      <c r="C6" s="54"/>
    </row>
    <row r="7" spans="1:3">
      <c r="A7" s="33" t="s">
        <v>152</v>
      </c>
      <c r="B7" s="75">
        <f>B6/365</f>
        <v>0.18630136986301371</v>
      </c>
      <c r="C7" s="54" t="s">
        <v>151</v>
      </c>
    </row>
    <row r="8" spans="1:3">
      <c r="A8" s="33" t="s">
        <v>150</v>
      </c>
      <c r="B8" s="76">
        <v>-3.2000000000000003E-4</v>
      </c>
      <c r="C8" s="56" t="s">
        <v>149</v>
      </c>
    </row>
    <row r="9" spans="1:3">
      <c r="A9" s="33" t="s">
        <v>148</v>
      </c>
      <c r="B9" s="77">
        <f>1/(1+B8*B6/365)</f>
        <v>1.0000596199926879</v>
      </c>
      <c r="C9" s="54" t="s">
        <v>147</v>
      </c>
    </row>
    <row r="10" spans="1:3">
      <c r="A10" s="33" t="s">
        <v>146</v>
      </c>
      <c r="B10" s="78">
        <v>0.47062999999999999</v>
      </c>
      <c r="C10" s="54" t="s">
        <v>145</v>
      </c>
    </row>
    <row r="11" spans="1:3">
      <c r="A11" s="33" t="s">
        <v>144</v>
      </c>
      <c r="B11" s="78">
        <f>(B10*B7^0.5)</f>
        <v>0.20313634390966651</v>
      </c>
      <c r="C11" s="54" t="s">
        <v>143</v>
      </c>
    </row>
    <row r="12" spans="1:3">
      <c r="A12" s="59" t="s">
        <v>142</v>
      </c>
      <c r="B12" s="78">
        <f>(B3-B5)/B11</f>
        <v>-0.96979199393096993</v>
      </c>
      <c r="C12" s="54" t="s">
        <v>141</v>
      </c>
    </row>
    <row r="13" spans="1:3">
      <c r="A13" s="33" t="s">
        <v>140</v>
      </c>
      <c r="B13" s="78">
        <f>NORMSDIST(-B12)</f>
        <v>0.83392490784234696</v>
      </c>
      <c r="C13" s="54" t="s">
        <v>139</v>
      </c>
    </row>
    <row r="14" spans="1:3">
      <c r="A14" s="33" t="s">
        <v>138</v>
      </c>
      <c r="B14" s="78">
        <f>NORMDIST(-B12,0,1,FALSE)</f>
        <v>0.24927793780203325</v>
      </c>
      <c r="C14" s="54" t="s">
        <v>137</v>
      </c>
    </row>
    <row r="15" spans="1:3">
      <c r="A15" s="59" t="s">
        <v>136</v>
      </c>
      <c r="B15" s="78">
        <f>B9*B11*(-B12*B13+B14)</f>
        <v>0.21493342931293022</v>
      </c>
      <c r="C15" s="54" t="s">
        <v>135</v>
      </c>
    </row>
    <row r="16" spans="1:3">
      <c r="A16" s="33" t="s">
        <v>134</v>
      </c>
      <c r="B16" s="79">
        <f>250000*B15</f>
        <v>53733.357328232552</v>
      </c>
      <c r="C16" s="54" t="s">
        <v>133</v>
      </c>
    </row>
    <row r="17" spans="1:2">
      <c r="A17" s="33" t="s">
        <v>132</v>
      </c>
      <c r="B17" s="34">
        <f>B9*B13</f>
        <v>0.8339746264392548</v>
      </c>
    </row>
  </sheetData>
  <mergeCells count="1">
    <mergeCell ref="A1:B1"/>
  </mergeCells>
  <phoneticPr fontId="5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"/>
  <sheetViews>
    <sheetView zoomScaleNormal="100" workbookViewId="0">
      <selection sqref="A1:B1"/>
    </sheetView>
  </sheetViews>
  <sheetFormatPr defaultRowHeight="13"/>
  <cols>
    <col min="1" max="1" width="19.90625" customWidth="1"/>
    <col min="2" max="2" width="10.1796875" bestFit="1" customWidth="1"/>
    <col min="3" max="3" width="17.08984375" bestFit="1" customWidth="1"/>
    <col min="4" max="4" width="11.81640625" customWidth="1"/>
    <col min="7" max="7" width="8.453125" customWidth="1"/>
  </cols>
  <sheetData>
    <row r="1" spans="1:7" ht="16.5">
      <c r="A1" s="166" t="s">
        <v>95</v>
      </c>
      <c r="B1" s="166"/>
      <c r="C1" s="33"/>
      <c r="D1" s="33"/>
    </row>
    <row r="2" spans="1:7" ht="13.5" customHeight="1">
      <c r="A2" s="33" t="s">
        <v>83</v>
      </c>
      <c r="B2" s="34">
        <v>5.2999999999999998E-4</v>
      </c>
      <c r="C2" s="35"/>
      <c r="D2" s="36"/>
      <c r="G2" s="27"/>
    </row>
    <row r="3" spans="1:7" ht="13.5" customHeight="1">
      <c r="A3" s="33" t="s">
        <v>84</v>
      </c>
      <c r="B3" s="34">
        <v>2.5000000000000001E-3</v>
      </c>
      <c r="C3" s="35"/>
      <c r="D3" s="36"/>
    </row>
    <row r="4" spans="1:7" ht="13.5" customHeight="1">
      <c r="A4" s="33" t="s">
        <v>74</v>
      </c>
      <c r="B4" s="33">
        <v>68</v>
      </c>
      <c r="C4" s="33"/>
      <c r="D4" s="36"/>
    </row>
    <row r="5" spans="1:7" ht="13.5" customHeight="1">
      <c r="A5" s="33" t="s">
        <v>85</v>
      </c>
      <c r="B5" s="37">
        <f>B4/365</f>
        <v>0.18630136986301371</v>
      </c>
      <c r="C5" s="37"/>
      <c r="D5" s="36"/>
    </row>
    <row r="6" spans="1:7" ht="13.5" customHeight="1">
      <c r="A6" s="48" t="s">
        <v>97</v>
      </c>
      <c r="B6" s="49">
        <v>4.2119400000000002</v>
      </c>
      <c r="C6" s="36"/>
      <c r="D6" s="94"/>
    </row>
    <row r="7" spans="1:7" ht="13.5" customHeight="1">
      <c r="A7" s="33"/>
      <c r="B7" s="33"/>
      <c r="C7" s="33"/>
      <c r="D7" s="33"/>
    </row>
    <row r="8" spans="1:7" ht="13.5" customHeight="1">
      <c r="A8" s="47" t="s">
        <v>68</v>
      </c>
      <c r="B8" s="38"/>
      <c r="C8" s="33"/>
      <c r="D8" s="33"/>
    </row>
    <row r="9" spans="1:7" ht="13.5" customHeight="1">
      <c r="A9" s="39" t="s">
        <v>69</v>
      </c>
      <c r="B9" s="40" t="s">
        <v>70</v>
      </c>
      <c r="C9" s="41" t="s">
        <v>82</v>
      </c>
      <c r="D9" s="40" t="s">
        <v>71</v>
      </c>
    </row>
    <row r="10" spans="1:7" ht="16.5">
      <c r="A10" s="42" t="s">
        <v>72</v>
      </c>
      <c r="B10" s="43">
        <f>LN(B2/B3)</f>
        <v>-1.5511690043101247</v>
      </c>
      <c r="C10" s="44" t="s">
        <v>78</v>
      </c>
      <c r="D10" s="33"/>
    </row>
    <row r="11" spans="1:7" ht="16.5">
      <c r="A11" s="42" t="s">
        <v>73</v>
      </c>
      <c r="B11" s="43">
        <f>B10^2</f>
        <v>2.4061252799324637</v>
      </c>
      <c r="C11" s="44" t="s">
        <v>79</v>
      </c>
      <c r="D11" s="33"/>
    </row>
    <row r="12" spans="1:7" ht="16.5">
      <c r="A12" s="42" t="s">
        <v>75</v>
      </c>
      <c r="B12" s="43">
        <f>B6^2</f>
        <v>17.740438563600001</v>
      </c>
      <c r="C12" s="44" t="s">
        <v>80</v>
      </c>
      <c r="D12" s="33"/>
    </row>
    <row r="13" spans="1:7" ht="16.5">
      <c r="A13" s="42" t="s">
        <v>76</v>
      </c>
      <c r="B13" s="43">
        <f>1+B12*B5/24</f>
        <v>1.1377111669320548</v>
      </c>
      <c r="C13" s="45" t="s">
        <v>77</v>
      </c>
      <c r="D13" s="33">
        <f>1+B12*B5/24</f>
        <v>1.1377111669320548</v>
      </c>
    </row>
    <row r="14" spans="1:7" ht="16.5">
      <c r="A14" s="48" t="s">
        <v>96</v>
      </c>
      <c r="B14" s="80">
        <f>B6*(B2-B3)/(B10*B13)</f>
        <v>4.7017254249386298E-3</v>
      </c>
      <c r="C14" s="46" t="s">
        <v>81</v>
      </c>
      <c r="D14" s="80">
        <f>B6*SQRT(B2*B3)*(1+B11/24)/D13</f>
        <v>4.6886901328279055E-3</v>
      </c>
    </row>
    <row r="15" spans="1:7">
      <c r="D15" s="28" t="s">
        <v>86</v>
      </c>
    </row>
  </sheetData>
  <mergeCells count="1">
    <mergeCell ref="A1:B1"/>
  </mergeCells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zoomScaleNormal="100" workbookViewId="0"/>
  </sheetViews>
  <sheetFormatPr defaultColWidth="8.7265625" defaultRowHeight="16.5"/>
  <cols>
    <col min="1" max="1" width="24.26953125" style="95" bestFit="1" customWidth="1"/>
    <col min="2" max="2" width="11.1796875" style="95" bestFit="1" customWidth="1"/>
    <col min="3" max="3" width="26.90625" style="95" bestFit="1" customWidth="1"/>
    <col min="4" max="16384" width="8.7265625" style="95"/>
  </cols>
  <sheetData>
    <row r="1" spans="1:3">
      <c r="A1" s="95" t="s">
        <v>160</v>
      </c>
      <c r="B1" s="96">
        <v>10000000</v>
      </c>
      <c r="C1" s="117" t="s">
        <v>161</v>
      </c>
    </row>
    <row r="2" spans="1:3">
      <c r="A2" s="95" t="s">
        <v>162</v>
      </c>
      <c r="B2" s="97">
        <v>44796</v>
      </c>
      <c r="C2" s="98"/>
    </row>
    <row r="3" spans="1:3">
      <c r="A3" s="99" t="s">
        <v>163</v>
      </c>
      <c r="B3" s="100">
        <v>1.6956E-3</v>
      </c>
      <c r="C3" s="101" t="s">
        <v>164</v>
      </c>
    </row>
    <row r="4" spans="1:3">
      <c r="A4" s="95" t="s">
        <v>165</v>
      </c>
      <c r="B4" s="102">
        <v>0</v>
      </c>
      <c r="C4" s="103"/>
    </row>
    <row r="5" spans="1:3">
      <c r="A5" s="95" t="s">
        <v>166</v>
      </c>
      <c r="B5" s="97">
        <v>44978</v>
      </c>
      <c r="C5" s="101" t="s">
        <v>164</v>
      </c>
    </row>
    <row r="6" spans="1:3">
      <c r="A6" s="95" t="s">
        <v>167</v>
      </c>
      <c r="B6" s="115">
        <f>(B5-B2)/365</f>
        <v>0.49863013698630138</v>
      </c>
      <c r="C6" s="104" t="s">
        <v>168</v>
      </c>
    </row>
    <row r="7" spans="1:3">
      <c r="A7" s="105" t="s">
        <v>169</v>
      </c>
      <c r="B7" s="115">
        <v>0.99847699999999995</v>
      </c>
      <c r="C7" s="101" t="s">
        <v>164</v>
      </c>
    </row>
    <row r="8" spans="1:3">
      <c r="A8" s="95" t="s">
        <v>170</v>
      </c>
      <c r="B8" s="116">
        <v>1.627E-3</v>
      </c>
      <c r="C8" s="106"/>
    </row>
    <row r="9" spans="1:3">
      <c r="A9" s="107" t="s">
        <v>171</v>
      </c>
      <c r="B9" s="115">
        <f>B8*B6^0.5</f>
        <v>1.1488856757268806E-3</v>
      </c>
      <c r="C9" s="108" t="s">
        <v>172</v>
      </c>
    </row>
    <row r="10" spans="1:3">
      <c r="A10" s="109" t="s">
        <v>173</v>
      </c>
      <c r="B10" s="115">
        <f>(B3-B4)/B9</f>
        <v>1.4758648626437287</v>
      </c>
      <c r="C10" s="108" t="s">
        <v>174</v>
      </c>
    </row>
    <row r="11" spans="1:3">
      <c r="A11" s="109" t="s">
        <v>175</v>
      </c>
      <c r="B11" s="115">
        <f>NORMSDIST(-B10)</f>
        <v>6.9990086940523707E-2</v>
      </c>
      <c r="C11" s="106" t="s">
        <v>176</v>
      </c>
    </row>
    <row r="12" spans="1:3">
      <c r="A12" s="109" t="s">
        <v>177</v>
      </c>
      <c r="B12" s="115">
        <f>NORMDIST(B10,0,1,FALSE)</f>
        <v>0.13425328460004859</v>
      </c>
      <c r="C12" s="106" t="s">
        <v>178</v>
      </c>
    </row>
    <row r="13" spans="1:3">
      <c r="A13" s="109"/>
      <c r="B13" s="110"/>
      <c r="C13" s="106"/>
    </row>
    <row r="14" spans="1:3">
      <c r="A14" s="99" t="s">
        <v>179</v>
      </c>
      <c r="B14" s="91">
        <f>B9*(-B10*B11+B12)</f>
        <v>3.5566484179928035E-5</v>
      </c>
      <c r="C14" s="106" t="s">
        <v>180</v>
      </c>
    </row>
    <row r="15" spans="1:3">
      <c r="A15" s="99" t="s">
        <v>181</v>
      </c>
      <c r="B15" s="111">
        <v>180</v>
      </c>
      <c r="C15" s="101" t="s">
        <v>164</v>
      </c>
    </row>
    <row r="16" spans="1:3">
      <c r="A16" s="95" t="s">
        <v>182</v>
      </c>
      <c r="B16" s="112">
        <f>(B1*B15/365)*B7*B14</f>
        <v>175.12923168257427</v>
      </c>
      <c r="C16" s="113" t="s">
        <v>222</v>
      </c>
    </row>
    <row r="19" spans="1:3">
      <c r="A19" s="97"/>
    </row>
    <row r="20" spans="1:3">
      <c r="A20" s="97"/>
      <c r="C20" s="114"/>
    </row>
  </sheetData>
  <phoneticPr fontId="5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5.4</vt:lpstr>
      <vt:lpstr>5.7</vt:lpstr>
      <vt:lpstr>5.8</vt:lpstr>
      <vt:lpstr>5.9</vt:lpstr>
      <vt:lpstr>5.10</vt:lpstr>
      <vt:lpstr>5.12</vt:lpstr>
      <vt:lpstr>6.3</vt:lpstr>
      <vt:lpstr>6.4</vt:lpstr>
      <vt:lpstr>6.8</vt:lpstr>
      <vt:lpstr>6.11</vt:lpstr>
      <vt:lpstr>6.12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cp:lastPrinted>2014-07-25T05:57:19Z</cp:lastPrinted>
  <dcterms:created xsi:type="dcterms:W3CDTF">2008-08-13T03:15:15Z</dcterms:created>
  <dcterms:modified xsi:type="dcterms:W3CDTF">2023-12-22T20:06:53Z</dcterms:modified>
</cp:coreProperties>
</file>