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754B87DA-12A1-4889-99D2-6C2A366555CC}" xr6:coauthVersionLast="47" xr6:coauthVersionMax="47" xr10:uidLastSave="{00000000-0000-0000-0000-000000000000}"/>
  <bookViews>
    <workbookView xWindow="19260" yWindow="100" windowWidth="17870" windowHeight="20070" xr2:uid="{6261F06C-D557-46FE-A12C-85F75D4D4D2C}"/>
  </bookViews>
  <sheets>
    <sheet name="6.1" sheetId="18" r:id="rId1"/>
    <sheet name="6.2" sheetId="21" r:id="rId2"/>
    <sheet name="6.17" sheetId="22" r:id="rId3"/>
    <sheet name="5.7old" sheetId="19" r:id="rId4"/>
    <sheet name="5.8old" sheetId="20" r:id="rId5"/>
  </sheets>
  <externalReferences>
    <externalReference r:id="rId6"/>
    <externalReference r:id="rId7"/>
  </externalReferences>
  <definedNames>
    <definedName name="__123Graph_A" localSheetId="3" hidden="1">[1]DATE!#REF!</definedName>
    <definedName name="__123Graph_A" localSheetId="4" hidden="1">[1]DATE!#REF!</definedName>
    <definedName name="__123Graph_A" localSheetId="0" hidden="1">[1]DATE!#REF!</definedName>
    <definedName name="__123Graph_A" localSheetId="2" hidden="1">[1]DATE!#REF!</definedName>
    <definedName name="__123Graph_A" localSheetId="1" hidden="1">[1]DATE!#REF!</definedName>
    <definedName name="__123Graph_A" hidden="1">[1]DATE!#REF!</definedName>
    <definedName name="__123Graph_B" localSheetId="3" hidden="1">[1]DATE!#REF!</definedName>
    <definedName name="__123Graph_B" localSheetId="4" hidden="1">[1]DATE!#REF!</definedName>
    <definedName name="__123Graph_B" localSheetId="0" hidden="1">[1]DATE!#REF!</definedName>
    <definedName name="__123Graph_B" localSheetId="2" hidden="1">[1]DATE!#REF!</definedName>
    <definedName name="__123Graph_B" hidden="1">[1]DATE!#REF!</definedName>
    <definedName name="__123Graph_C" localSheetId="3" hidden="1">[1]DATE!#REF!</definedName>
    <definedName name="__123Graph_C" localSheetId="4" hidden="1">[1]DATE!#REF!</definedName>
    <definedName name="__123Graph_C" localSheetId="0" hidden="1">[1]DATE!#REF!</definedName>
    <definedName name="__123Graph_C" hidden="1">[1]DATE!#REF!</definedName>
    <definedName name="__123Graph_D" localSheetId="3" hidden="1">[1]DATE!#REF!</definedName>
    <definedName name="__123Graph_D" localSheetId="4" hidden="1">[1]DATE!#REF!</definedName>
    <definedName name="__123Graph_D" localSheetId="0" hidden="1">[1]DATE!#REF!</definedName>
    <definedName name="__123Graph_D" hidden="1">[1]DATE!#REF!</definedName>
    <definedName name="__123Graph_E" localSheetId="3" hidden="1">[1]DATE!#REF!</definedName>
    <definedName name="__123Graph_E" localSheetId="4" hidden="1">[1]DATE!#REF!</definedName>
    <definedName name="__123Graph_E" localSheetId="0" hidden="1">[1]DATE!#REF!</definedName>
    <definedName name="__123Graph_E" hidden="1">[1]DATE!#REF!</definedName>
    <definedName name="__123Graph_F" localSheetId="3" hidden="1">[1]DATE!#REF!</definedName>
    <definedName name="__123Graph_F" localSheetId="4" hidden="1">[1]DATE!#REF!</definedName>
    <definedName name="__123Graph_F" localSheetId="0" hidden="1">[1]DATE!#REF!</definedName>
    <definedName name="__123Graph_F" hidden="1">[1]DATE!#REF!</definedName>
    <definedName name="__123Graph_LBL_A" localSheetId="3" hidden="1">[1]DATE!#REF!</definedName>
    <definedName name="__123Graph_LBL_A" localSheetId="4" hidden="1">[1]DATE!#REF!</definedName>
    <definedName name="__123Graph_LBL_A" localSheetId="0" hidden="1">[1]DATE!#REF!</definedName>
    <definedName name="__123Graph_LBL_A" hidden="1">[1]DATE!#REF!</definedName>
    <definedName name="__123Graph_LBL_B" localSheetId="3" hidden="1">[1]DATE!#REF!</definedName>
    <definedName name="__123Graph_LBL_B" localSheetId="4" hidden="1">[1]DATE!#REF!</definedName>
    <definedName name="__123Graph_LBL_B" localSheetId="0" hidden="1">[1]DATE!#REF!</definedName>
    <definedName name="__123Graph_LBL_B" hidden="1">[1]DATE!#REF!</definedName>
    <definedName name="__123Graph_X" localSheetId="3" hidden="1">[1]DATE!#REF!</definedName>
    <definedName name="__123Graph_X" localSheetId="4" hidden="1">[1]DATE!#REF!</definedName>
    <definedName name="__123Graph_X" localSheetId="0" hidden="1">[1]DATE!#REF!</definedName>
    <definedName name="__123Graph_X" hidden="1">[1]DATE!#REF!</definedName>
    <definedName name="PartialBarrier" localSheetId="3">[2]!PartialBarrier</definedName>
    <definedName name="PartialBarrier" localSheetId="0">[2]!PartialBarrier</definedName>
    <definedName name="PartialBarrier" localSheetId="2">[2]!PartialBarrier</definedName>
    <definedName name="PartialBarrier">[2]!PartialBarrier</definedName>
    <definedName name="Ta" localSheetId="3">#REF!</definedName>
    <definedName name="Ta" localSheetId="4">#REF!</definedName>
    <definedName name="Ta" localSheetId="2">#REF!</definedName>
    <definedName name="Ta" localSheetId="1">#REF!</definedName>
    <definedName name="Ta">#REF!</definedName>
    <definedName name="Tb" localSheetId="3">#REF!</definedName>
    <definedName name="Tb" localSheetId="4">#REF!</definedName>
    <definedName name="Tb" localSheetId="2">#REF!</definedName>
    <definedName name="Tb" localSheetId="1">#REF!</definedName>
    <definedName name="Tb">#REF!</definedName>
    <definedName name="Tc" localSheetId="3">#REF!</definedName>
    <definedName name="Tc" localSheetId="4">#REF!</definedName>
    <definedName name="Tc" localSheetId="2">#REF!</definedName>
    <definedName name="Tc" localSheetId="1">#REF!</definedName>
    <definedName name="Tc">#REF!</definedName>
    <definedName name="Td" localSheetId="3">#REF!</definedName>
    <definedName name="Td" localSheetId="2">#REF!</definedName>
    <definedName name="Td">#REF!</definedName>
    <definedName name="Ti" localSheetId="3">#REF!</definedName>
    <definedName name="Ti" localSheetId="2">#REF!</definedName>
    <definedName name="Ti">#REF!</definedName>
    <definedName name="va" localSheetId="3">#REF!</definedName>
    <definedName name="va" localSheetId="2">#REF!</definedName>
    <definedName name="va">#REF!</definedName>
    <definedName name="vb" localSheetId="3">#REF!</definedName>
    <definedName name="vb" localSheetId="2">#REF!</definedName>
    <definedName name="vb">#REF!</definedName>
    <definedName name="vc" localSheetId="3">#REF!</definedName>
    <definedName name="vc" localSheetId="2">#REF!</definedName>
    <definedName name="vc">#REF!</definedName>
    <definedName name="vd" localSheetId="3">#REF!</definedName>
    <definedName name="vd" localSheetId="2">#REF!</definedName>
    <definedName name="vd">#REF!</definedName>
    <definedName name="ya" localSheetId="3">#REF!</definedName>
    <definedName name="ya" localSheetId="2">#REF!</definedName>
    <definedName name="ya">#REF!</definedName>
    <definedName name="yb" localSheetId="3">#REF!</definedName>
    <definedName name="yb" localSheetId="2">#REF!</definedName>
    <definedName name="yb">#REF!</definedName>
    <definedName name="yc" localSheetId="3">#REF!</definedName>
    <definedName name="yc" localSheetId="2">#REF!</definedName>
    <definedName name="yc">#REF!</definedName>
    <definedName name="yd" localSheetId="3">#REF!</definedName>
    <definedName name="yd" localSheetId="2">#REF!</definedName>
    <definedName name="y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2" l="1"/>
  <c r="F17" i="22" s="1"/>
  <c r="H19" i="22" s="1"/>
  <c r="H20" i="22" s="1"/>
  <c r="H6" i="22"/>
  <c r="H7" i="22" s="1"/>
  <c r="H5" i="22"/>
  <c r="H4" i="22"/>
  <c r="L19" i="22" s="1"/>
  <c r="N21" i="22" s="1"/>
  <c r="D4" i="22"/>
  <c r="H3" i="22"/>
  <c r="L15" i="22" s="1"/>
  <c r="H2" i="22"/>
  <c r="N17" i="22" l="1"/>
  <c r="P19" i="22" s="1"/>
  <c r="P20" i="22" s="1"/>
  <c r="N13" i="22"/>
  <c r="N22" i="22"/>
  <c r="P23" i="22"/>
  <c r="P24" i="22" s="1"/>
  <c r="D19" i="22"/>
  <c r="F21" i="22" s="1"/>
  <c r="H23" i="22" s="1"/>
  <c r="H24" i="22" s="1"/>
  <c r="F22" i="22" s="1"/>
  <c r="F13" i="22"/>
  <c r="P11" i="22" l="1"/>
  <c r="P12" i="22" s="1"/>
  <c r="P15" i="22"/>
  <c r="P16" i="22" s="1"/>
  <c r="N18" i="22" s="1"/>
  <c r="L20" i="22" s="1"/>
  <c r="H11" i="22"/>
  <c r="H12" i="22" s="1"/>
  <c r="H15" i="22"/>
  <c r="H16" i="22" s="1"/>
  <c r="F18" i="22" s="1"/>
  <c r="D20" i="22" s="1"/>
  <c r="F14" i="22" l="1"/>
  <c r="D16" i="22" s="1"/>
  <c r="B18" i="22" s="1"/>
  <c r="N14" i="22"/>
  <c r="L16" i="22" s="1"/>
  <c r="J18" i="22" s="1"/>
  <c r="D140" i="21" l="1"/>
  <c r="C140" i="21"/>
  <c r="D139" i="21"/>
  <c r="C139" i="21"/>
  <c r="D138" i="21"/>
  <c r="C138" i="21"/>
  <c r="D137" i="21"/>
  <c r="E135" i="21" s="1"/>
  <c r="F135" i="21" s="1"/>
  <c r="C137" i="21"/>
  <c r="E136" i="21"/>
  <c r="F136" i="21" s="1"/>
  <c r="D136" i="21"/>
  <c r="C136" i="21"/>
  <c r="D135" i="21"/>
  <c r="C135" i="21"/>
  <c r="E134" i="21"/>
  <c r="F134" i="21" s="1"/>
  <c r="D134" i="21"/>
  <c r="C134" i="21"/>
  <c r="E133" i="21"/>
  <c r="F133" i="21" s="1"/>
  <c r="D133" i="21"/>
  <c r="C133" i="21"/>
  <c r="E132" i="21"/>
  <c r="F132" i="21" s="1"/>
  <c r="D132" i="21"/>
  <c r="C132" i="21"/>
  <c r="E131" i="21"/>
  <c r="F131" i="21" s="1"/>
  <c r="D131" i="21"/>
  <c r="C131" i="21"/>
  <c r="E130" i="21"/>
  <c r="F130" i="21" s="1"/>
  <c r="D130" i="21"/>
  <c r="C130" i="21"/>
  <c r="E129" i="21"/>
  <c r="F129" i="21" s="1"/>
  <c r="D129" i="21"/>
  <c r="C129" i="21"/>
  <c r="E128" i="21"/>
  <c r="F128" i="21" s="1"/>
  <c r="D128" i="21"/>
  <c r="C128" i="21"/>
  <c r="F127" i="21"/>
  <c r="E127" i="21"/>
  <c r="D127" i="21"/>
  <c r="C127" i="21"/>
  <c r="E126" i="21"/>
  <c r="F126" i="21" s="1"/>
  <c r="D126" i="21"/>
  <c r="C126" i="21"/>
  <c r="E125" i="21"/>
  <c r="F125" i="21" s="1"/>
  <c r="D125" i="21"/>
  <c r="C125" i="21"/>
  <c r="F124" i="21"/>
  <c r="E124" i="21"/>
  <c r="D124" i="21"/>
  <c r="C124" i="21"/>
  <c r="E123" i="21"/>
  <c r="F123" i="21" s="1"/>
  <c r="D123" i="21"/>
  <c r="C123" i="21"/>
  <c r="E122" i="21"/>
  <c r="F122" i="21" s="1"/>
  <c r="D122" i="21"/>
  <c r="C122" i="21"/>
  <c r="F121" i="21"/>
  <c r="E121" i="21"/>
  <c r="D121" i="21"/>
  <c r="C121" i="21"/>
  <c r="E120" i="21"/>
  <c r="F120" i="21" s="1"/>
  <c r="D120" i="21"/>
  <c r="C120" i="21"/>
  <c r="E119" i="21"/>
  <c r="F119" i="21" s="1"/>
  <c r="D119" i="21"/>
  <c r="C119" i="21"/>
  <c r="F118" i="21"/>
  <c r="E118" i="21"/>
  <c r="D118" i="21"/>
  <c r="C118" i="21"/>
  <c r="E117" i="21"/>
  <c r="F117" i="21" s="1"/>
  <c r="D117" i="21"/>
  <c r="C117" i="21"/>
  <c r="E116" i="21"/>
  <c r="F116" i="21" s="1"/>
  <c r="D116" i="21"/>
  <c r="C116" i="21"/>
  <c r="F115" i="21"/>
  <c r="E115" i="21"/>
  <c r="D115" i="21"/>
  <c r="C115" i="21"/>
  <c r="E114" i="21"/>
  <c r="F114" i="21" s="1"/>
  <c r="D114" i="21"/>
  <c r="C114" i="21"/>
  <c r="E113" i="21"/>
  <c r="F113" i="21" s="1"/>
  <c r="D113" i="21"/>
  <c r="C113" i="21"/>
  <c r="F112" i="21"/>
  <c r="E112" i="21"/>
  <c r="D112" i="21"/>
  <c r="C112" i="21"/>
  <c r="E111" i="21"/>
  <c r="F111" i="21" s="1"/>
  <c r="D111" i="21"/>
  <c r="C111" i="21"/>
  <c r="E110" i="21"/>
  <c r="F110" i="21" s="1"/>
  <c r="D110" i="21"/>
  <c r="C110" i="21"/>
  <c r="F109" i="21"/>
  <c r="E109" i="21"/>
  <c r="D109" i="21"/>
  <c r="C109" i="21"/>
  <c r="E108" i="21"/>
  <c r="F108" i="21" s="1"/>
  <c r="D108" i="21"/>
  <c r="C108" i="21"/>
  <c r="E107" i="21"/>
  <c r="F107" i="21" s="1"/>
  <c r="D107" i="21"/>
  <c r="C107" i="21"/>
  <c r="F106" i="21"/>
  <c r="E106" i="21"/>
  <c r="D106" i="21"/>
  <c r="C106" i="21"/>
  <c r="E105" i="21"/>
  <c r="F105" i="21" s="1"/>
  <c r="D105" i="21"/>
  <c r="C105" i="21"/>
  <c r="E104" i="21"/>
  <c r="F104" i="21" s="1"/>
  <c r="D104" i="21"/>
  <c r="C104" i="21"/>
  <c r="F103" i="21"/>
  <c r="E103" i="21"/>
  <c r="D103" i="21"/>
  <c r="C103" i="21"/>
  <c r="E102" i="21"/>
  <c r="F102" i="21" s="1"/>
  <c r="D102" i="21"/>
  <c r="C102" i="21"/>
  <c r="E101" i="21"/>
  <c r="F101" i="21" s="1"/>
  <c r="D101" i="21"/>
  <c r="C101" i="21"/>
  <c r="F100" i="21"/>
  <c r="E100" i="21"/>
  <c r="D100" i="21"/>
  <c r="C100" i="21"/>
  <c r="E99" i="21"/>
  <c r="F99" i="21" s="1"/>
  <c r="D99" i="21"/>
  <c r="C99" i="21"/>
  <c r="E98" i="21"/>
  <c r="F98" i="21" s="1"/>
  <c r="D98" i="21"/>
  <c r="C98" i="21"/>
  <c r="F97" i="21"/>
  <c r="E97" i="21"/>
  <c r="D97" i="21"/>
  <c r="C97" i="21"/>
  <c r="E96" i="21"/>
  <c r="F96" i="21" s="1"/>
  <c r="D96" i="21"/>
  <c r="C96" i="21"/>
  <c r="E95" i="21"/>
  <c r="F95" i="21" s="1"/>
  <c r="D95" i="21"/>
  <c r="C95" i="21"/>
  <c r="F94" i="21"/>
  <c r="E94" i="21"/>
  <c r="D94" i="21"/>
  <c r="C94" i="21"/>
  <c r="E93" i="21"/>
  <c r="F93" i="21" s="1"/>
  <c r="D93" i="21"/>
  <c r="C93" i="21"/>
  <c r="E92" i="21"/>
  <c r="F92" i="21" s="1"/>
  <c r="D92" i="21"/>
  <c r="C92" i="21"/>
  <c r="F91" i="21"/>
  <c r="E91" i="21"/>
  <c r="D91" i="21"/>
  <c r="C91" i="21"/>
  <c r="E90" i="21"/>
  <c r="F90" i="21" s="1"/>
  <c r="D90" i="21"/>
  <c r="C90" i="21"/>
  <c r="E89" i="21"/>
  <c r="F89" i="21" s="1"/>
  <c r="D89" i="21"/>
  <c r="C89" i="21"/>
  <c r="F88" i="21"/>
  <c r="E88" i="21"/>
  <c r="D88" i="21"/>
  <c r="C88" i="21"/>
  <c r="E87" i="21"/>
  <c r="F87" i="21" s="1"/>
  <c r="D87" i="21"/>
  <c r="C87" i="21"/>
  <c r="E86" i="21"/>
  <c r="F86" i="21" s="1"/>
  <c r="D86" i="21"/>
  <c r="C86" i="21"/>
  <c r="F85" i="21"/>
  <c r="E85" i="21"/>
  <c r="D85" i="21"/>
  <c r="C85" i="21"/>
  <c r="E84" i="21"/>
  <c r="F84" i="21" s="1"/>
  <c r="D84" i="21"/>
  <c r="C84" i="21"/>
  <c r="E83" i="21"/>
  <c r="F83" i="21" s="1"/>
  <c r="D83" i="21"/>
  <c r="C83" i="21"/>
  <c r="F82" i="21"/>
  <c r="E82" i="21"/>
  <c r="D82" i="21"/>
  <c r="C82" i="21"/>
  <c r="E81" i="21"/>
  <c r="F81" i="21" s="1"/>
  <c r="D81" i="21"/>
  <c r="C81" i="21"/>
  <c r="E80" i="21"/>
  <c r="F80" i="21" s="1"/>
  <c r="D80" i="21"/>
  <c r="C80" i="21"/>
  <c r="F79" i="21"/>
  <c r="E79" i="21"/>
  <c r="D79" i="21"/>
  <c r="C79" i="21"/>
  <c r="E78" i="21"/>
  <c r="F78" i="21" s="1"/>
  <c r="D78" i="21"/>
  <c r="C78" i="21"/>
  <c r="E77" i="21"/>
  <c r="F77" i="21" s="1"/>
  <c r="D77" i="21"/>
  <c r="C77" i="21"/>
  <c r="F76" i="21"/>
  <c r="E76" i="21"/>
  <c r="D76" i="21"/>
  <c r="C76" i="21"/>
  <c r="E75" i="21"/>
  <c r="F75" i="21" s="1"/>
  <c r="D75" i="21"/>
  <c r="C75" i="21"/>
  <c r="E74" i="21"/>
  <c r="F74" i="21" s="1"/>
  <c r="D74" i="21"/>
  <c r="C74" i="21"/>
  <c r="F73" i="21"/>
  <c r="E73" i="21"/>
  <c r="D73" i="21"/>
  <c r="C73" i="21"/>
  <c r="E72" i="21"/>
  <c r="F72" i="21" s="1"/>
  <c r="D72" i="21"/>
  <c r="C72" i="21"/>
  <c r="E71" i="21"/>
  <c r="F71" i="21" s="1"/>
  <c r="D71" i="21"/>
  <c r="C71" i="21"/>
  <c r="F70" i="21"/>
  <c r="E70" i="21"/>
  <c r="D70" i="21"/>
  <c r="C70" i="21"/>
  <c r="E69" i="21"/>
  <c r="F69" i="21" s="1"/>
  <c r="D69" i="21"/>
  <c r="C69" i="21"/>
  <c r="E68" i="21"/>
  <c r="F68" i="21" s="1"/>
  <c r="D68" i="21"/>
  <c r="C68" i="21"/>
  <c r="F67" i="21"/>
  <c r="E67" i="21"/>
  <c r="D67" i="21"/>
  <c r="C67" i="21"/>
  <c r="E66" i="21"/>
  <c r="F66" i="21" s="1"/>
  <c r="D66" i="21"/>
  <c r="C66" i="21"/>
  <c r="E65" i="21"/>
  <c r="F65" i="21" s="1"/>
  <c r="D65" i="21"/>
  <c r="C65" i="21"/>
  <c r="F64" i="21"/>
  <c r="E64" i="21"/>
  <c r="D64" i="21"/>
  <c r="C64" i="21"/>
  <c r="E63" i="21"/>
  <c r="F63" i="21" s="1"/>
  <c r="D63" i="21"/>
  <c r="C63" i="21"/>
  <c r="E62" i="21"/>
  <c r="F62" i="21" s="1"/>
  <c r="D62" i="21"/>
  <c r="C62" i="21"/>
  <c r="F61" i="21"/>
  <c r="E61" i="21"/>
  <c r="D61" i="21"/>
  <c r="C61" i="21"/>
  <c r="E60" i="21"/>
  <c r="F60" i="21" s="1"/>
  <c r="D60" i="21"/>
  <c r="C60" i="21"/>
  <c r="E59" i="21"/>
  <c r="F59" i="21" s="1"/>
  <c r="D59" i="21"/>
  <c r="C59" i="21"/>
  <c r="F58" i="21"/>
  <c r="E58" i="21"/>
  <c r="D58" i="21"/>
  <c r="C58" i="21"/>
  <c r="E57" i="21"/>
  <c r="F57" i="21" s="1"/>
  <c r="D57" i="21"/>
  <c r="C57" i="21"/>
  <c r="E56" i="21"/>
  <c r="F56" i="21" s="1"/>
  <c r="D56" i="21"/>
  <c r="C56" i="21"/>
  <c r="F55" i="21"/>
  <c r="E55" i="21"/>
  <c r="D55" i="21"/>
  <c r="C55" i="21"/>
  <c r="E54" i="21"/>
  <c r="F54" i="21" s="1"/>
  <c r="D54" i="21"/>
  <c r="C54" i="21"/>
  <c r="E53" i="21"/>
  <c r="F53" i="21" s="1"/>
  <c r="D53" i="21"/>
  <c r="C53" i="21"/>
  <c r="F52" i="21"/>
  <c r="E52" i="21"/>
  <c r="D52" i="21"/>
  <c r="C52" i="21"/>
  <c r="E51" i="21"/>
  <c r="F51" i="21" s="1"/>
  <c r="D51" i="21"/>
  <c r="C51" i="21"/>
  <c r="E50" i="21"/>
  <c r="F50" i="21" s="1"/>
  <c r="D50" i="21"/>
  <c r="C50" i="21"/>
  <c r="F49" i="21"/>
  <c r="E49" i="21"/>
  <c r="D49" i="21"/>
  <c r="C49" i="21"/>
  <c r="E48" i="21"/>
  <c r="F48" i="21" s="1"/>
  <c r="D48" i="21"/>
  <c r="C48" i="21"/>
  <c r="E47" i="21"/>
  <c r="F47" i="21" s="1"/>
  <c r="D47" i="21"/>
  <c r="C47" i="21"/>
  <c r="F46" i="21"/>
  <c r="E46" i="21"/>
  <c r="D46" i="21"/>
  <c r="C46" i="21"/>
  <c r="E45" i="21"/>
  <c r="F45" i="21" s="1"/>
  <c r="D45" i="21"/>
  <c r="C45" i="21"/>
  <c r="E44" i="21"/>
  <c r="F44" i="21" s="1"/>
  <c r="D44" i="21"/>
  <c r="C44" i="21"/>
  <c r="F43" i="21"/>
  <c r="E43" i="21"/>
  <c r="D43" i="21"/>
  <c r="C43" i="21"/>
  <c r="E42" i="21"/>
  <c r="F42" i="21" s="1"/>
  <c r="D42" i="21"/>
  <c r="C42" i="21"/>
  <c r="E41" i="21"/>
  <c r="F41" i="21" s="1"/>
  <c r="D41" i="21"/>
  <c r="C41" i="21"/>
  <c r="F40" i="21"/>
  <c r="E40" i="21"/>
  <c r="D40" i="21"/>
  <c r="C40" i="21"/>
  <c r="E39" i="21"/>
  <c r="F39" i="21" s="1"/>
  <c r="D39" i="21"/>
  <c r="C39" i="21"/>
  <c r="E38" i="21"/>
  <c r="F38" i="21" s="1"/>
  <c r="D38" i="21"/>
  <c r="C38" i="21"/>
  <c r="F37" i="21"/>
  <c r="E37" i="21"/>
  <c r="D37" i="21"/>
  <c r="C37" i="21"/>
  <c r="E36" i="21"/>
  <c r="F36" i="21" s="1"/>
  <c r="D36" i="21"/>
  <c r="C36" i="21"/>
  <c r="E35" i="21"/>
  <c r="F35" i="21" s="1"/>
  <c r="D35" i="21"/>
  <c r="C35" i="21"/>
  <c r="F34" i="21"/>
  <c r="E34" i="21"/>
  <c r="D34" i="21"/>
  <c r="C34" i="21"/>
  <c r="E33" i="21"/>
  <c r="F33" i="21" s="1"/>
  <c r="D33" i="21"/>
  <c r="C33" i="21"/>
  <c r="E32" i="21"/>
  <c r="F32" i="21" s="1"/>
  <c r="D32" i="21"/>
  <c r="C32" i="21"/>
  <c r="F31" i="21"/>
  <c r="E31" i="21"/>
  <c r="D31" i="21"/>
  <c r="C31" i="21"/>
  <c r="E30" i="21"/>
  <c r="F30" i="21" s="1"/>
  <c r="D30" i="21"/>
  <c r="C30" i="21"/>
  <c r="E29" i="21"/>
  <c r="F29" i="21" s="1"/>
  <c r="D29" i="21"/>
  <c r="C29" i="21"/>
  <c r="F28" i="21"/>
  <c r="E28" i="21"/>
  <c r="D28" i="21"/>
  <c r="C28" i="21"/>
  <c r="E27" i="21"/>
  <c r="F27" i="21" s="1"/>
  <c r="D27" i="21"/>
  <c r="C27" i="21"/>
  <c r="E26" i="21"/>
  <c r="F26" i="21" s="1"/>
  <c r="D26" i="21"/>
  <c r="C26" i="21"/>
  <c r="F25" i="21"/>
  <c r="E25" i="21"/>
  <c r="D25" i="21"/>
  <c r="C25" i="21"/>
  <c r="E24" i="21"/>
  <c r="F24" i="21" s="1"/>
  <c r="D24" i="21"/>
  <c r="C24" i="21"/>
  <c r="E23" i="21"/>
  <c r="F23" i="21" s="1"/>
  <c r="D23" i="21"/>
  <c r="C23" i="21"/>
  <c r="F22" i="21"/>
  <c r="E22" i="21"/>
  <c r="D22" i="21"/>
  <c r="C22" i="21"/>
  <c r="E21" i="21"/>
  <c r="F21" i="21" s="1"/>
  <c r="D21" i="21"/>
  <c r="C21" i="21"/>
  <c r="E20" i="21"/>
  <c r="F20" i="21" s="1"/>
  <c r="D20" i="21"/>
  <c r="C20" i="21"/>
  <c r="F19" i="21"/>
  <c r="E19" i="21"/>
  <c r="D19" i="21"/>
  <c r="C19" i="21"/>
  <c r="E18" i="21"/>
  <c r="F18" i="21" s="1"/>
  <c r="D18" i="21"/>
  <c r="C18" i="21"/>
  <c r="E17" i="21"/>
  <c r="F17" i="21" s="1"/>
  <c r="D17" i="21"/>
  <c r="C17" i="21"/>
  <c r="F16" i="21"/>
  <c r="E16" i="21"/>
  <c r="D16" i="21"/>
  <c r="C16" i="21"/>
  <c r="E15" i="21"/>
  <c r="F15" i="21" s="1"/>
  <c r="D15" i="21"/>
  <c r="C15" i="21"/>
  <c r="E14" i="21"/>
  <c r="F14" i="21" s="1"/>
  <c r="D14" i="21"/>
  <c r="C14" i="21"/>
  <c r="F13" i="21"/>
  <c r="E13" i="21"/>
  <c r="D13" i="21"/>
  <c r="C13" i="21"/>
  <c r="E12" i="21"/>
  <c r="F12" i="21" s="1"/>
  <c r="D12" i="21"/>
  <c r="C12" i="21"/>
  <c r="E11" i="21"/>
  <c r="F11" i="21" s="1"/>
  <c r="D11" i="21"/>
  <c r="C11" i="21"/>
  <c r="F10" i="21"/>
  <c r="E10" i="21"/>
  <c r="D10" i="21"/>
  <c r="C10" i="21"/>
  <c r="E9" i="21"/>
  <c r="F9" i="21" s="1"/>
  <c r="D9" i="21"/>
  <c r="C9" i="21"/>
  <c r="E8" i="21"/>
  <c r="F8" i="21" s="1"/>
  <c r="D8" i="21"/>
  <c r="C8" i="21"/>
  <c r="F7" i="21"/>
  <c r="E7" i="21"/>
  <c r="D7" i="21"/>
  <c r="C7" i="21"/>
  <c r="E6" i="21"/>
  <c r="F6" i="21" s="1"/>
  <c r="D6" i="21"/>
  <c r="C6" i="21"/>
  <c r="E5" i="21"/>
  <c r="F5" i="21" s="1"/>
  <c r="D5" i="21"/>
  <c r="C5" i="21"/>
  <c r="F4" i="21"/>
  <c r="E4" i="21"/>
  <c r="D4" i="21"/>
  <c r="C4" i="21"/>
  <c r="E3" i="21"/>
  <c r="F3" i="21" s="1"/>
  <c r="D3" i="21"/>
  <c r="C3" i="21"/>
  <c r="E2" i="21"/>
  <c r="F2" i="21" s="1"/>
  <c r="D2" i="21"/>
  <c r="C2" i="21"/>
  <c r="E137" i="21" l="1"/>
  <c r="F137" i="21" s="1"/>
  <c r="B31" i="20" l="1"/>
  <c r="B30" i="20"/>
  <c r="B29" i="20"/>
  <c r="B28" i="20"/>
  <c r="B27" i="20"/>
  <c r="B26" i="20"/>
  <c r="B25" i="20"/>
  <c r="B24" i="20"/>
  <c r="B23" i="20"/>
  <c r="B22" i="20"/>
  <c r="U21" i="20"/>
  <c r="U31" i="20" s="1"/>
  <c r="T21" i="20"/>
  <c r="T31" i="20" s="1"/>
  <c r="S21" i="20"/>
  <c r="S31" i="20" s="1"/>
  <c r="R21" i="20"/>
  <c r="R31" i="20" s="1"/>
  <c r="Q21" i="20"/>
  <c r="Q31" i="20" s="1"/>
  <c r="P21" i="20"/>
  <c r="P31" i="20" s="1"/>
  <c r="O21" i="20"/>
  <c r="O31" i="20" s="1"/>
  <c r="N21" i="20"/>
  <c r="N31" i="20" s="1"/>
  <c r="B21" i="20"/>
  <c r="U20" i="20"/>
  <c r="U30" i="20" s="1"/>
  <c r="T20" i="20"/>
  <c r="T30" i="20" s="1"/>
  <c r="S20" i="20"/>
  <c r="S30" i="20" s="1"/>
  <c r="R20" i="20"/>
  <c r="R30" i="20" s="1"/>
  <c r="Q20" i="20"/>
  <c r="Q30" i="20" s="1"/>
  <c r="P20" i="20"/>
  <c r="P30" i="20" s="1"/>
  <c r="O20" i="20"/>
  <c r="O30" i="20" s="1"/>
  <c r="N20" i="20"/>
  <c r="N30" i="20" s="1"/>
  <c r="B20" i="20"/>
  <c r="U19" i="20"/>
  <c r="U29" i="20" s="1"/>
  <c r="T19" i="20"/>
  <c r="T29" i="20" s="1"/>
  <c r="S19" i="20"/>
  <c r="S29" i="20" s="1"/>
  <c r="R19" i="20"/>
  <c r="R29" i="20" s="1"/>
  <c r="Q19" i="20"/>
  <c r="Q29" i="20" s="1"/>
  <c r="P19" i="20"/>
  <c r="P29" i="20" s="1"/>
  <c r="O19" i="20"/>
  <c r="O29" i="20" s="1"/>
  <c r="N19" i="20"/>
  <c r="N29" i="20" s="1"/>
  <c r="B19" i="20"/>
  <c r="U18" i="20"/>
  <c r="U28" i="20" s="1"/>
  <c r="T18" i="20"/>
  <c r="T28" i="20" s="1"/>
  <c r="S18" i="20"/>
  <c r="S28" i="20" s="1"/>
  <c r="R18" i="20"/>
  <c r="R28" i="20" s="1"/>
  <c r="Q18" i="20"/>
  <c r="Q28" i="20" s="1"/>
  <c r="P18" i="20"/>
  <c r="P28" i="20" s="1"/>
  <c r="O18" i="20"/>
  <c r="O28" i="20" s="1"/>
  <c r="N18" i="20"/>
  <c r="N28" i="20" s="1"/>
  <c r="B18" i="20"/>
  <c r="U17" i="20"/>
  <c r="U27" i="20" s="1"/>
  <c r="T17" i="20"/>
  <c r="T27" i="20" s="1"/>
  <c r="S17" i="20"/>
  <c r="S27" i="20" s="1"/>
  <c r="R17" i="20"/>
  <c r="R27" i="20" s="1"/>
  <c r="Q17" i="20"/>
  <c r="Q27" i="20" s="1"/>
  <c r="P17" i="20"/>
  <c r="P27" i="20" s="1"/>
  <c r="O17" i="20"/>
  <c r="O27" i="20" s="1"/>
  <c r="N17" i="20"/>
  <c r="N27" i="20" s="1"/>
  <c r="B17" i="20"/>
  <c r="U16" i="20"/>
  <c r="U26" i="20" s="1"/>
  <c r="T16" i="20"/>
  <c r="T26" i="20" s="1"/>
  <c r="S16" i="20"/>
  <c r="S26" i="20" s="1"/>
  <c r="R16" i="20"/>
  <c r="R26" i="20" s="1"/>
  <c r="Q16" i="20"/>
  <c r="Q26" i="20" s="1"/>
  <c r="P16" i="20"/>
  <c r="P26" i="20" s="1"/>
  <c r="O16" i="20"/>
  <c r="O26" i="20" s="1"/>
  <c r="N16" i="20"/>
  <c r="N26" i="20" s="1"/>
  <c r="B16" i="20"/>
  <c r="U15" i="20"/>
  <c r="U25" i="20" s="1"/>
  <c r="T15" i="20"/>
  <c r="T25" i="20" s="1"/>
  <c r="S15" i="20"/>
  <c r="S25" i="20" s="1"/>
  <c r="R15" i="20"/>
  <c r="R25" i="20" s="1"/>
  <c r="Q15" i="20"/>
  <c r="Q25" i="20" s="1"/>
  <c r="P15" i="20"/>
  <c r="P25" i="20" s="1"/>
  <c r="O15" i="20"/>
  <c r="O25" i="20" s="1"/>
  <c r="N15" i="20"/>
  <c r="N25" i="20" s="1"/>
  <c r="B15" i="20"/>
  <c r="U14" i="20"/>
  <c r="U24" i="20" s="1"/>
  <c r="T14" i="20"/>
  <c r="T24" i="20" s="1"/>
  <c r="S14" i="20"/>
  <c r="S24" i="20" s="1"/>
  <c r="R14" i="20"/>
  <c r="R24" i="20" s="1"/>
  <c r="Q14" i="20"/>
  <c r="Q24" i="20" s="1"/>
  <c r="P14" i="20"/>
  <c r="P24" i="20" s="1"/>
  <c r="O14" i="20"/>
  <c r="O24" i="20" s="1"/>
  <c r="N14" i="20"/>
  <c r="N24" i="20" s="1"/>
  <c r="B14" i="20"/>
  <c r="U13" i="20"/>
  <c r="U23" i="20" s="1"/>
  <c r="T13" i="20"/>
  <c r="T23" i="20" s="1"/>
  <c r="S13" i="20"/>
  <c r="S23" i="20" s="1"/>
  <c r="R13" i="20"/>
  <c r="R23" i="20" s="1"/>
  <c r="Q13" i="20"/>
  <c r="Q23" i="20" s="1"/>
  <c r="P13" i="20"/>
  <c r="P23" i="20" s="1"/>
  <c r="O13" i="20"/>
  <c r="O23" i="20" s="1"/>
  <c r="N13" i="20"/>
  <c r="N23" i="20" s="1"/>
  <c r="B13" i="20"/>
  <c r="U12" i="20"/>
  <c r="U22" i="20" s="1"/>
  <c r="T12" i="20"/>
  <c r="T22" i="20" s="1"/>
  <c r="S12" i="20"/>
  <c r="S22" i="20" s="1"/>
  <c r="R12" i="20"/>
  <c r="R22" i="20" s="1"/>
  <c r="Q12" i="20"/>
  <c r="Q22" i="20" s="1"/>
  <c r="P12" i="20"/>
  <c r="P22" i="20" s="1"/>
  <c r="O12" i="20"/>
  <c r="O22" i="20" s="1"/>
  <c r="N12" i="20"/>
  <c r="N22" i="20" s="1"/>
  <c r="B12" i="20"/>
  <c r="H6" i="20"/>
  <c r="F6" i="20"/>
  <c r="E6" i="20"/>
  <c r="C6" i="20"/>
  <c r="B4" i="19"/>
  <c r="B5" i="19" s="1"/>
  <c r="C14" i="20" l="1"/>
  <c r="D14" i="20" s="1"/>
  <c r="E14" i="20" s="1"/>
  <c r="F14" i="20" s="1"/>
  <c r="G14" i="20" s="1"/>
  <c r="H14" i="20" s="1"/>
  <c r="I14" i="20" s="1"/>
  <c r="J14" i="20" s="1"/>
  <c r="K14" i="20" s="1"/>
  <c r="C18" i="20"/>
  <c r="D18" i="20" s="1"/>
  <c r="E18" i="20" s="1"/>
  <c r="F18" i="20" s="1"/>
  <c r="G18" i="20" s="1"/>
  <c r="H18" i="20" s="1"/>
  <c r="I18" i="20" s="1"/>
  <c r="J18" i="20" s="1"/>
  <c r="K18" i="20" s="1"/>
  <c r="C23" i="20"/>
  <c r="D23" i="20" s="1"/>
  <c r="E23" i="20" s="1"/>
  <c r="F23" i="20" s="1"/>
  <c r="G23" i="20" s="1"/>
  <c r="H23" i="20" s="1"/>
  <c r="I23" i="20" s="1"/>
  <c r="J23" i="20" s="1"/>
  <c r="K23" i="20" s="1"/>
  <c r="C13" i="20"/>
  <c r="D13" i="20" s="1"/>
  <c r="E13" i="20" s="1"/>
  <c r="F13" i="20" s="1"/>
  <c r="G13" i="20" s="1"/>
  <c r="H13" i="20" s="1"/>
  <c r="I13" i="20" s="1"/>
  <c r="J13" i="20" s="1"/>
  <c r="K13" i="20" s="1"/>
  <c r="C17" i="20"/>
  <c r="D17" i="20" s="1"/>
  <c r="E17" i="20" s="1"/>
  <c r="F17" i="20" s="1"/>
  <c r="G17" i="20" s="1"/>
  <c r="H17" i="20" s="1"/>
  <c r="I17" i="20" s="1"/>
  <c r="J17" i="20" s="1"/>
  <c r="K17" i="20" s="1"/>
  <c r="C21" i="20"/>
  <c r="D21" i="20" s="1"/>
  <c r="E21" i="20" s="1"/>
  <c r="F21" i="20" s="1"/>
  <c r="G21" i="20" s="1"/>
  <c r="H21" i="20" s="1"/>
  <c r="I21" i="20" s="1"/>
  <c r="J21" i="20" s="1"/>
  <c r="K21" i="20" s="1"/>
  <c r="C12" i="20"/>
  <c r="D12" i="20" s="1"/>
  <c r="E12" i="20" s="1"/>
  <c r="F12" i="20" s="1"/>
  <c r="G12" i="20" s="1"/>
  <c r="H12" i="20" s="1"/>
  <c r="I12" i="20" s="1"/>
  <c r="J12" i="20" s="1"/>
  <c r="K12" i="20" s="1"/>
  <c r="C16" i="20"/>
  <c r="D16" i="20" s="1"/>
  <c r="E16" i="20" s="1"/>
  <c r="F16" i="20" s="1"/>
  <c r="G16" i="20" s="1"/>
  <c r="H16" i="20" s="1"/>
  <c r="I16" i="20" s="1"/>
  <c r="J16" i="20" s="1"/>
  <c r="K16" i="20" s="1"/>
  <c r="C20" i="20"/>
  <c r="D20" i="20" s="1"/>
  <c r="E20" i="20" s="1"/>
  <c r="F20" i="20" s="1"/>
  <c r="G20" i="20" s="1"/>
  <c r="H20" i="20" s="1"/>
  <c r="I20" i="20" s="1"/>
  <c r="J20" i="20" s="1"/>
  <c r="K20" i="20" s="1"/>
  <c r="C27" i="20"/>
  <c r="D27" i="20" s="1"/>
  <c r="E27" i="20" s="1"/>
  <c r="F27" i="20" s="1"/>
  <c r="G27" i="20" s="1"/>
  <c r="H27" i="20" s="1"/>
  <c r="I27" i="20" s="1"/>
  <c r="J27" i="20" s="1"/>
  <c r="K27" i="20" s="1"/>
  <c r="C28" i="20"/>
  <c r="D28" i="20" s="1"/>
  <c r="E28" i="20" s="1"/>
  <c r="F28" i="20" s="1"/>
  <c r="G28" i="20" s="1"/>
  <c r="H28" i="20" s="1"/>
  <c r="I28" i="20" s="1"/>
  <c r="J28" i="20" s="1"/>
  <c r="K28" i="20" s="1"/>
  <c r="C29" i="20"/>
  <c r="D29" i="20" s="1"/>
  <c r="E29" i="20" s="1"/>
  <c r="F29" i="20" s="1"/>
  <c r="G29" i="20" s="1"/>
  <c r="H29" i="20" s="1"/>
  <c r="I29" i="20" s="1"/>
  <c r="J29" i="20" s="1"/>
  <c r="K29" i="20" s="1"/>
  <c r="C15" i="20"/>
  <c r="D15" i="20" s="1"/>
  <c r="E15" i="20" s="1"/>
  <c r="F15" i="20" s="1"/>
  <c r="G15" i="20" s="1"/>
  <c r="H15" i="20" s="1"/>
  <c r="I15" i="20" s="1"/>
  <c r="J15" i="20" s="1"/>
  <c r="K15" i="20" s="1"/>
  <c r="C19" i="20"/>
  <c r="D19" i="20" s="1"/>
  <c r="E19" i="20" s="1"/>
  <c r="F19" i="20" s="1"/>
  <c r="G19" i="20" s="1"/>
  <c r="H19" i="20" s="1"/>
  <c r="I19" i="20" s="1"/>
  <c r="J19" i="20" s="1"/>
  <c r="K19" i="20" s="1"/>
  <c r="C31" i="20"/>
  <c r="D31" i="20" s="1"/>
  <c r="E31" i="20" s="1"/>
  <c r="F31" i="20" s="1"/>
  <c r="G31" i="20" s="1"/>
  <c r="H31" i="20" s="1"/>
  <c r="I31" i="20" s="1"/>
  <c r="J31" i="20" s="1"/>
  <c r="K31" i="20" s="1"/>
  <c r="C30" i="20"/>
  <c r="D30" i="20" s="1"/>
  <c r="E30" i="20" s="1"/>
  <c r="F30" i="20" s="1"/>
  <c r="G30" i="20" s="1"/>
  <c r="H30" i="20" s="1"/>
  <c r="I30" i="20" s="1"/>
  <c r="J30" i="20" s="1"/>
  <c r="K30" i="20" s="1"/>
  <c r="C22" i="20"/>
  <c r="D22" i="20" s="1"/>
  <c r="E22" i="20" s="1"/>
  <c r="F22" i="20" s="1"/>
  <c r="G22" i="20" s="1"/>
  <c r="H22" i="20" s="1"/>
  <c r="I22" i="20" s="1"/>
  <c r="J22" i="20" s="1"/>
  <c r="K22" i="20" s="1"/>
  <c r="C24" i="20"/>
  <c r="D24" i="20" s="1"/>
  <c r="E24" i="20" s="1"/>
  <c r="F24" i="20" s="1"/>
  <c r="G24" i="20" s="1"/>
  <c r="H24" i="20" s="1"/>
  <c r="I24" i="20" s="1"/>
  <c r="J24" i="20" s="1"/>
  <c r="K24" i="20" s="1"/>
  <c r="C25" i="20"/>
  <c r="D25" i="20" s="1"/>
  <c r="E25" i="20" s="1"/>
  <c r="F25" i="20" s="1"/>
  <c r="G25" i="20" s="1"/>
  <c r="H25" i="20" s="1"/>
  <c r="I25" i="20" s="1"/>
  <c r="J25" i="20" s="1"/>
  <c r="K25" i="20" s="1"/>
  <c r="C26" i="20"/>
  <c r="D26" i="20" s="1"/>
  <c r="E26" i="20" s="1"/>
  <c r="F26" i="20" s="1"/>
  <c r="G26" i="20" s="1"/>
  <c r="H26" i="20" s="1"/>
  <c r="I26" i="20" s="1"/>
  <c r="J26" i="20" s="1"/>
  <c r="K26" i="20" s="1"/>
  <c r="B9" i="19"/>
  <c r="B7" i="19"/>
  <c r="K10" i="20" l="1"/>
  <c r="B11" i="19"/>
  <c r="B13" i="19" s="1"/>
  <c r="B10" i="19"/>
  <c r="B12" i="19" s="1"/>
  <c r="B10" i="18" l="1"/>
  <c r="B11" i="18" s="1"/>
  <c r="B5" i="18"/>
  <c r="B12" i="18" l="1"/>
  <c r="B13" i="18"/>
  <c r="B16" i="18" s="1"/>
  <c r="B15" i="18" l="1"/>
  <c r="B18" i="18"/>
  <c r="F25" i="18" s="1"/>
  <c r="B17" i="18" l="1"/>
  <c r="B20" i="18" s="1"/>
  <c r="B21" i="18" s="1"/>
  <c r="B19" i="18"/>
  <c r="F23" i="18" s="1"/>
  <c r="F24" i="18" l="1"/>
  <c r="B22" i="18"/>
  <c r="B24" i="18"/>
  <c r="B23" i="18"/>
  <c r="B25" i="18" l="1"/>
</calcChain>
</file>

<file path=xl/sharedStrings.xml><?xml version="1.0" encoding="utf-8"?>
<sst xmlns="http://schemas.openxmlformats.org/spreadsheetml/2006/main" count="181" uniqueCount="152">
  <si>
    <t>X : 行使価格</t>
    <rPh sb="4" eb="6">
      <t>コウシ</t>
    </rPh>
    <rPh sb="6" eb="8">
      <t>カカク</t>
    </rPh>
    <phoneticPr fontId="5"/>
  </si>
  <si>
    <t>連続複利</t>
    <rPh sb="0" eb="2">
      <t>レンゾク</t>
    </rPh>
    <rPh sb="2" eb="4">
      <t>フクリ</t>
    </rPh>
    <phoneticPr fontId="5"/>
  </si>
  <si>
    <t>σ: ボラティリティー</t>
    <phoneticPr fontId="5"/>
  </si>
  <si>
    <t xml:space="preserve"> </t>
    <phoneticPr fontId="5"/>
  </si>
  <si>
    <t>取引日</t>
    <rPh sb="0" eb="3">
      <t>トリヒキビ</t>
    </rPh>
    <phoneticPr fontId="5"/>
  </si>
  <si>
    <t>満期日</t>
    <rPh sb="0" eb="3">
      <t>マンキビ</t>
    </rPh>
    <phoneticPr fontId="5"/>
  </si>
  <si>
    <t>満期日数</t>
    <rPh sb="0" eb="3">
      <t>マンキビ</t>
    </rPh>
    <rPh sb="3" eb="4">
      <t>スウ</t>
    </rPh>
    <phoneticPr fontId="5"/>
  </si>
  <si>
    <t>(基本的計算項目)</t>
    <rPh sb="1" eb="4">
      <t>キホンテキ</t>
    </rPh>
    <rPh sb="4" eb="6">
      <t>ケイサン</t>
    </rPh>
    <rPh sb="6" eb="8">
      <t>コウモク</t>
    </rPh>
    <phoneticPr fontId="3"/>
  </si>
  <si>
    <t>(オプション計算項目)</t>
    <rPh sb="6" eb="8">
      <t>ケイサン</t>
    </rPh>
    <rPh sb="8" eb="10">
      <t>コウモク</t>
    </rPh>
    <phoneticPr fontId="3"/>
  </si>
  <si>
    <t>T : オプション満期年数</t>
    <rPh sb="9" eb="11">
      <t>マンキ</t>
    </rPh>
    <rPh sb="11" eb="12">
      <t>ネン</t>
    </rPh>
    <rPh sb="12" eb="13">
      <t>スウ</t>
    </rPh>
    <phoneticPr fontId="5"/>
  </si>
  <si>
    <t>Ｆ: 先物価格</t>
    <rPh sb="3" eb="5">
      <t>サキモノ</t>
    </rPh>
    <rPh sb="5" eb="7">
      <t>カカク</t>
    </rPh>
    <phoneticPr fontId="5"/>
  </si>
  <si>
    <t>=B4-B3</t>
    <phoneticPr fontId="3"/>
  </si>
  <si>
    <t>(B列 数式/コメント)</t>
    <rPh sb="2" eb="3">
      <t>レツ</t>
    </rPh>
    <rPh sb="4" eb="6">
      <t>スウシキ</t>
    </rPh>
    <phoneticPr fontId="3"/>
  </si>
  <si>
    <t>=B10/365</t>
    <phoneticPr fontId="5"/>
  </si>
  <si>
    <t>=EXP(-B8*B11)</t>
    <phoneticPr fontId="3"/>
  </si>
  <si>
    <t>=107-6 3/4</t>
    <phoneticPr fontId="3"/>
  </si>
  <si>
    <t>σ√T</t>
    <phoneticPr fontId="5"/>
  </si>
  <si>
    <t>=B7*B11^0.5</t>
    <phoneticPr fontId="3"/>
  </si>
  <si>
    <t>債券先物 (Blackモデル)</t>
    <rPh sb="0" eb="2">
      <t>サイケン</t>
    </rPh>
    <rPh sb="2" eb="4">
      <t>サキモノ</t>
    </rPh>
    <phoneticPr fontId="5"/>
  </si>
  <si>
    <r>
      <t>D</t>
    </r>
    <r>
      <rPr>
        <sz val="8"/>
        <rFont val="Arial Unicode MS"/>
        <family val="3"/>
        <charset val="128"/>
      </rPr>
      <t>T</t>
    </r>
    <r>
      <rPr>
        <sz val="11"/>
        <rFont val="Arial Unicode MS"/>
        <family val="3"/>
        <charset val="128"/>
      </rPr>
      <t xml:space="preserve"> : ディスカウント</t>
    </r>
    <phoneticPr fontId="5"/>
  </si>
  <si>
    <t>デルタ</t>
    <phoneticPr fontId="3"/>
  </si>
  <si>
    <t>ガンマ</t>
    <phoneticPr fontId="3"/>
  </si>
  <si>
    <t>ベガ</t>
    <phoneticPr fontId="3"/>
  </si>
  <si>
    <t>セータ</t>
    <phoneticPr fontId="3"/>
  </si>
  <si>
    <t>=NORMDIST(B15,0,1,1)</t>
    <phoneticPr fontId="3"/>
  </si>
  <si>
    <t>=NORMDIST(B16,0,1,1)</t>
    <phoneticPr fontId="3"/>
  </si>
  <si>
    <t>=NORMDIST(B15,0,1,0)</t>
    <phoneticPr fontId="3"/>
  </si>
  <si>
    <t>=B12*B19/(B5*B13)</t>
    <phoneticPr fontId="3"/>
  </si>
  <si>
    <t>=B5*B19*B7/(2*B11^0.5)</t>
    <phoneticPr fontId="3"/>
  </si>
  <si>
    <t>=B12*B5*B11^0.5*B19</t>
    <phoneticPr fontId="3"/>
  </si>
  <si>
    <t>d1*pc</t>
    <phoneticPr fontId="5"/>
  </si>
  <si>
    <t>d2*pc</t>
    <phoneticPr fontId="5"/>
  </si>
  <si>
    <t>N(d1*pc)</t>
    <phoneticPr fontId="5"/>
  </si>
  <si>
    <t>N(d2*pc)</t>
    <phoneticPr fontId="3"/>
  </si>
  <si>
    <t>n(d1*pc)</t>
    <phoneticPr fontId="3"/>
  </si>
  <si>
    <t>=B2*(LN(B5/B6)/B13+B13/2)</t>
    <phoneticPr fontId="3"/>
  </si>
  <si>
    <t>=B2*(LN(B5/B6)/B13-B13/2)</t>
    <phoneticPr fontId="3"/>
  </si>
  <si>
    <t>=B2*B12*B17</t>
    <phoneticPr fontId="3"/>
  </si>
  <si>
    <t>=B2*-B8*B5*B17</t>
    <phoneticPr fontId="3"/>
  </si>
  <si>
    <t>=B2*B8*B6*B18</t>
    <phoneticPr fontId="3"/>
  </si>
  <si>
    <t>pc: コール=1, プット= -1</t>
    <phoneticPr fontId="3"/>
  </si>
  <si>
    <t>ブラックコア</t>
    <phoneticPr fontId="3"/>
  </si>
  <si>
    <t>=B2*(B5*B17-B6*B18)</t>
    <phoneticPr fontId="3"/>
  </si>
  <si>
    <t>オプション NPV</t>
    <phoneticPr fontId="5"/>
  </si>
  <si>
    <t>=B12*B20</t>
    <phoneticPr fontId="3"/>
  </si>
  <si>
    <t>セータ第1項</t>
    <rPh sb="3" eb="4">
      <t>ダイ</t>
    </rPh>
    <rPh sb="5" eb="6">
      <t>コウ</t>
    </rPh>
    <phoneticPr fontId="3"/>
  </si>
  <si>
    <t>セータ第2項</t>
    <rPh sb="3" eb="4">
      <t>ダイ</t>
    </rPh>
    <rPh sb="5" eb="6">
      <t>コウ</t>
    </rPh>
    <phoneticPr fontId="3"/>
  </si>
  <si>
    <t>セータ第3項</t>
    <rPh sb="3" eb="4">
      <t>ダイ</t>
    </rPh>
    <rPh sb="5" eb="6">
      <t>コウ</t>
    </rPh>
    <phoneticPr fontId="3"/>
  </si>
  <si>
    <t>=-B12*SUM(F23:F25)/365</t>
    <phoneticPr fontId="3"/>
  </si>
  <si>
    <t>r : リスクフリーレート</t>
    <phoneticPr fontId="5"/>
  </si>
  <si>
    <t>(注)Bloomberg価格は36.5/64へrounded(取引所のルールと思われる)</t>
    <rPh sb="1" eb="2">
      <t>チュウ</t>
    </rPh>
    <rPh sb="12" eb="14">
      <t>カカク</t>
    </rPh>
    <rPh sb="31" eb="34">
      <t>トリヒキジョ</t>
    </rPh>
    <rPh sb="39" eb="40">
      <t>オモ</t>
    </rPh>
    <phoneticPr fontId="3"/>
  </si>
  <si>
    <t>モンテカルロシミュレーションの
解析解 BS価格式</t>
  </si>
  <si>
    <t>（Ｂ列の数式等）</t>
    <phoneticPr fontId="5"/>
  </si>
  <si>
    <t>S : 現物価格</t>
  </si>
  <si>
    <t xml:space="preserve">    満期日数</t>
    <rPh sb="4" eb="6">
      <t>マンキ</t>
    </rPh>
    <rPh sb="6" eb="8">
      <t>ニッスウ</t>
    </rPh>
    <phoneticPr fontId="5"/>
  </si>
  <si>
    <t xml:space="preserve"> 8週間</t>
    <rPh sb="2" eb="4">
      <t>シュウカン</t>
    </rPh>
    <phoneticPr fontId="5"/>
  </si>
  <si>
    <t>T : オプション満期年</t>
    <rPh sb="9" eb="11">
      <t>マンキ</t>
    </rPh>
    <rPh sb="11" eb="12">
      <t>ネン</t>
    </rPh>
    <phoneticPr fontId="5"/>
  </si>
  <si>
    <t>=B4/365</t>
    <phoneticPr fontId="5"/>
  </si>
  <si>
    <t xml:space="preserve"> r : リスクフリーレート</t>
    <phoneticPr fontId="5"/>
  </si>
  <si>
    <t>D : ディスカウント</t>
    <phoneticPr fontId="5"/>
  </si>
  <si>
    <t>=EXP(-B6*B5)</t>
    <phoneticPr fontId="5"/>
  </si>
  <si>
    <t>d1</t>
    <phoneticPr fontId="5"/>
  </si>
  <si>
    <t>d2</t>
    <phoneticPr fontId="5"/>
  </si>
  <si>
    <t>N(d1)</t>
    <phoneticPr fontId="5"/>
  </si>
  <si>
    <t>=NORMSDIST(B9)</t>
    <phoneticPr fontId="5"/>
  </si>
  <si>
    <t>N(d2)</t>
  </si>
  <si>
    <t>=NORMSDIST(B10)</t>
    <phoneticPr fontId="5"/>
  </si>
  <si>
    <t>ヨーロピアン(BS式)</t>
  </si>
  <si>
    <t>=B2*B11-B7*B3*B12</t>
  </si>
  <si>
    <t>BSモデル モンテカルロ シミュレーション例</t>
    <phoneticPr fontId="5"/>
  </si>
  <si>
    <t>パラメータ: dt=1/52</t>
    <phoneticPr fontId="5"/>
  </si>
  <si>
    <r>
      <t>(r- .5σ</t>
    </r>
    <r>
      <rPr>
        <vertAlign val="superscript"/>
        <sz val="11"/>
        <color theme="1"/>
        <rFont val="Arial Unicode MS"/>
        <family val="3"/>
        <charset val="128"/>
      </rPr>
      <t>2</t>
    </r>
    <r>
      <rPr>
        <sz val="11"/>
        <color theme="1"/>
        <rFont val="Arial Unicode MS"/>
        <family val="3"/>
        <charset val="128"/>
      </rPr>
      <t>)</t>
    </r>
    <phoneticPr fontId="5"/>
  </si>
  <si>
    <t>So</t>
  </si>
  <si>
    <t>K</t>
  </si>
  <si>
    <t xml:space="preserve">r </t>
  </si>
  <si>
    <t>σ</t>
  </si>
  <si>
    <r>
      <rPr>
        <sz val="9"/>
        <color theme="1"/>
        <rFont val="Arial Unicode MS"/>
        <family val="3"/>
        <charset val="128"/>
      </rPr>
      <t>x</t>
    </r>
    <r>
      <rPr>
        <sz val="11"/>
        <color theme="1"/>
        <rFont val="Arial Unicode MS"/>
        <family val="3"/>
        <charset val="128"/>
      </rPr>
      <t xml:space="preserve"> dt</t>
    </r>
    <phoneticPr fontId="5"/>
  </si>
  <si>
    <t>σ√ dt</t>
    <phoneticPr fontId="5"/>
  </si>
  <si>
    <t>DF</t>
    <phoneticPr fontId="5"/>
  </si>
  <si>
    <t>H6=EXP(-C6*8/52)</t>
    <phoneticPr fontId="5"/>
  </si>
  <si>
    <t xml:space="preserve">E6=(C6-0.5*D6^2)*(1/52),   </t>
    <phoneticPr fontId="5"/>
  </si>
  <si>
    <t>F6=D6*(1/52)^0.5</t>
    <phoneticPr fontId="5"/>
  </si>
  <si>
    <t>8週後</t>
  </si>
  <si>
    <t>Call価格</t>
  </si>
  <si>
    <t xml:space="preserve">Week -&gt; </t>
  </si>
  <si>
    <t>株価S</t>
  </si>
  <si>
    <t>K10=AVERAGE(K12:K31)*H6</t>
    <phoneticPr fontId="5"/>
  </si>
  <si>
    <t>Scenario</t>
  </si>
  <si>
    <t>max(S-K)</t>
  </si>
  <si>
    <t xml:space="preserve">正規乱数: =NORMSINV( RAND() ) </t>
    <phoneticPr fontId="5"/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</si>
  <si>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</si>
  <si>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</si>
  <si>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</si>
  <si>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</si>
  <si>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</si>
  <si>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</si>
  <si>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</si>
  <si>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</si>
  <si>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</si>
  <si>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</si>
  <si>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</si>
  <si>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</si>
  <si>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</si>
  <si>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</si>
  <si>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</si>
  <si>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</si>
  <si>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</si>
  <si>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</si>
  <si>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</si>
  <si>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</si>
  <si>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tradeDT</t>
    <phoneticPr fontId="24"/>
  </si>
  <si>
    <t>lastPRC</t>
    <phoneticPr fontId="24"/>
  </si>
  <si>
    <t>smpRTN</t>
    <phoneticPr fontId="24"/>
  </si>
  <si>
    <t>logRTN</t>
    <phoneticPr fontId="3"/>
  </si>
  <si>
    <t>StDev5ds</t>
    <phoneticPr fontId="3"/>
  </si>
  <si>
    <t>HistVol5ds</t>
    <phoneticPr fontId="3"/>
  </si>
  <si>
    <t>2項ツリー条件</t>
    <rPh sb="1" eb="2">
      <t>コウ</t>
    </rPh>
    <rPh sb="5" eb="7">
      <t>ジョウケン</t>
    </rPh>
    <phoneticPr fontId="26"/>
  </si>
  <si>
    <t>( H列 数式  )</t>
    <rPh sb="3" eb="4">
      <t>レツ</t>
    </rPh>
    <rPh sb="5" eb="7">
      <t>スウシキ</t>
    </rPh>
    <phoneticPr fontId="1"/>
  </si>
  <si>
    <t>満期年</t>
    <rPh sb="0" eb="2">
      <t>マンキ</t>
    </rPh>
    <rPh sb="2" eb="3">
      <t>ネン</t>
    </rPh>
    <phoneticPr fontId="1"/>
  </si>
  <si>
    <t>ﾌｫﾜｰﾄﾞ倍率</t>
    <rPh sb="6" eb="8">
      <t>バイリツ</t>
    </rPh>
    <phoneticPr fontId="1"/>
  </si>
  <si>
    <t>=EXP(D7*D4)</t>
    <phoneticPr fontId="1"/>
  </si>
  <si>
    <t>ｽﾃｯﾌﾟ数</t>
    <rPh sb="5" eb="6">
      <t>スウ</t>
    </rPh>
    <phoneticPr fontId="1"/>
  </si>
  <si>
    <t>上昇率</t>
    <rPh sb="0" eb="2">
      <t>ジョウショウ</t>
    </rPh>
    <rPh sb="2" eb="3">
      <t>リツ</t>
    </rPh>
    <phoneticPr fontId="1"/>
  </si>
  <si>
    <t>=EXP(D6*sqrt(D4))</t>
  </si>
  <si>
    <t>dt</t>
    <phoneticPr fontId="26"/>
  </si>
  <si>
    <t>下落率</t>
    <rPh sb="0" eb="2">
      <t>ゲラク</t>
    </rPh>
    <rPh sb="2" eb="3">
      <t>リツ</t>
    </rPh>
    <phoneticPr fontId="1"/>
  </si>
  <si>
    <t>=1/H3</t>
    <phoneticPr fontId="1"/>
  </si>
  <si>
    <t>行使価格</t>
    <rPh sb="0" eb="4">
      <t>コウシカカク</t>
    </rPh>
    <phoneticPr fontId="26"/>
  </si>
  <si>
    <t>σ^2 /2</t>
    <phoneticPr fontId="26"/>
  </si>
  <si>
    <t>=D6^2*0.5</t>
    <phoneticPr fontId="26"/>
  </si>
  <si>
    <t>ﾎﾞﾗﾃｨﾘﾃｨσ</t>
    <phoneticPr fontId="26"/>
  </si>
  <si>
    <t>上昇確率</t>
    <rPh sb="0" eb="2">
      <t>ジョウショウ</t>
    </rPh>
    <rPh sb="2" eb="4">
      <t>カクリツ</t>
    </rPh>
    <phoneticPr fontId="1"/>
  </si>
  <si>
    <t>=0.5+((D7-H5)/(2*D6))*SQRT(D4)</t>
    <phoneticPr fontId="26"/>
  </si>
  <si>
    <t>ﾘｽｸﾌﾘｰﾚｰﾄ r</t>
    <phoneticPr fontId="26"/>
  </si>
  <si>
    <t>下落確率</t>
    <rPh sb="0" eb="2">
      <t>ゲラク</t>
    </rPh>
    <rPh sb="2" eb="4">
      <t>カクリツ</t>
    </rPh>
    <phoneticPr fontId="1"/>
  </si>
  <si>
    <t>=1-L2</t>
    <phoneticPr fontId="1"/>
  </si>
  <si>
    <t>ヨーロピアン プット</t>
    <phoneticPr fontId="1"/>
  </si>
  <si>
    <t>アメリカン プット</t>
    <phoneticPr fontId="1"/>
  </si>
  <si>
    <t>(上段株価)</t>
    <rPh sb="1" eb="3">
      <t>ジョウダン</t>
    </rPh>
    <rPh sb="3" eb="5">
      <t>カブカ</t>
    </rPh>
    <phoneticPr fontId="1"/>
  </si>
  <si>
    <t>=F13*H3</t>
    <phoneticPr fontId="1"/>
  </si>
  <si>
    <t>(下段ﾌﾟｯﾄ)</t>
    <rPh sb="1" eb="3">
      <t>ゲダン</t>
    </rPh>
    <phoneticPr fontId="1"/>
  </si>
  <si>
    <t>=MAX(D5-H11,0)</t>
  </si>
  <si>
    <t>=F13*H4</t>
    <phoneticPr fontId="1"/>
  </si>
  <si>
    <t>=MAX(D5-H15,0)</t>
  </si>
  <si>
    <t>=F17*H4</t>
    <phoneticPr fontId="1"/>
  </si>
  <si>
    <t>=MAX(D5-H19,0)</t>
  </si>
  <si>
    <t>=F21*H4</t>
    <phoneticPr fontId="1"/>
  </si>
  <si>
    <t>=MAX(D5-H23,0)</t>
  </si>
  <si>
    <t>現時点</t>
    <rPh sb="0" eb="3">
      <t>ゲンジテン</t>
    </rPh>
    <phoneticPr fontId="1"/>
  </si>
  <si>
    <t>0.33年</t>
    <rPh sb="4" eb="5">
      <t>ネン</t>
    </rPh>
    <phoneticPr fontId="1"/>
  </si>
  <si>
    <t>0.67年</t>
    <rPh sb="4" eb="5">
      <t>ネン</t>
    </rPh>
    <phoneticPr fontId="1"/>
  </si>
  <si>
    <t>満期</t>
    <rPh sb="0" eb="2">
      <t>マンキ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</si>
</sst>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76" formatCode="#,##0.00000;[Red]\-#,##0.00000"/>
    <numFmt numFmtId="177" formatCode="0.0000%"/>
    <numFmt numFmtId="178" formatCode="#,##0.0000"/>
    <numFmt numFmtId="179" formatCode="0.0000"/>
    <numFmt numFmtId="180" formatCode="0.0000_ "/>
    <numFmt numFmtId="181" formatCode="#,##0.000;[Red]\-#,##0.000"/>
    <numFmt numFmtId="182" formatCode="#,##0.000000;[Red]\-#,##0.000000"/>
    <numFmt numFmtId="183" formatCode="#,##0.0000;[Red]\-#,##0.0000"/>
    <numFmt numFmtId="184" formatCode="0.000%"/>
    <numFmt numFmtId="185" formatCode="0.0"/>
    <numFmt numFmtId="186" formatCode="yyyy/mm/dd"/>
    <numFmt numFmtId="187" formatCode="0.0000000"/>
    <numFmt numFmtId="188" formatCode="0.0%"/>
    <numFmt numFmtId="189" formatCode="0.00_ "/>
    <numFmt numFmtId="190" formatCode="0.000_ "/>
  </numFmts>
  <fonts count="28">
    <font>
      <sz val="11"/>
      <color theme="1"/>
      <name val="Arial Unicode MS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Arial Unicode MS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Arial Unicode MS"/>
      <family val="2"/>
      <charset val="128"/>
    </font>
    <font>
      <sz val="11"/>
      <color theme="1"/>
      <name val="游ゴシック"/>
      <family val="2"/>
      <scheme val="minor"/>
    </font>
    <font>
      <sz val="11"/>
      <name val="Arial Unicode MS"/>
      <family val="3"/>
      <charset val="128"/>
    </font>
    <font>
      <b/>
      <sz val="11"/>
      <name val="Arial Unicode MS"/>
      <family val="3"/>
      <charset val="128"/>
    </font>
    <font>
      <sz val="11"/>
      <color theme="1"/>
      <name val="Arial Unicode MS"/>
      <family val="3"/>
      <charset val="128"/>
    </font>
    <font>
      <sz val="11"/>
      <color theme="1"/>
      <name val="游ゴシック"/>
      <family val="2"/>
      <charset val="128"/>
      <scheme val="minor"/>
    </font>
    <font>
      <sz val="8"/>
      <name val="Arial Unicode MS"/>
      <family val="3"/>
      <charset val="128"/>
    </font>
    <font>
      <b/>
      <sz val="8"/>
      <name val="Arial Unicode MS"/>
      <family val="3"/>
      <charset val="128"/>
    </font>
    <font>
      <b/>
      <sz val="9"/>
      <name val="Arial Unicode MS"/>
      <family val="3"/>
      <charset val="128"/>
    </font>
    <font>
      <sz val="10"/>
      <name val="Arial Unicode MS"/>
      <family val="3"/>
      <charset val="128"/>
    </font>
    <font>
      <sz val="9"/>
      <name val="Arial Unicode MS"/>
      <family val="3"/>
      <charset val="128"/>
    </font>
    <font>
      <b/>
      <sz val="10"/>
      <name val="Arial Unicode MS"/>
      <family val="3"/>
      <charset val="128"/>
    </font>
    <font>
      <b/>
      <sz val="11"/>
      <color theme="1"/>
      <name val="Arial Unicode MS"/>
      <family val="3"/>
      <charset val="128"/>
    </font>
    <font>
      <sz val="9"/>
      <color theme="1"/>
      <name val="Arial Unicode MS"/>
      <family val="3"/>
      <charset val="128"/>
    </font>
    <font>
      <vertAlign val="superscript"/>
      <sz val="11"/>
      <color theme="1"/>
      <name val="Arial Unicode MS"/>
      <family val="3"/>
      <charset val="128"/>
    </font>
    <font>
      <sz val="8"/>
      <color theme="1"/>
      <name val="Arial Unicode MS"/>
      <family val="3"/>
      <charset val="128"/>
    </font>
    <font>
      <sz val="11"/>
      <color theme="0" tint="-0.499984740745262"/>
      <name val="Arial Unicode MS"/>
      <family val="3"/>
      <charset val="128"/>
    </font>
    <font>
      <sz val="11"/>
      <color theme="1" tint="0.34998626667073579"/>
      <name val="Arial Unicode MS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  <charset val="128"/>
    </font>
    <font>
      <sz val="6"/>
      <name val="游ゴシック"/>
      <family val="3"/>
      <charset val="128"/>
      <scheme val="minor"/>
    </font>
    <font>
      <b/>
      <sz val="8"/>
      <color theme="1"/>
      <name val="Arial Unicode MS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/>
    <xf numFmtId="0" fontId="11" fillId="0" borderId="0">
      <alignment vertical="center"/>
    </xf>
    <xf numFmtId="0" fontId="7" fillId="0" borderId="0"/>
    <xf numFmtId="9" fontId="11" fillId="0" borderId="0" applyFont="0" applyFill="0" applyBorder="0" applyAlignment="0" applyProtection="0">
      <alignment vertical="center"/>
    </xf>
    <xf numFmtId="0" fontId="2" fillId="0" borderId="0"/>
    <xf numFmtId="9" fontId="1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8" fillId="0" borderId="0" xfId="1" applyFont="1">
      <alignment vertical="center"/>
    </xf>
    <xf numFmtId="0" fontId="8" fillId="0" borderId="0" xfId="1" applyFont="1" applyAlignment="1"/>
    <xf numFmtId="0" fontId="8" fillId="0" borderId="1" xfId="1" applyFont="1" applyBorder="1" applyAlignment="1">
      <alignment horizontal="center"/>
    </xf>
    <xf numFmtId="0" fontId="8" fillId="0" borderId="0" xfId="1" applyFont="1" applyAlignment="1">
      <alignment horizontal="left"/>
    </xf>
    <xf numFmtId="176" fontId="8" fillId="3" borderId="0" xfId="2" applyNumberFormat="1" applyFont="1" applyFill="1" applyAlignment="1">
      <alignment vertical="center"/>
    </xf>
    <xf numFmtId="177" fontId="8" fillId="3" borderId="0" xfId="3" applyNumberFormat="1" applyFont="1" applyFill="1" applyAlignment="1">
      <alignment vertical="center"/>
    </xf>
    <xf numFmtId="0" fontId="9" fillId="0" borderId="0" xfId="1" applyFont="1" applyAlignment="1">
      <alignment horizontal="center"/>
    </xf>
    <xf numFmtId="176" fontId="10" fillId="0" borderId="0" xfId="2" applyNumberFormat="1" applyFont="1" applyAlignment="1">
      <alignment vertical="center"/>
    </xf>
    <xf numFmtId="0" fontId="8" fillId="0" borderId="0" xfId="1" quotePrefix="1" applyFont="1">
      <alignment vertical="center"/>
    </xf>
    <xf numFmtId="178" fontId="8" fillId="0" borderId="0" xfId="2" applyNumberFormat="1" applyFont="1" applyAlignment="1"/>
    <xf numFmtId="178" fontId="8" fillId="0" borderId="0" xfId="2" applyNumberFormat="1" applyFont="1" applyAlignment="1">
      <alignment vertical="center"/>
    </xf>
    <xf numFmtId="0" fontId="8" fillId="2" borderId="2" xfId="1" applyFont="1" applyFill="1" applyBorder="1" applyAlignment="1"/>
    <xf numFmtId="0" fontId="9" fillId="0" borderId="0" xfId="1" quotePrefix="1" applyFont="1">
      <alignment vertical="center"/>
    </xf>
    <xf numFmtId="0" fontId="8" fillId="4" borderId="0" xfId="1" quotePrefix="1" applyFont="1" applyFill="1" applyAlignment="1">
      <alignment horizontal="center"/>
    </xf>
    <xf numFmtId="0" fontId="12" fillId="0" borderId="0" xfId="1" applyFont="1" applyAlignment="1"/>
    <xf numFmtId="0" fontId="12" fillId="0" borderId="0" xfId="1" quotePrefix="1" applyFont="1" applyAlignment="1"/>
    <xf numFmtId="0" fontId="12" fillId="0" borderId="0" xfId="1" applyFont="1">
      <alignment vertical="center"/>
    </xf>
    <xf numFmtId="0" fontId="12" fillId="0" borderId="0" xfId="1" quotePrefix="1" applyFont="1">
      <alignment vertical="center"/>
    </xf>
    <xf numFmtId="178" fontId="12" fillId="0" borderId="0" xfId="2" quotePrefix="1" applyNumberFormat="1" applyFont="1" applyAlignment="1"/>
    <xf numFmtId="176" fontId="8" fillId="0" borderId="0" xfId="2" applyNumberFormat="1" applyFont="1" applyAlignment="1">
      <alignment vertical="center"/>
    </xf>
    <xf numFmtId="0" fontId="8" fillId="2" borderId="0" xfId="1" applyFont="1" applyFill="1">
      <alignment vertical="center"/>
    </xf>
    <xf numFmtId="178" fontId="8" fillId="2" borderId="2" xfId="2" applyNumberFormat="1" applyFont="1" applyFill="1" applyBorder="1" applyAlignment="1"/>
    <xf numFmtId="178" fontId="8" fillId="2" borderId="0" xfId="1" applyNumberFormat="1" applyFont="1" applyFill="1">
      <alignment vertical="center"/>
    </xf>
    <xf numFmtId="14" fontId="8" fillId="4" borderId="0" xfId="4" quotePrefix="1" applyNumberFormat="1" applyFont="1" applyFill="1" applyAlignment="1">
      <alignment horizontal="right" vertical="center"/>
    </xf>
    <xf numFmtId="0" fontId="13" fillId="0" borderId="1" xfId="1" applyFont="1" applyBorder="1" applyAlignment="1"/>
    <xf numFmtId="0" fontId="13" fillId="0" borderId="0" xfId="1" applyFont="1" applyAlignment="1"/>
    <xf numFmtId="0" fontId="13" fillId="0" borderId="0" xfId="1" quotePrefix="1" applyFont="1" applyAlignment="1"/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178" fontId="13" fillId="0" borderId="0" xfId="2" quotePrefix="1" applyNumberFormat="1" applyFont="1" applyAlignment="1"/>
    <xf numFmtId="0" fontId="9" fillId="0" borderId="0" xfId="1" quotePrefix="1" applyFont="1" applyAlignment="1"/>
    <xf numFmtId="0" fontId="14" fillId="0" borderId="0" xfId="1" applyFont="1" applyAlignment="1">
      <alignment horizontal="right"/>
    </xf>
    <xf numFmtId="179" fontId="14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right" vertical="center"/>
    </xf>
    <xf numFmtId="180" fontId="8" fillId="0" borderId="0" xfId="2" applyNumberFormat="1" applyFont="1" applyFill="1" applyBorder="1" applyAlignment="1"/>
    <xf numFmtId="0" fontId="8" fillId="0" borderId="0" xfId="1" applyFont="1" applyAlignment="1">
      <alignment horizontal="center" vertical="center"/>
    </xf>
    <xf numFmtId="177" fontId="8" fillId="0" borderId="0" xfId="5" quotePrefix="1" applyNumberFormat="1" applyFont="1" applyFill="1" applyBorder="1" applyAlignment="1">
      <alignment horizontal="right"/>
    </xf>
    <xf numFmtId="0" fontId="15" fillId="0" borderId="0" xfId="1" applyFont="1">
      <alignment vertical="center"/>
    </xf>
    <xf numFmtId="0" fontId="14" fillId="0" borderId="0" xfId="1" applyFont="1" applyAlignment="1">
      <alignment horizontal="left"/>
    </xf>
    <xf numFmtId="0" fontId="8" fillId="5" borderId="1" xfId="1" applyFont="1" applyFill="1" applyBorder="1" applyAlignment="1">
      <alignment horizontal="center"/>
    </xf>
    <xf numFmtId="181" fontId="8" fillId="0" borderId="0" xfId="2" applyNumberFormat="1" applyFont="1">
      <alignment vertical="center"/>
    </xf>
    <xf numFmtId="0" fontId="16" fillId="0" borderId="0" xfId="1" applyFont="1">
      <alignment vertical="center"/>
    </xf>
    <xf numFmtId="0" fontId="16" fillId="0" borderId="0" xfId="1" quotePrefix="1" applyFont="1">
      <alignment vertical="center"/>
    </xf>
    <xf numFmtId="176" fontId="8" fillId="0" borderId="0" xfId="2" applyNumberFormat="1" applyFont="1">
      <alignment vertical="center"/>
    </xf>
    <xf numFmtId="0" fontId="15" fillId="0" borderId="0" xfId="1" quotePrefix="1" applyFont="1">
      <alignment vertical="center"/>
    </xf>
    <xf numFmtId="177" fontId="8" fillId="0" borderId="0" xfId="3" applyNumberFormat="1" applyFont="1">
      <alignment vertical="center"/>
    </xf>
    <xf numFmtId="182" fontId="8" fillId="0" borderId="0" xfId="2" applyNumberFormat="1" applyFont="1">
      <alignment vertical="center"/>
    </xf>
    <xf numFmtId="0" fontId="17" fillId="0" borderId="0" xfId="1" quotePrefix="1" applyFont="1">
      <alignment vertical="center"/>
    </xf>
    <xf numFmtId="0" fontId="15" fillId="0" borderId="0" xfId="1" quotePrefix="1" applyFont="1" applyAlignment="1">
      <alignment wrapText="1"/>
    </xf>
    <xf numFmtId="178" fontId="8" fillId="0" borderId="0" xfId="2" applyNumberFormat="1" applyFont="1">
      <alignment vertical="center"/>
    </xf>
    <xf numFmtId="183" fontId="8" fillId="0" borderId="0" xfId="2" applyNumberFormat="1" applyFont="1">
      <alignment vertical="center"/>
    </xf>
    <xf numFmtId="183" fontId="8" fillId="0" borderId="0" xfId="2" applyNumberFormat="1" applyFont="1" applyAlignment="1"/>
    <xf numFmtId="0" fontId="8" fillId="0" borderId="0" xfId="1" applyFont="1" applyAlignment="1">
      <alignment horizontal="left" vertical="center" indent="1"/>
    </xf>
    <xf numFmtId="0" fontId="18" fillId="0" borderId="1" xfId="10" applyFont="1" applyBorder="1"/>
    <xf numFmtId="0" fontId="10" fillId="0" borderId="1" xfId="10" applyFont="1" applyBorder="1"/>
    <xf numFmtId="0" fontId="10" fillId="0" borderId="0" xfId="10" applyFont="1"/>
    <xf numFmtId="0" fontId="19" fillId="0" borderId="0" xfId="10" quotePrefix="1" applyFont="1"/>
    <xf numFmtId="0" fontId="10" fillId="0" borderId="0" xfId="10" applyFont="1" applyAlignment="1">
      <alignment horizontal="center"/>
    </xf>
    <xf numFmtId="0" fontId="10" fillId="0" borderId="1" xfId="10" applyFont="1" applyBorder="1" applyAlignment="1">
      <alignment horizontal="center"/>
    </xf>
    <xf numFmtId="184" fontId="19" fillId="0" borderId="0" xfId="10" applyNumberFormat="1" applyFont="1" applyAlignment="1">
      <alignment horizontal="center"/>
    </xf>
    <xf numFmtId="9" fontId="10" fillId="0" borderId="0" xfId="10" applyNumberFormat="1" applyFont="1" applyAlignment="1">
      <alignment horizontal="center"/>
    </xf>
    <xf numFmtId="0" fontId="19" fillId="0" borderId="0" xfId="10" quotePrefix="1" applyFont="1" applyAlignment="1">
      <alignment horizontal="right"/>
    </xf>
    <xf numFmtId="0" fontId="21" fillId="0" borderId="0" xfId="10" applyFont="1"/>
    <xf numFmtId="0" fontId="10" fillId="0" borderId="0" xfId="10" applyFont="1" applyAlignment="1">
      <alignment horizontal="left"/>
    </xf>
    <xf numFmtId="0" fontId="18" fillId="6" borderId="3" xfId="10" applyFont="1" applyFill="1" applyBorder="1" applyAlignment="1">
      <alignment horizontal="center"/>
    </xf>
    <xf numFmtId="0" fontId="10" fillId="0" borderId="4" xfId="10" applyFont="1" applyBorder="1" applyAlignment="1">
      <alignment horizontal="center"/>
    </xf>
    <xf numFmtId="0" fontId="10" fillId="4" borderId="1" xfId="10" applyFont="1" applyFill="1" applyBorder="1"/>
    <xf numFmtId="0" fontId="18" fillId="6" borderId="5" xfId="10" applyFont="1" applyFill="1" applyBorder="1" applyAlignment="1">
      <alignment horizontal="center"/>
    </xf>
    <xf numFmtId="0" fontId="10" fillId="0" borderId="6" xfId="10" applyFont="1" applyBorder="1" applyAlignment="1">
      <alignment horizontal="center"/>
    </xf>
    <xf numFmtId="0" fontId="10" fillId="6" borderId="1" xfId="10" applyFont="1" applyFill="1" applyBorder="1" applyAlignment="1">
      <alignment horizontal="center"/>
    </xf>
    <xf numFmtId="0" fontId="10" fillId="0" borderId="1" xfId="10" applyFont="1" applyBorder="1" applyAlignment="1">
      <alignment horizontal="left"/>
    </xf>
    <xf numFmtId="185" fontId="10" fillId="0" borderId="0" xfId="10" applyNumberFormat="1" applyFont="1" applyAlignment="1">
      <alignment horizontal="right"/>
    </xf>
    <xf numFmtId="185" fontId="10" fillId="0" borderId="0" xfId="10" applyNumberFormat="1" applyFont="1"/>
    <xf numFmtId="0" fontId="8" fillId="0" borderId="0" xfId="10" applyFont="1" applyAlignment="1">
      <alignment horizontal="center"/>
    </xf>
    <xf numFmtId="179" fontId="8" fillId="0" borderId="0" xfId="10" applyNumberFormat="1" applyFont="1"/>
    <xf numFmtId="0" fontId="22" fillId="0" borderId="0" xfId="10" applyFont="1" applyAlignment="1">
      <alignment horizontal="center"/>
    </xf>
    <xf numFmtId="179" fontId="23" fillId="0" borderId="0" xfId="10" applyNumberFormat="1" applyFont="1"/>
    <xf numFmtId="0" fontId="10" fillId="0" borderId="0" xfId="8" applyFont="1" applyAlignment="1">
      <alignment horizontal="center"/>
    </xf>
    <xf numFmtId="0" fontId="10" fillId="0" borderId="0" xfId="8" quotePrefix="1" applyFont="1" applyAlignment="1">
      <alignment horizontal="center"/>
    </xf>
    <xf numFmtId="0" fontId="0" fillId="0" borderId="0" xfId="0" applyAlignment="1"/>
    <xf numFmtId="0" fontId="10" fillId="0" borderId="0" xfId="8" applyFont="1"/>
    <xf numFmtId="186" fontId="10" fillId="0" borderId="0" xfId="8" applyNumberFormat="1" applyFont="1"/>
    <xf numFmtId="187" fontId="10" fillId="0" borderId="0" xfId="8" applyNumberFormat="1" applyFont="1"/>
    <xf numFmtId="184" fontId="10" fillId="0" borderId="0" xfId="11" applyNumberFormat="1" applyFont="1" applyAlignment="1"/>
    <xf numFmtId="177" fontId="0" fillId="0" borderId="0" xfId="5" applyNumberFormat="1" applyFont="1">
      <alignment vertical="center"/>
    </xf>
    <xf numFmtId="184" fontId="0" fillId="0" borderId="0" xfId="5" applyNumberFormat="1" applyFont="1">
      <alignment vertical="center"/>
    </xf>
    <xf numFmtId="186" fontId="10" fillId="0" borderId="0" xfId="8" applyNumberFormat="1" applyFont="1" applyAlignment="1">
      <alignment vertical="top"/>
    </xf>
    <xf numFmtId="187" fontId="10" fillId="0" borderId="0" xfId="8" applyNumberFormat="1" applyFont="1" applyAlignment="1">
      <alignment vertical="top"/>
    </xf>
    <xf numFmtId="184" fontId="10" fillId="0" borderId="0" xfId="11" applyNumberFormat="1" applyFont="1" applyAlignment="1">
      <alignment vertical="top"/>
    </xf>
    <xf numFmtId="0" fontId="27" fillId="0" borderId="1" xfId="12" applyFont="1" applyBorder="1" applyAlignment="1">
      <alignment horizontal="center" vertical="center"/>
    </xf>
    <xf numFmtId="0" fontId="10" fillId="0" borderId="0" xfId="12" applyFont="1">
      <alignment vertical="center"/>
    </xf>
    <xf numFmtId="0" fontId="10" fillId="0" borderId="0" xfId="12" applyFont="1" applyAlignment="1">
      <alignment horizontal="right" vertical="center"/>
    </xf>
    <xf numFmtId="0" fontId="10" fillId="0" borderId="3" xfId="12" applyFont="1" applyBorder="1" applyAlignment="1">
      <alignment horizontal="left" vertical="center"/>
    </xf>
    <xf numFmtId="179" fontId="10" fillId="0" borderId="3" xfId="12" applyNumberFormat="1" applyFont="1" applyBorder="1" applyAlignment="1">
      <alignment horizontal="left" vertical="center"/>
    </xf>
    <xf numFmtId="0" fontId="27" fillId="0" borderId="0" xfId="12" quotePrefix="1" applyFont="1">
      <alignment vertical="center"/>
    </xf>
    <xf numFmtId="0" fontId="10" fillId="0" borderId="7" xfId="12" applyFont="1" applyBorder="1" applyAlignment="1">
      <alignment horizontal="left" vertical="center"/>
    </xf>
    <xf numFmtId="179" fontId="10" fillId="0" borderId="7" xfId="12" applyNumberFormat="1" applyFont="1" applyBorder="1" applyAlignment="1">
      <alignment horizontal="left" vertical="center"/>
    </xf>
    <xf numFmtId="1" fontId="10" fillId="0" borderId="7" xfId="12" applyNumberFormat="1" applyFont="1" applyBorder="1" applyAlignment="1">
      <alignment horizontal="left" vertical="center"/>
    </xf>
    <xf numFmtId="188" fontId="10" fillId="0" borderId="7" xfId="13" applyNumberFormat="1" applyFont="1" applyBorder="1" applyAlignment="1">
      <alignment horizontal="left" vertical="center"/>
    </xf>
    <xf numFmtId="0" fontId="10" fillId="0" borderId="1" xfId="12" applyFont="1" applyBorder="1">
      <alignment vertical="center"/>
    </xf>
    <xf numFmtId="0" fontId="10" fillId="0" borderId="1" xfId="12" applyFont="1" applyBorder="1" applyAlignment="1">
      <alignment horizontal="right" vertical="center"/>
    </xf>
    <xf numFmtId="188" fontId="10" fillId="0" borderId="5" xfId="12" applyNumberFormat="1" applyFont="1" applyBorder="1" applyAlignment="1">
      <alignment horizontal="left" vertical="center"/>
    </xf>
    <xf numFmtId="179" fontId="10" fillId="0" borderId="5" xfId="12" applyNumberFormat="1" applyFont="1" applyBorder="1" applyAlignment="1">
      <alignment horizontal="left" vertical="center"/>
    </xf>
    <xf numFmtId="0" fontId="27" fillId="0" borderId="1" xfId="12" quotePrefix="1" applyFont="1" applyBorder="1">
      <alignment vertical="center"/>
    </xf>
    <xf numFmtId="0" fontId="27" fillId="0" borderId="0" xfId="12" applyFont="1">
      <alignment vertical="center"/>
    </xf>
    <xf numFmtId="0" fontId="10" fillId="0" borderId="0" xfId="12" applyFont="1" applyAlignment="1"/>
    <xf numFmtId="189" fontId="10" fillId="0" borderId="8" xfId="12" applyNumberFormat="1" applyFont="1" applyBorder="1">
      <alignment vertical="center"/>
    </xf>
    <xf numFmtId="0" fontId="10" fillId="0" borderId="0" xfId="12" applyFont="1" applyAlignment="1">
      <alignment vertical="top"/>
    </xf>
    <xf numFmtId="189" fontId="10" fillId="0" borderId="9" xfId="12" applyNumberFormat="1" applyFont="1" applyBorder="1">
      <alignment vertical="center"/>
    </xf>
    <xf numFmtId="189" fontId="10" fillId="0" borderId="0" xfId="12" applyNumberFormat="1" applyFont="1">
      <alignment vertical="center"/>
    </xf>
    <xf numFmtId="190" fontId="10" fillId="0" borderId="9" xfId="12" applyNumberFormat="1" applyFont="1" applyBorder="1">
      <alignment vertical="center"/>
    </xf>
    <xf numFmtId="190" fontId="10" fillId="4" borderId="9" xfId="12" applyNumberFormat="1" applyFont="1" applyFill="1" applyBorder="1">
      <alignment vertical="center"/>
    </xf>
    <xf numFmtId="0" fontId="10" fillId="0" borderId="0" xfId="12" quotePrefix="1" applyFont="1" applyAlignment="1">
      <alignment horizontal="right"/>
    </xf>
    <xf numFmtId="189" fontId="10" fillId="4" borderId="9" xfId="12" applyNumberFormat="1" applyFont="1" applyFill="1" applyBorder="1">
      <alignment vertical="center"/>
    </xf>
    <xf numFmtId="189" fontId="10" fillId="0" borderId="0" xfId="12" quotePrefix="1" applyNumberFormat="1" applyFont="1" applyAlignment="1">
      <alignment horizontal="left" vertical="top"/>
    </xf>
    <xf numFmtId="0" fontId="10" fillId="0" borderId="0" xfId="12" quotePrefix="1" applyFont="1" applyAlignment="1">
      <alignment horizontal="right" vertical="center"/>
    </xf>
    <xf numFmtId="189" fontId="10" fillId="0" borderId="0" xfId="12" quotePrefix="1" applyNumberFormat="1" applyFont="1" applyAlignment="1">
      <alignment horizontal="right" vertical="center"/>
    </xf>
    <xf numFmtId="189" fontId="10" fillId="8" borderId="9" xfId="12" applyNumberFormat="1" applyFont="1" applyFill="1" applyBorder="1">
      <alignment vertical="center"/>
    </xf>
    <xf numFmtId="189" fontId="10" fillId="0" borderId="0" xfId="12" applyNumberFormat="1" applyFont="1" applyAlignment="1">
      <alignment horizontal="center" vertical="top"/>
    </xf>
    <xf numFmtId="189" fontId="10" fillId="0" borderId="0" xfId="12" applyNumberFormat="1" applyFont="1" applyAlignment="1">
      <alignment horizontal="right"/>
    </xf>
    <xf numFmtId="189" fontId="10" fillId="0" borderId="0" xfId="12" applyNumberFormat="1" applyFont="1" applyAlignment="1">
      <alignment horizontal="center"/>
    </xf>
    <xf numFmtId="189" fontId="10" fillId="0" borderId="0" xfId="12" applyNumberFormat="1" applyFont="1" applyAlignment="1">
      <alignment horizontal="right" vertical="top"/>
    </xf>
    <xf numFmtId="0" fontId="10" fillId="0" borderId="2" xfId="12" applyFont="1" applyBorder="1" applyAlignment="1">
      <alignment horizontal="center" vertical="center"/>
    </xf>
    <xf numFmtId="0" fontId="10" fillId="0" borderId="0" xfId="12" applyFont="1" applyAlignment="1">
      <alignment horizontal="right" vertical="top"/>
    </xf>
    <xf numFmtId="0" fontId="8" fillId="0" borderId="1" xfId="1" applyFont="1" applyBorder="1" applyAlignment="1">
      <alignment horizontal="center"/>
    </xf>
    <xf numFmtId="0" fontId="8" fillId="0" borderId="0" xfId="1" quotePrefix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10" fillId="7" borderId="1" xfId="12" applyFont="1" applyFill="1" applyBorder="1" applyAlignment="1">
      <alignment horizontal="center" vertical="center"/>
    </xf>
    <xf numFmtId="0" fontId="10" fillId="6" borderId="1" xfId="12" applyFont="1" applyFill="1" applyBorder="1" applyAlignment="1">
      <alignment horizontal="center"/>
    </xf>
    <xf numFmtId="0" fontId="9" fillId="0" borderId="1" xfId="1" applyFont="1" applyBorder="1" applyAlignment="1">
      <alignment horizontal="center" vertical="center" wrapText="1"/>
    </xf>
    <xf numFmtId="0" fontId="10" fillId="0" borderId="1" xfId="10" applyFont="1" applyBorder="1" applyAlignment="1">
      <alignment horizontal="center"/>
    </xf>
    <xf numFmtId="182" fontId="10" fillId="0" borderId="0" xfId="2" applyNumberFormat="1" applyFont="1" applyAlignment="1">
      <alignment horizontal="center"/>
    </xf>
  </cellXfs>
  <cellStyles count="14">
    <cellStyle name="Normal 2" xfId="10" xr:uid="{857B0D23-D448-4267-83B1-7397A190D2A5}"/>
    <cellStyle name="Normal 3 2" xfId="12" xr:uid="{01165B60-9444-48C8-BBB4-F9081096F5CF}"/>
    <cellStyle name="パーセント" xfId="5" builtinId="5"/>
    <cellStyle name="パーセント 2" xfId="3" xr:uid="{7674314B-11C4-41A5-B859-42343F300B86}"/>
    <cellStyle name="パーセント 3" xfId="9" xr:uid="{374877F2-4EB9-4E4C-B8D3-6E0A549D262C}"/>
    <cellStyle name="パーセント 3 2" xfId="11" xr:uid="{47C0FC27-2CEA-4919-96D5-DCD11A39269B}"/>
    <cellStyle name="パーセント 4" xfId="13" xr:uid="{11B0EAEC-5C71-4173-B105-26C1572F833A}"/>
    <cellStyle name="桁区切り" xfId="4" builtinId="6"/>
    <cellStyle name="桁区切り 2" xfId="2" xr:uid="{BDAE2540-214A-48E3-8A2A-7D2B9D788718}"/>
    <cellStyle name="標準" xfId="0" builtinId="0"/>
    <cellStyle name="標準 2" xfId="1" xr:uid="{53CA2028-0C5A-4D66-A8EA-20DCC6C761D7}"/>
    <cellStyle name="標準 2 2" xfId="8" xr:uid="{415A4CB9-0F7A-4F77-8C5A-30523EBF40F4}"/>
    <cellStyle name="標準 3" xfId="6" xr:uid="{A594CD0A-DA7A-433B-8A91-8FA2014B49BB}"/>
    <cellStyle name="標準 4" xfId="7" xr:uid="{4DBDDAA2-0E02-4DF5-9646-54B033516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'5.8old'!$B$11:$J$11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6-4F39-998D-1BC16DC59812}"/>
            </c:ext>
          </c:extLst>
        </c:ser>
        <c:ser>
          <c:idx val="1"/>
          <c:order val="1"/>
          <c:marker>
            <c:symbol val="none"/>
          </c:marker>
          <c:val>
            <c:numRef>
              <c:f>'5.8old'!$B$12:$J$12</c:f>
              <c:numCache>
                <c:formatCode>0.0</c:formatCode>
                <c:ptCount val="9"/>
                <c:pt idx="0" formatCode="General">
                  <c:v>100</c:v>
                </c:pt>
                <c:pt idx="1">
                  <c:v>99.477861628897699</c:v>
                </c:pt>
                <c:pt idx="2">
                  <c:v>99.773099345500924</c:v>
                </c:pt>
                <c:pt idx="3">
                  <c:v>100.04002693910621</c:v>
                </c:pt>
                <c:pt idx="4">
                  <c:v>93.593998510616416</c:v>
                </c:pt>
                <c:pt idx="5">
                  <c:v>91.57490874966517</c:v>
                </c:pt>
                <c:pt idx="6">
                  <c:v>90.76886756895621</c:v>
                </c:pt>
                <c:pt idx="7">
                  <c:v>86.857969964354055</c:v>
                </c:pt>
                <c:pt idx="8">
                  <c:v>81.684762671825979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6-4F39-998D-1BC16DC59812}"/>
            </c:ext>
          </c:extLst>
        </c:ser>
        <c:ser>
          <c:idx val="2"/>
          <c:order val="2"/>
          <c:marker>
            <c:symbol val="none"/>
          </c:marker>
          <c:val>
            <c:numRef>
              <c:f>'5.8old'!$B$13:$J$13</c:f>
              <c:numCache>
                <c:formatCode>0.0</c:formatCode>
                <c:ptCount val="9"/>
                <c:pt idx="0" formatCode="General">
                  <c:v>100</c:v>
                </c:pt>
                <c:pt idx="1">
                  <c:v>94.595604821499336</c:v>
                </c:pt>
                <c:pt idx="2">
                  <c:v>97.634897789871857</c:v>
                </c:pt>
                <c:pt idx="3">
                  <c:v>91.039691279445904</c:v>
                </c:pt>
                <c:pt idx="4">
                  <c:v>87.17085415204599</c:v>
                </c:pt>
                <c:pt idx="5">
                  <c:v>85.604737753182135</c:v>
                </c:pt>
                <c:pt idx="6">
                  <c:v>83.057671674985784</c:v>
                </c:pt>
                <c:pt idx="7">
                  <c:v>79.350387246195297</c:v>
                </c:pt>
                <c:pt idx="8">
                  <c:v>76.58834891992683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06-4F39-998D-1BC16DC59812}"/>
            </c:ext>
          </c:extLst>
        </c:ser>
        <c:ser>
          <c:idx val="3"/>
          <c:order val="3"/>
          <c:marker>
            <c:symbol val="none"/>
          </c:marker>
          <c:val>
            <c:numRef>
              <c:f>'5.8old'!$B$14:$J$14</c:f>
              <c:numCache>
                <c:formatCode>0.0</c:formatCode>
                <c:ptCount val="9"/>
                <c:pt idx="0" formatCode="General">
                  <c:v>100</c:v>
                </c:pt>
                <c:pt idx="1">
                  <c:v>95.055400425497041</c:v>
                </c:pt>
                <c:pt idx="2">
                  <c:v>91.344178604974161</c:v>
                </c:pt>
                <c:pt idx="3">
                  <c:v>89.634567149300253</c:v>
                </c:pt>
                <c:pt idx="4">
                  <c:v>95.077214981143058</c:v>
                </c:pt>
                <c:pt idx="5">
                  <c:v>96.801649090136536</c:v>
                </c:pt>
                <c:pt idx="6">
                  <c:v>94.635871648676698</c:v>
                </c:pt>
                <c:pt idx="7">
                  <c:v>92.98419755235534</c:v>
                </c:pt>
                <c:pt idx="8">
                  <c:v>93.169542447549759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06-4F39-998D-1BC16DC59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622592"/>
        <c:axId val="256624128"/>
      </c:lineChart>
      <c:catAx>
        <c:axId val="2566225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256624128"/>
        <c:crosses val="autoZero"/>
        <c:auto val="1"/>
        <c:lblAlgn val="ctr"/>
        <c:lblOffset val="100"/>
        <c:noMultiLvlLbl val="0"/>
      </c:catAx>
      <c:valAx>
        <c:axId val="256624128"/>
        <c:scaling>
          <c:orientation val="minMax"/>
          <c:max val="125"/>
          <c:min val="7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256622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368300</xdr:colOff>
      <xdr:row>0</xdr:row>
      <xdr:rowOff>190500</xdr:rowOff>
    </xdr:from>
    <xdr:to>
      <xdr:col>14</xdr:col>
      <xdr:colOff>463145</xdr:colOff>
      <xdr:row>28</xdr:row>
      <xdr:rowOff>101600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08D0313-3D46-40C7-8F99-A748B4745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190500"/>
          <a:ext cx="4717645" cy="572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44450</xdr:rowOff>
    </xdr:from>
    <xdr:to>
      <xdr:col>6</xdr:col>
      <xdr:colOff>203200</xdr:colOff>
      <xdr:row>0</xdr:row>
      <xdr:rowOff>304800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7C157CC-30CF-47CE-B372-C3B0493F6DE9}"/>
            </a:ext>
          </a:extLst>
        </xdr:cNvPr>
        <xdr:cNvSpPr txBox="1"/>
      </xdr:nvSpPr>
      <xdr:spPr>
        <a:xfrm>
          <a:off x="50800" y="44450"/>
          <a:ext cx="4298950" cy="2603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00">
              <a:latin typeface="Arial" panose="020B0604020202020204" pitchFamily="34" charset="0"/>
              <a:cs typeface="Arial" panose="020B0604020202020204" pitchFamily="34" charset="0"/>
            </a:rPr>
            <a:t>計算式 </a:t>
          </a:r>
          <a:r>
            <a:rPr kumimoji="1" lang="en-US" altLang="ja-JP" sz="1000">
              <a:latin typeface="Arial" panose="020B0604020202020204" pitchFamily="34" charset="0"/>
              <a:cs typeface="Arial" panose="020B0604020202020204" pitchFamily="34" charset="0"/>
            </a:rPr>
            <a:t>C2=(B2-B3)/B3</a:t>
          </a:r>
          <a:r>
            <a:rPr kumimoji="1" lang="en-US" altLang="ja-JP" sz="1000" baseline="0">
              <a:latin typeface="Arial" panose="020B0604020202020204" pitchFamily="34" charset="0"/>
              <a:cs typeface="Arial" panose="020B0604020202020204" pitchFamily="34" charset="0"/>
            </a:rPr>
            <a:t>   </a:t>
          </a:r>
          <a:r>
            <a:rPr kumimoji="1" lang="en-US" altLang="ja-JP" sz="1000">
              <a:latin typeface="Arial" panose="020B0604020202020204" pitchFamily="34" charset="0"/>
              <a:cs typeface="Arial" panose="020B0604020202020204" pitchFamily="34" charset="0"/>
            </a:rPr>
            <a:t>D2=LN(B2/B3)    E2=STDEV(D2:D5)   F2=E2*250^0.5</a:t>
          </a:r>
          <a:endParaRPr kumimoji="1" lang="ja-JP" alt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122604</xdr:rowOff>
    </xdr:from>
    <xdr:ext cx="198978" cy="426527"/>
    <xdr:sp macro="" textlink="">
      <xdr:nvSpPr>
        <xdr:cNvPr id="2" name="TextBox 14">
          <a:extLst>
            <a:ext uri="{FF2B5EF4-FFF2-40B4-BE49-F238E27FC236}">
              <a16:creationId xmlns:a16="http://schemas.microsoft.com/office/drawing/2014/main" id="{4B3A2800-2C72-4F73-9479-BE3ECF8565E1}"/>
            </a:ext>
          </a:extLst>
        </xdr:cNvPr>
        <xdr:cNvSpPr txBox="1"/>
      </xdr:nvSpPr>
      <xdr:spPr>
        <a:xfrm>
          <a:off x="0" y="2554654"/>
          <a:ext cx="198978" cy="426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ctr">
          <a:noAutofit/>
        </a:bodyPr>
        <a:lstStyle/>
        <a:p>
          <a:pPr algn="r"/>
          <a:r>
            <a:rPr lang="en-US" altLang="ja-JP" sz="1000"/>
            <a:t>(</a:t>
          </a:r>
          <a:r>
            <a:rPr lang="ja-JP" altLang="en-US" sz="1000"/>
            <a:t>現在</a:t>
          </a:r>
          <a:r>
            <a:rPr lang="en-US" altLang="ja-JP" sz="1000"/>
            <a:t>)</a:t>
          </a:r>
          <a:endParaRPr lang="en-US" sz="1000"/>
        </a:p>
      </xdr:txBody>
    </xdr:sp>
    <xdr:clientData/>
  </xdr:oneCellAnchor>
  <xdr:oneCellAnchor>
    <xdr:from>
      <xdr:col>16</xdr:col>
      <xdr:colOff>6350</xdr:colOff>
      <xdr:row>8</xdr:row>
      <xdr:rowOff>132862</xdr:rowOff>
    </xdr:from>
    <xdr:ext cx="209550" cy="2299188"/>
    <xdr:sp macro="" textlink="">
      <xdr:nvSpPr>
        <xdr:cNvPr id="3" name="TextBox 14">
          <a:extLst>
            <a:ext uri="{FF2B5EF4-FFF2-40B4-BE49-F238E27FC236}">
              <a16:creationId xmlns:a16="http://schemas.microsoft.com/office/drawing/2014/main" id="{CB6DEF75-4385-4B04-A8F4-9F65AB9EB9FB}"/>
            </a:ext>
          </a:extLst>
        </xdr:cNvPr>
        <xdr:cNvSpPr txBox="1"/>
      </xdr:nvSpPr>
      <xdr:spPr>
        <a:xfrm>
          <a:off x="6413500" y="1453662"/>
          <a:ext cx="209550" cy="22991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ctr">
          <a:noAutofit/>
        </a:bodyPr>
        <a:lstStyle/>
        <a:p>
          <a:pPr algn="r"/>
          <a:r>
            <a:rPr lang="en-US" altLang="ja-JP" sz="1000"/>
            <a:t>(</a:t>
          </a:r>
          <a:r>
            <a:rPr lang="ja-JP" altLang="en-US" sz="1000"/>
            <a:t>満期時価格はヨーロピアンと同じ</a:t>
          </a:r>
          <a:r>
            <a:rPr lang="en-US" altLang="ja-JP" sz="1000"/>
            <a:t>)</a:t>
          </a:r>
          <a:endParaRPr lang="en-US" sz="1000"/>
        </a:p>
      </xdr:txBody>
    </xdr:sp>
    <xdr:clientData/>
  </xdr:oneCellAnchor>
  <xdr:twoCellAnchor>
    <xdr:from>
      <xdr:col>6</xdr:col>
      <xdr:colOff>12700</xdr:colOff>
      <xdr:row>19</xdr:row>
      <xdr:rowOff>101600</xdr:rowOff>
    </xdr:from>
    <xdr:to>
      <xdr:col>6</xdr:col>
      <xdr:colOff>139700</xdr:colOff>
      <xdr:row>23</xdr:row>
      <xdr:rowOff>57944</xdr:rowOff>
    </xdr:to>
    <xdr:grpSp>
      <xdr:nvGrpSpPr>
        <xdr:cNvPr id="4" name="グループ化 20">
          <a:extLst>
            <a:ext uri="{FF2B5EF4-FFF2-40B4-BE49-F238E27FC236}">
              <a16:creationId xmlns:a16="http://schemas.microsoft.com/office/drawing/2014/main" id="{CB19FA35-B9F5-493D-9E48-DA6153F75F2A}"/>
            </a:ext>
          </a:extLst>
        </xdr:cNvPr>
        <xdr:cNvGrpSpPr/>
      </xdr:nvGrpSpPr>
      <xdr:grpSpPr>
        <a:xfrm>
          <a:off x="2129367" y="3186642"/>
          <a:ext cx="127000" cy="623094"/>
          <a:chOff x="1899048" y="3250406"/>
          <a:chExt cx="273843" cy="678656"/>
        </a:xfrm>
      </xdr:grpSpPr>
      <xdr:cxnSp macro="">
        <xdr:nvCxnSpPr>
          <xdr:cNvPr id="5" name="直線矢印コネクタ 21">
            <a:extLst>
              <a:ext uri="{FF2B5EF4-FFF2-40B4-BE49-F238E27FC236}">
                <a16:creationId xmlns:a16="http://schemas.microsoft.com/office/drawing/2014/main" id="{1E07E165-7BE6-D117-7A60-B90136C5EA1A}"/>
              </a:ext>
            </a:extLst>
          </xdr:cNvPr>
          <xdr:cNvCxnSpPr/>
        </xdr:nvCxnSpPr>
        <xdr:spPr>
          <a:xfrm flipH="1">
            <a:off x="1905002" y="3250406"/>
            <a:ext cx="267889" cy="339328"/>
          </a:xfrm>
          <a:prstGeom prst="straightConnector1">
            <a:avLst/>
          </a:prstGeom>
          <a:ln w="12700"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矢印コネクタ 22">
            <a:extLst>
              <a:ext uri="{FF2B5EF4-FFF2-40B4-BE49-F238E27FC236}">
                <a16:creationId xmlns:a16="http://schemas.microsoft.com/office/drawing/2014/main" id="{5B2FCEB1-1727-1BB4-9B7B-1E50B5662C64}"/>
              </a:ext>
            </a:extLst>
          </xdr:cNvPr>
          <xdr:cNvCxnSpPr/>
        </xdr:nvCxnSpPr>
        <xdr:spPr>
          <a:xfrm flipH="1" flipV="1">
            <a:off x="1899048" y="3595688"/>
            <a:ext cx="267889" cy="333374"/>
          </a:xfrm>
          <a:prstGeom prst="straightConnector1">
            <a:avLst/>
          </a:prstGeom>
          <a:ln w="12700"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19050</xdr:colOff>
      <xdr:row>19</xdr:row>
      <xdr:rowOff>107950</xdr:rowOff>
    </xdr:from>
    <xdr:to>
      <xdr:col>14</xdr:col>
      <xdr:colOff>146050</xdr:colOff>
      <xdr:row>23</xdr:row>
      <xdr:rowOff>64294</xdr:rowOff>
    </xdr:to>
    <xdr:grpSp>
      <xdr:nvGrpSpPr>
        <xdr:cNvPr id="7" name="グループ化 20">
          <a:extLst>
            <a:ext uri="{FF2B5EF4-FFF2-40B4-BE49-F238E27FC236}">
              <a16:creationId xmlns:a16="http://schemas.microsoft.com/office/drawing/2014/main" id="{A7A2A369-7A24-42B5-AFEA-BEA1DD7926AD}"/>
            </a:ext>
          </a:extLst>
        </xdr:cNvPr>
        <xdr:cNvGrpSpPr/>
      </xdr:nvGrpSpPr>
      <xdr:grpSpPr>
        <a:xfrm>
          <a:off x="5739342" y="3192992"/>
          <a:ext cx="127000" cy="623094"/>
          <a:chOff x="1899048" y="3250406"/>
          <a:chExt cx="273843" cy="678656"/>
        </a:xfrm>
      </xdr:grpSpPr>
      <xdr:cxnSp macro="">
        <xdr:nvCxnSpPr>
          <xdr:cNvPr id="8" name="直線矢印コネクタ 21">
            <a:extLst>
              <a:ext uri="{FF2B5EF4-FFF2-40B4-BE49-F238E27FC236}">
                <a16:creationId xmlns:a16="http://schemas.microsoft.com/office/drawing/2014/main" id="{E0E95B34-8F45-60A4-F79C-9DEDD94C3723}"/>
              </a:ext>
            </a:extLst>
          </xdr:cNvPr>
          <xdr:cNvCxnSpPr/>
        </xdr:nvCxnSpPr>
        <xdr:spPr>
          <a:xfrm flipH="1">
            <a:off x="1905002" y="3250406"/>
            <a:ext cx="267889" cy="339328"/>
          </a:xfrm>
          <a:prstGeom prst="straightConnector1">
            <a:avLst/>
          </a:prstGeom>
          <a:ln w="12700"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22">
            <a:extLst>
              <a:ext uri="{FF2B5EF4-FFF2-40B4-BE49-F238E27FC236}">
                <a16:creationId xmlns:a16="http://schemas.microsoft.com/office/drawing/2014/main" id="{736642FE-B8D8-F991-44E6-6891BC488F55}"/>
              </a:ext>
            </a:extLst>
          </xdr:cNvPr>
          <xdr:cNvCxnSpPr/>
        </xdr:nvCxnSpPr>
        <xdr:spPr>
          <a:xfrm flipH="1" flipV="1">
            <a:off x="1899048" y="3595688"/>
            <a:ext cx="267889" cy="333374"/>
          </a:xfrm>
          <a:prstGeom prst="straightConnector1">
            <a:avLst/>
          </a:prstGeom>
          <a:ln w="12700"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838200</xdr:colOff>
      <xdr:row>20</xdr:row>
      <xdr:rowOff>12700</xdr:rowOff>
    </xdr:from>
    <xdr:to>
      <xdr:col>12</xdr:col>
      <xdr:colOff>82550</xdr:colOff>
      <xdr:row>22</xdr:row>
      <xdr:rowOff>95250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AA80F63-F338-4342-A1F5-F85A3F104618}"/>
            </a:ext>
          </a:extLst>
        </xdr:cNvPr>
        <xdr:cNvSpPr txBox="1"/>
      </xdr:nvSpPr>
      <xdr:spPr>
        <a:xfrm>
          <a:off x="3644900" y="3289300"/>
          <a:ext cx="146050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1"/>
            <a:t>(</a:t>
          </a:r>
          <a:r>
            <a:rPr kumimoji="1" lang="ja-JP" altLang="en-US" sz="800" b="1"/>
            <a:t> 塗りつぶしたセルは</a:t>
          </a:r>
          <a:endParaRPr kumimoji="1" lang="en-US" altLang="ja-JP" sz="800" b="1"/>
        </a:p>
        <a:p>
          <a:r>
            <a:rPr kumimoji="1" lang="ja-JP" altLang="en-US" sz="800" b="1"/>
            <a:t>  ヨーロピアンとの相違点 </a:t>
          </a:r>
          <a:r>
            <a:rPr kumimoji="1" lang="en-US" altLang="ja-JP" sz="800" b="1"/>
            <a:t>)</a:t>
          </a:r>
          <a:endParaRPr kumimoji="1" lang="ja-JP" altLang="en-US" sz="8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481013</xdr:colOff>
      <xdr:row>0</xdr:row>
      <xdr:rowOff>69850</xdr:rowOff>
    </xdr:from>
    <xdr:to>
      <xdr:col>20</xdr:col>
      <xdr:colOff>542925</xdr:colOff>
      <xdr:row>9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F25F25-D870-4472-8644-2FE4165C8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63500</xdr:colOff>
      <xdr:row>14</xdr:row>
      <xdr:rowOff>31750</xdr:rowOff>
    </xdr:from>
    <xdr:to>
      <xdr:col>9</xdr:col>
      <xdr:colOff>450850</xdr:colOff>
      <xdr:row>17</xdr:row>
      <xdr:rowOff>63500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7F99140-9B24-47FF-9299-2FBAD4F62AB5}"/>
            </a:ext>
          </a:extLst>
        </xdr:cNvPr>
        <xdr:cNvSpPr txBox="1"/>
      </xdr:nvSpPr>
      <xdr:spPr>
        <a:xfrm>
          <a:off x="1460500" y="2387600"/>
          <a:ext cx="3073400" cy="5270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ja-JP" altLang="en-US" sz="1100"/>
            <a:t>行計算式 </a:t>
          </a:r>
          <a:r>
            <a:rPr kumimoji="1" lang="en-US" altLang="ja-JP" sz="1100"/>
            <a:t>:  C12=B12*EXP($E$6+$F$6*N12)</a:t>
          </a:r>
        </a:p>
        <a:p>
          <a:r>
            <a:rPr kumimoji="1" lang="en-US" altLang="ja-JP" sz="1100" baseline="0"/>
            <a:t>                          </a:t>
          </a:r>
          <a:r>
            <a:rPr kumimoji="1" lang="en-US" altLang="ja-JP" sz="1100"/>
            <a:t>D12=C12*EXP($E$6+$F$6*O12)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・・・・・・・・・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12</xdr:row>
      <xdr:rowOff>63500</xdr:rowOff>
    </xdr:from>
    <xdr:to>
      <xdr:col>19</xdr:col>
      <xdr:colOff>342900</xdr:colOff>
      <xdr:row>15</xdr:row>
      <xdr:rowOff>101600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EA1B5C5-A2B5-4D99-906F-C008F487C299}"/>
            </a:ext>
          </a:extLst>
        </xdr:cNvPr>
        <xdr:cNvSpPr txBox="1"/>
      </xdr:nvSpPr>
      <xdr:spPr>
        <a:xfrm>
          <a:off x="6940550" y="2089150"/>
          <a:ext cx="3073400" cy="533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ja-JP" altLang="en-US" sz="1100"/>
            <a:t>行計算式 </a:t>
          </a:r>
          <a:r>
            <a:rPr kumimoji="1" lang="en-US" altLang="ja-JP" sz="1100"/>
            <a:t>:  N12=NORMSINV(RAND())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O12=NORMSINV(RAND())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・・・・・・・・・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aguraoka-old\ISPT&#26908;&#35342;t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ExcelPC\Chapter1and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_siguma (5)"/>
      <sheetName val="cap_siguma (4)"/>
      <sheetName val="大和"/>
      <sheetName val="swaption_siguma"/>
      <sheetName val="USDN"/>
      <sheetName val="swaption"/>
      <sheetName val="cap_siguma＿ｆ) (2)"/>
      <sheetName val="cap_siguma (3)"/>
      <sheetName val="cap_siguma (2)"/>
      <sheetName val="Calc (2)"/>
      <sheetName val="cap_siguma"/>
      <sheetName val="TS"/>
      <sheetName val="USD_old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pter1and2"/>
    </sheetNames>
    <definedNames>
      <definedName name="PartialBarrier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A26A-9D6B-4D76-9AEE-434F72B94AE3}">
  <sheetPr codeName="Sheet11"/>
  <dimension ref="A1:G37"/>
  <sheetViews>
    <sheetView tabSelected="1" zoomScale="120" zoomScaleNormal="120" workbookViewId="0">
      <selection activeCell="E21" sqref="E21"/>
    </sheetView>
  </sheetViews>
  <sheetFormatPr defaultColWidth="8.6328125" defaultRowHeight="13"/>
  <cols>
    <col min="1" max="1" width="25.36328125" style="1" customWidth="1"/>
    <col min="2" max="2" width="10.26953125" style="1" bestFit="1" customWidth="1"/>
    <col min="3" max="3" width="19.90625" style="1" customWidth="1"/>
    <col min="4" max="4" width="1.81640625" style="1" customWidth="1"/>
    <col min="5" max="5" width="8.54296875" style="1" customWidth="1"/>
    <col min="6" max="6" width="9.54296875" style="1" customWidth="1"/>
    <col min="7" max="7" width="33.6328125" style="1" bestFit="1" customWidth="1"/>
    <col min="8" max="16384" width="8.6328125" style="1"/>
  </cols>
  <sheetData>
    <row r="1" spans="1:7">
      <c r="A1" s="125" t="s">
        <v>18</v>
      </c>
      <c r="B1" s="125"/>
      <c r="C1" s="25" t="s">
        <v>12</v>
      </c>
      <c r="D1" s="15"/>
      <c r="E1" s="126"/>
      <c r="F1" s="126"/>
      <c r="G1" s="26"/>
    </row>
    <row r="2" spans="1:7">
      <c r="A2" s="4" t="s">
        <v>40</v>
      </c>
      <c r="B2" s="14">
        <v>1</v>
      </c>
      <c r="C2" s="26"/>
      <c r="D2" s="15"/>
      <c r="E2" s="34"/>
      <c r="F2" s="35"/>
      <c r="G2" s="27"/>
    </row>
    <row r="3" spans="1:7">
      <c r="A3" s="1" t="s">
        <v>4</v>
      </c>
      <c r="B3" s="24">
        <v>45128</v>
      </c>
      <c r="C3" s="26"/>
      <c r="D3" s="15"/>
      <c r="E3" s="34"/>
      <c r="F3" s="35"/>
      <c r="G3" s="27"/>
    </row>
    <row r="4" spans="1:7">
      <c r="A4" s="1" t="s">
        <v>5</v>
      </c>
      <c r="B4" s="24">
        <v>45164</v>
      </c>
      <c r="C4" s="26"/>
      <c r="D4" s="15"/>
      <c r="E4" s="34"/>
      <c r="F4" s="35"/>
      <c r="G4" s="27"/>
    </row>
    <row r="5" spans="1:7">
      <c r="A5" s="1" t="s">
        <v>10</v>
      </c>
      <c r="B5" s="5">
        <f>107+6.75/32</f>
        <v>107.2109375</v>
      </c>
      <c r="C5" s="27" t="s">
        <v>15</v>
      </c>
      <c r="D5" s="16"/>
      <c r="E5" s="34"/>
      <c r="F5" s="35"/>
      <c r="G5" s="27"/>
    </row>
    <row r="6" spans="1:7">
      <c r="A6" s="1" t="s">
        <v>0</v>
      </c>
      <c r="B6" s="5">
        <v>107.5</v>
      </c>
      <c r="C6" s="26"/>
      <c r="D6" s="15"/>
      <c r="E6" s="34"/>
      <c r="F6" s="35"/>
      <c r="G6" s="27"/>
    </row>
    <row r="7" spans="1:7">
      <c r="A7" s="1" t="s">
        <v>2</v>
      </c>
      <c r="B7" s="6">
        <v>5.2519999999999997E-2</v>
      </c>
      <c r="C7" s="28"/>
      <c r="D7" s="17"/>
      <c r="G7" s="27"/>
    </row>
    <row r="8" spans="1:7">
      <c r="A8" s="1" t="s">
        <v>49</v>
      </c>
      <c r="B8" s="6">
        <v>5.2760000000000001E-2</v>
      </c>
      <c r="C8" s="28" t="s">
        <v>1</v>
      </c>
      <c r="D8" s="17"/>
      <c r="E8" s="127"/>
      <c r="F8" s="127"/>
      <c r="G8" s="27"/>
    </row>
    <row r="9" spans="1:7">
      <c r="A9" s="3" t="s">
        <v>7</v>
      </c>
      <c r="B9" s="7"/>
      <c r="C9" s="28"/>
      <c r="D9" s="17"/>
      <c r="E9" s="36"/>
      <c r="F9" s="37"/>
      <c r="G9" s="27"/>
    </row>
    <row r="10" spans="1:7">
      <c r="A10" s="1" t="s">
        <v>6</v>
      </c>
      <c r="B10" s="1">
        <f>B4-B3</f>
        <v>36</v>
      </c>
      <c r="C10" s="29" t="s">
        <v>11</v>
      </c>
      <c r="D10" s="18"/>
    </row>
    <row r="11" spans="1:7">
      <c r="A11" s="1" t="s">
        <v>9</v>
      </c>
      <c r="B11" s="8">
        <f>B10/365</f>
        <v>9.8630136986301367E-2</v>
      </c>
      <c r="C11" s="29" t="s">
        <v>13</v>
      </c>
      <c r="D11" s="18"/>
    </row>
    <row r="12" spans="1:7">
      <c r="A12" s="1" t="s">
        <v>19</v>
      </c>
      <c r="B12" s="20">
        <f>EXP(-B8*B11)</f>
        <v>0.99480978990032887</v>
      </c>
      <c r="C12" s="29" t="s">
        <v>14</v>
      </c>
      <c r="D12" s="18"/>
    </row>
    <row r="13" spans="1:7">
      <c r="A13" s="1" t="s">
        <v>16</v>
      </c>
      <c r="B13" s="20">
        <f>B7*B11^0.5</f>
        <v>1.6494134648662812E-2</v>
      </c>
      <c r="C13" s="29" t="s">
        <v>17</v>
      </c>
      <c r="D13" s="18"/>
    </row>
    <row r="14" spans="1:7">
      <c r="A14" s="3" t="s">
        <v>8</v>
      </c>
      <c r="C14" s="28"/>
      <c r="D14" s="17"/>
    </row>
    <row r="15" spans="1:7">
      <c r="A15" s="2" t="s">
        <v>30</v>
      </c>
      <c r="B15" s="10">
        <f>B2*(LN(B5/B6)/B13+B13/2)</f>
        <v>-0.15499733894827755</v>
      </c>
      <c r="C15" s="30" t="s">
        <v>35</v>
      </c>
      <c r="D15" s="19"/>
    </row>
    <row r="16" spans="1:7">
      <c r="A16" s="1" t="s">
        <v>31</v>
      </c>
      <c r="B16" s="11">
        <f>B2*(LN(B5/B6)/B13-B13/2)</f>
        <v>-0.17149147359694039</v>
      </c>
      <c r="C16" s="30" t="s">
        <v>36</v>
      </c>
      <c r="D16" s="19"/>
    </row>
    <row r="17" spans="1:7">
      <c r="A17" s="1" t="s">
        <v>32</v>
      </c>
      <c r="B17" s="11">
        <f>NORMDIST(B15,0,1,TRUE)</f>
        <v>0.43841170758275849</v>
      </c>
      <c r="C17" s="29" t="s">
        <v>24</v>
      </c>
      <c r="D17" s="18"/>
    </row>
    <row r="18" spans="1:7">
      <c r="A18" s="1" t="s">
        <v>33</v>
      </c>
      <c r="B18" s="11">
        <f>NORMDIST(B16,0,1,TRUE)</f>
        <v>0.43191866710855242</v>
      </c>
      <c r="C18" s="29" t="s">
        <v>25</v>
      </c>
      <c r="D18" s="18"/>
    </row>
    <row r="19" spans="1:7">
      <c r="A19" s="1" t="s">
        <v>34</v>
      </c>
      <c r="B19" s="11">
        <f>NORMDIST(B15,0,1,0)</f>
        <v>0.39417881764805973</v>
      </c>
      <c r="C19" s="29" t="s">
        <v>26</v>
      </c>
      <c r="D19" s="18"/>
    </row>
    <row r="20" spans="1:7">
      <c r="A20" s="1" t="s">
        <v>41</v>
      </c>
      <c r="B20" s="11">
        <f>B2*(B5*B17-B6*B18)</f>
        <v>0.57127346675400759</v>
      </c>
      <c r="C20" s="29" t="s">
        <v>42</v>
      </c>
      <c r="D20" s="18"/>
    </row>
    <row r="21" spans="1:7">
      <c r="A21" s="12" t="s">
        <v>43</v>
      </c>
      <c r="B21" s="22">
        <f>B12*B20</f>
        <v>0.56830843743718684</v>
      </c>
      <c r="C21" s="29" t="s">
        <v>44</v>
      </c>
      <c r="D21" s="18"/>
      <c r="E21" s="39" t="s">
        <v>50</v>
      </c>
    </row>
    <row r="22" spans="1:7">
      <c r="A22" s="21" t="s">
        <v>20</v>
      </c>
      <c r="B22" s="23">
        <f>B2*B12*B17</f>
        <v>0.43613625871024841</v>
      </c>
      <c r="C22" s="29" t="s">
        <v>37</v>
      </c>
      <c r="D22" s="13"/>
    </row>
    <row r="23" spans="1:7">
      <c r="A23" s="21" t="s">
        <v>21</v>
      </c>
      <c r="B23" s="23">
        <f>B12*B19/(B5*B13)</f>
        <v>0.22175054900502122</v>
      </c>
      <c r="C23" s="29" t="s">
        <v>27</v>
      </c>
      <c r="D23" s="31"/>
      <c r="E23" s="32" t="s">
        <v>45</v>
      </c>
      <c r="F23" s="33">
        <f>B5*B19*B7/(2*B11^0.5)</f>
        <v>3.5336398159822693</v>
      </c>
      <c r="G23" s="29" t="s">
        <v>28</v>
      </c>
    </row>
    <row r="24" spans="1:7" ht="12.75" customHeight="1">
      <c r="A24" s="21" t="s">
        <v>22</v>
      </c>
      <c r="B24" s="23">
        <f>B12*B5*B11^0.5*B19</f>
        <v>13.203140500698733</v>
      </c>
      <c r="C24" s="29" t="s">
        <v>29</v>
      </c>
      <c r="D24" s="13"/>
      <c r="E24" s="32" t="s">
        <v>46</v>
      </c>
      <c r="F24" s="33">
        <f>B2*-B8*B5*B17</f>
        <v>-2.4798534923455184</v>
      </c>
      <c r="G24" s="29" t="s">
        <v>38</v>
      </c>
    </row>
    <row r="25" spans="1:7">
      <c r="A25" s="21" t="s">
        <v>23</v>
      </c>
      <c r="B25" s="23">
        <f>-B12*SUM(F23:F25)/365</f>
        <v>-9.5488096705796492E-3</v>
      </c>
      <c r="C25" s="29" t="s">
        <v>48</v>
      </c>
      <c r="D25" s="13"/>
      <c r="E25" s="32" t="s">
        <v>47</v>
      </c>
      <c r="F25" s="33">
        <f>B2*B8*B6*B18</f>
        <v>2.449713104239577</v>
      </c>
      <c r="G25" s="29" t="s">
        <v>39</v>
      </c>
    </row>
    <row r="29" spans="1:7">
      <c r="A29" s="2"/>
      <c r="B29" s="9"/>
      <c r="C29" s="9"/>
      <c r="D29" s="9"/>
    </row>
    <row r="30" spans="1:7">
      <c r="C30" s="9"/>
      <c r="D30" s="9"/>
    </row>
    <row r="37" spans="2:2">
      <c r="B37" s="1" t="s">
        <v>3</v>
      </c>
    </row>
  </sheetData>
  <mergeCells count="3">
    <mergeCell ref="A1:B1"/>
    <mergeCell ref="E1:F1"/>
    <mergeCell ref="E8:F8"/>
  </mergeCells>
  <phoneticPr fontId="3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3232-0BD3-41B7-BF55-430753217C04}">
  <sheetPr codeName="Sheet2"/>
  <dimension ref="A1:F141"/>
  <sheetViews>
    <sheetView workbookViewId="0">
      <selection activeCell="F2" sqref="F2"/>
    </sheetView>
  </sheetViews>
  <sheetFormatPr defaultColWidth="9" defaultRowHeight="13"/>
  <cols>
    <col min="1" max="1" width="11.54296875" style="81" bestFit="1" customWidth="1"/>
    <col min="2" max="2" width="11.81640625" style="81" bestFit="1" customWidth="1"/>
    <col min="3" max="4" width="9" style="81"/>
    <col min="7" max="16384" width="9" style="81"/>
  </cols>
  <sheetData>
    <row r="1" spans="1:6" ht="42.5" customHeight="1">
      <c r="A1" s="78" t="s">
        <v>110</v>
      </c>
      <c r="B1" s="78" t="s">
        <v>111</v>
      </c>
      <c r="C1" s="79" t="s">
        <v>112</v>
      </c>
      <c r="D1" s="79" t="s">
        <v>113</v>
      </c>
      <c r="E1" s="80" t="s">
        <v>114</v>
      </c>
      <c r="F1" s="80" t="s">
        <v>115</v>
      </c>
    </row>
    <row r="2" spans="1:6">
      <c r="A2" s="82">
        <v>45128</v>
      </c>
      <c r="B2" s="83">
        <v>107.2578125</v>
      </c>
      <c r="C2" s="84">
        <f t="shared" ref="C2:C65" si="0">(B2-B3)/B3</f>
        <v>2.1856331050560979E-4</v>
      </c>
      <c r="D2" s="84">
        <f>LN(B2/B3)</f>
        <v>2.1853942902495685E-4</v>
      </c>
      <c r="E2" s="85">
        <f>STDEV(D2:D5)</f>
        <v>2.8550481329269349E-3</v>
      </c>
      <c r="F2" s="86">
        <f>E2*250^0.5</f>
        <v>4.5142274647301438E-2</v>
      </c>
    </row>
    <row r="3" spans="1:6">
      <c r="A3" s="82">
        <v>45127</v>
      </c>
      <c r="B3" s="83">
        <v>107.234375</v>
      </c>
      <c r="C3" s="84">
        <f t="shared" si="0"/>
        <v>-5.2181475576170457E-3</v>
      </c>
      <c r="D3" s="84">
        <f t="shared" ref="D3:D66" si="1">LN(B3/B4)</f>
        <v>-5.2318096374740523E-3</v>
      </c>
      <c r="E3" s="85">
        <f t="shared" ref="E3:E66" si="2">STDEV(D3:D6)</f>
        <v>3.0078801197599057E-3</v>
      </c>
      <c r="F3" s="86">
        <f t="shared" ref="F3:F66" si="3">E3*250^0.5</f>
        <v>4.7558760535906693E-2</v>
      </c>
    </row>
    <row r="4" spans="1:6">
      <c r="A4" s="82">
        <v>45126</v>
      </c>
      <c r="B4" s="83">
        <v>107.796875</v>
      </c>
      <c r="C4" s="84">
        <f t="shared" si="0"/>
        <v>1.0156703424260012E-3</v>
      </c>
      <c r="D4" s="84">
        <f t="shared" si="1"/>
        <v>1.0151548982884502E-3</v>
      </c>
      <c r="E4" s="85">
        <f t="shared" si="2"/>
        <v>2.4668037839050742E-3</v>
      </c>
      <c r="F4" s="86">
        <f t="shared" si="3"/>
        <v>3.9003592489309208E-2</v>
      </c>
    </row>
    <row r="5" spans="1:6">
      <c r="A5" s="82">
        <v>45125</v>
      </c>
      <c r="B5" s="83">
        <v>107.6875</v>
      </c>
      <c r="C5" s="84">
        <f t="shared" si="0"/>
        <v>0</v>
      </c>
      <c r="D5" s="84">
        <f t="shared" si="1"/>
        <v>0</v>
      </c>
      <c r="E5" s="85">
        <f t="shared" si="2"/>
        <v>3.9927467955654513E-3</v>
      </c>
      <c r="F5" s="86">
        <f t="shared" si="3"/>
        <v>6.3130869971627548E-2</v>
      </c>
    </row>
    <row r="6" spans="1:6">
      <c r="A6" s="87">
        <v>45124</v>
      </c>
      <c r="B6" s="88">
        <v>107.6875</v>
      </c>
      <c r="C6" s="89">
        <f t="shared" si="0"/>
        <v>1.0894037330234584E-3</v>
      </c>
      <c r="D6" s="89">
        <f t="shared" si="1"/>
        <v>1.0888107633930692E-3</v>
      </c>
      <c r="E6" s="85">
        <f t="shared" si="2"/>
        <v>4.9800733446528694E-3</v>
      </c>
      <c r="F6" s="86">
        <f t="shared" si="3"/>
        <v>7.8741873418978953E-2</v>
      </c>
    </row>
    <row r="7" spans="1:6">
      <c r="A7" s="82">
        <v>45121</v>
      </c>
      <c r="B7" s="83">
        <v>107.5703125</v>
      </c>
      <c r="C7" s="84">
        <f t="shared" si="0"/>
        <v>-4.1226674381599883E-3</v>
      </c>
      <c r="D7" s="84">
        <f t="shared" si="1"/>
        <v>-4.1311890608379826E-3</v>
      </c>
      <c r="E7" s="85">
        <f t="shared" si="2"/>
        <v>5.0905138364219001E-3</v>
      </c>
      <c r="F7" s="86">
        <f t="shared" si="3"/>
        <v>8.048809091847503E-2</v>
      </c>
    </row>
    <row r="8" spans="1:6">
      <c r="A8" s="82">
        <v>45120</v>
      </c>
      <c r="B8" s="83">
        <v>108.015625</v>
      </c>
      <c r="C8" s="84">
        <f t="shared" si="0"/>
        <v>5.6004073023492619E-3</v>
      </c>
      <c r="D8" s="84">
        <f t="shared" si="1"/>
        <v>5.5847833279765342E-3</v>
      </c>
      <c r="E8" s="85">
        <f t="shared" si="2"/>
        <v>2.955988462594818E-3</v>
      </c>
      <c r="F8" s="86">
        <f t="shared" si="3"/>
        <v>4.6738281394895331E-2</v>
      </c>
    </row>
    <row r="9" spans="1:6">
      <c r="A9" s="82">
        <v>45119</v>
      </c>
      <c r="B9" s="83">
        <v>107.4140625</v>
      </c>
      <c r="C9" s="84">
        <f t="shared" si="0"/>
        <v>6.8839253020871478E-3</v>
      </c>
      <c r="D9" s="84">
        <f t="shared" si="1"/>
        <v>6.8603392694283642E-3</v>
      </c>
      <c r="E9" s="85">
        <f t="shared" si="2"/>
        <v>2.9454652882575962E-3</v>
      </c>
      <c r="F9" s="86">
        <f t="shared" si="3"/>
        <v>4.657189539929206E-2</v>
      </c>
    </row>
    <row r="10" spans="1:6">
      <c r="A10" s="82">
        <v>45118</v>
      </c>
      <c r="B10" s="83">
        <v>106.6796875</v>
      </c>
      <c r="C10" s="84">
        <f t="shared" si="0"/>
        <v>7.3238611395927937E-5</v>
      </c>
      <c r="D10" s="84">
        <f t="shared" si="1"/>
        <v>7.3235929579806142E-5</v>
      </c>
      <c r="E10" s="85">
        <f t="shared" si="2"/>
        <v>3.3867358655652983E-3</v>
      </c>
      <c r="F10" s="86">
        <f t="shared" si="3"/>
        <v>5.3548995842840813E-2</v>
      </c>
    </row>
    <row r="11" spans="1:6">
      <c r="A11" s="82">
        <v>45117</v>
      </c>
      <c r="B11" s="83">
        <v>106.671875</v>
      </c>
      <c r="C11" s="84">
        <f t="shared" si="0"/>
        <v>3.6753895912966772E-3</v>
      </c>
      <c r="D11" s="84">
        <f t="shared" si="1"/>
        <v>3.6686518511395132E-3</v>
      </c>
      <c r="E11" s="85">
        <f t="shared" si="2"/>
        <v>3.6596687252305822E-3</v>
      </c>
      <c r="F11" s="86">
        <f t="shared" si="3"/>
        <v>5.7864443267067807E-2</v>
      </c>
    </row>
    <row r="12" spans="1:6">
      <c r="A12" s="82">
        <v>45114</v>
      </c>
      <c r="B12" s="83">
        <v>106.28125</v>
      </c>
      <c r="C12" s="84">
        <f t="shared" si="0"/>
        <v>1.5460502098210999E-3</v>
      </c>
      <c r="D12" s="84">
        <f t="shared" si="1"/>
        <v>1.544856304595243E-3</v>
      </c>
      <c r="E12" s="85">
        <f t="shared" si="2"/>
        <v>2.4718974625815987E-3</v>
      </c>
      <c r="F12" s="86">
        <f t="shared" si="3"/>
        <v>3.9084130620743458E-2</v>
      </c>
    </row>
    <row r="13" spans="1:6">
      <c r="A13" s="82">
        <v>45113</v>
      </c>
      <c r="B13" s="83">
        <v>106.1171875</v>
      </c>
      <c r="C13" s="84">
        <f t="shared" si="0"/>
        <v>-4.3248790499926699E-3</v>
      </c>
      <c r="D13" s="84">
        <f t="shared" si="1"/>
        <v>-4.3342583921739059E-3</v>
      </c>
      <c r="E13" s="85">
        <f t="shared" si="2"/>
        <v>1.7762315340219014E-3</v>
      </c>
      <c r="F13" s="86">
        <f t="shared" si="3"/>
        <v>2.8084686496620347E-2</v>
      </c>
    </row>
    <row r="14" spans="1:6">
      <c r="A14" s="82">
        <v>45112</v>
      </c>
      <c r="B14" s="83">
        <v>106.578125</v>
      </c>
      <c r="C14" s="84">
        <f t="shared" si="0"/>
        <v>-2.4861070488446913E-3</v>
      </c>
      <c r="D14" s="84">
        <f t="shared" si="1"/>
        <v>-2.4892025445272378E-3</v>
      </c>
      <c r="E14" s="85">
        <f t="shared" si="2"/>
        <v>2.9167146983642553E-3</v>
      </c>
      <c r="F14" s="86">
        <f t="shared" si="3"/>
        <v>4.6117308658610183E-2</v>
      </c>
    </row>
    <row r="15" spans="1:6">
      <c r="A15" s="82">
        <v>45110</v>
      </c>
      <c r="B15" s="83">
        <v>106.84375</v>
      </c>
      <c r="C15" s="84">
        <f t="shared" si="0"/>
        <v>-2.3344032681645753E-3</v>
      </c>
      <c r="D15" s="84">
        <f t="shared" si="1"/>
        <v>-2.337132235307556E-3</v>
      </c>
      <c r="E15" s="85">
        <f t="shared" si="2"/>
        <v>4.0467381909242541E-3</v>
      </c>
      <c r="F15" s="86">
        <f t="shared" si="3"/>
        <v>6.3984548888549847E-2</v>
      </c>
    </row>
    <row r="16" spans="1:6">
      <c r="A16" s="82">
        <v>45107</v>
      </c>
      <c r="B16" s="83">
        <v>107.09375</v>
      </c>
      <c r="C16" s="84">
        <f t="shared" si="0"/>
        <v>0</v>
      </c>
      <c r="D16" s="84">
        <f t="shared" si="1"/>
        <v>0</v>
      </c>
      <c r="E16" s="85">
        <f t="shared" si="2"/>
        <v>4.0994213661503078E-3</v>
      </c>
      <c r="F16" s="86">
        <f t="shared" si="3"/>
        <v>6.4817543028970276E-2</v>
      </c>
    </row>
    <row r="17" spans="1:6">
      <c r="A17" s="82">
        <v>45106</v>
      </c>
      <c r="B17" s="83">
        <v>107.09375</v>
      </c>
      <c r="C17" s="84">
        <f t="shared" si="0"/>
        <v>-6.9545059403071574E-3</v>
      </c>
      <c r="D17" s="84">
        <f t="shared" si="1"/>
        <v>-6.9788012233945327E-3</v>
      </c>
      <c r="E17" s="85">
        <f t="shared" si="2"/>
        <v>4.3113089859217538E-3</v>
      </c>
      <c r="F17" s="86">
        <f t="shared" si="3"/>
        <v>6.8167780461317759E-2</v>
      </c>
    </row>
    <row r="18" spans="1:6">
      <c r="A18" s="82">
        <v>45105</v>
      </c>
      <c r="B18" s="83">
        <v>107.84375</v>
      </c>
      <c r="C18" s="84">
        <f t="shared" si="0"/>
        <v>2.541942043721403E-3</v>
      </c>
      <c r="D18" s="84">
        <f t="shared" si="1"/>
        <v>2.5387167735216321E-3</v>
      </c>
      <c r="E18" s="85">
        <f t="shared" si="2"/>
        <v>2.5297199392454242E-3</v>
      </c>
      <c r="F18" s="86">
        <f t="shared" si="3"/>
        <v>3.9998384251791572E-2</v>
      </c>
    </row>
    <row r="19" spans="1:6">
      <c r="A19" s="82">
        <v>45104</v>
      </c>
      <c r="B19" s="83">
        <v>107.5703125</v>
      </c>
      <c r="C19" s="84">
        <f t="shared" si="0"/>
        <v>-3.0410542321338066E-3</v>
      </c>
      <c r="D19" s="84">
        <f t="shared" si="1"/>
        <v>-3.0456876335563246E-3</v>
      </c>
      <c r="E19" s="85">
        <f t="shared" si="2"/>
        <v>2.9012665220546205E-3</v>
      </c>
      <c r="F19" s="86">
        <f t="shared" si="3"/>
        <v>4.5873051544438687E-2</v>
      </c>
    </row>
    <row r="20" spans="1:6">
      <c r="A20" s="82">
        <v>45103</v>
      </c>
      <c r="B20" s="83">
        <v>107.8984375</v>
      </c>
      <c r="C20" s="84">
        <f t="shared" si="0"/>
        <v>1.1598405219282349E-3</v>
      </c>
      <c r="D20" s="84">
        <f t="shared" si="1"/>
        <v>1.1591684265421481E-3</v>
      </c>
      <c r="E20" s="85">
        <f t="shared" si="2"/>
        <v>2.5458504844526565E-3</v>
      </c>
      <c r="F20" s="86">
        <f t="shared" si="3"/>
        <v>4.0253430565567405E-2</v>
      </c>
    </row>
    <row r="21" spans="1:6">
      <c r="A21" s="82">
        <v>45100</v>
      </c>
      <c r="B21" s="83">
        <v>107.7734375</v>
      </c>
      <c r="C21" s="84">
        <f t="shared" si="0"/>
        <v>1.9610691458454388E-3</v>
      </c>
      <c r="D21" s="84">
        <f t="shared" si="1"/>
        <v>1.9591487600110467E-3</v>
      </c>
      <c r="E21" s="85">
        <f t="shared" si="2"/>
        <v>2.5968190930831031E-3</v>
      </c>
      <c r="F21" s="86">
        <f t="shared" si="3"/>
        <v>4.1059315027777037E-2</v>
      </c>
    </row>
    <row r="22" spans="1:6">
      <c r="A22" s="82">
        <v>45099</v>
      </c>
      <c r="B22" s="83">
        <v>107.5625</v>
      </c>
      <c r="C22" s="84">
        <f t="shared" si="0"/>
        <v>-3.7626628075253256E-3</v>
      </c>
      <c r="D22" s="84">
        <f t="shared" si="1"/>
        <v>-3.7697594302855699E-3</v>
      </c>
      <c r="E22" s="85">
        <f t="shared" si="2"/>
        <v>2.5646025113550859E-3</v>
      </c>
      <c r="F22" s="86">
        <f t="shared" si="3"/>
        <v>4.0549926144349553E-2</v>
      </c>
    </row>
    <row r="23" spans="1:6">
      <c r="A23" s="82">
        <v>45098</v>
      </c>
      <c r="B23" s="83">
        <v>107.96875</v>
      </c>
      <c r="C23" s="84">
        <f t="shared" si="0"/>
        <v>2.8951939779965256E-4</v>
      </c>
      <c r="D23" s="84">
        <f t="shared" si="1"/>
        <v>2.8947749514635014E-4</v>
      </c>
      <c r="E23" s="85">
        <f t="shared" si="2"/>
        <v>2.7651128019401602E-3</v>
      </c>
      <c r="F23" s="86">
        <f t="shared" si="3"/>
        <v>4.3720272207104803E-2</v>
      </c>
    </row>
    <row r="24" spans="1:6">
      <c r="A24" s="82">
        <v>45097</v>
      </c>
      <c r="B24" s="83">
        <v>107.9375</v>
      </c>
      <c r="C24" s="84">
        <f t="shared" si="0"/>
        <v>1.4496955639315744E-3</v>
      </c>
      <c r="D24" s="84">
        <f t="shared" si="1"/>
        <v>1.4486457697830265E-3</v>
      </c>
      <c r="E24" s="85">
        <f t="shared" si="2"/>
        <v>2.7695257601944617E-3</v>
      </c>
      <c r="F24" s="86">
        <f t="shared" si="3"/>
        <v>4.3790047203618974E-2</v>
      </c>
    </row>
    <row r="25" spans="1:6">
      <c r="A25" s="82">
        <v>45093</v>
      </c>
      <c r="B25" s="83">
        <v>107.78125</v>
      </c>
      <c r="C25" s="84">
        <f t="shared" si="0"/>
        <v>-3.1791907514450869E-3</v>
      </c>
      <c r="D25" s="84">
        <f t="shared" si="1"/>
        <v>-3.1842551149290736E-3</v>
      </c>
      <c r="E25" s="85">
        <f t="shared" si="2"/>
        <v>3.5877612377111763E-3</v>
      </c>
      <c r="F25" s="86">
        <f t="shared" si="3"/>
        <v>5.6727486060160537E-2</v>
      </c>
    </row>
    <row r="26" spans="1:6">
      <c r="A26" s="82">
        <v>45092</v>
      </c>
      <c r="B26" s="83">
        <v>108.125</v>
      </c>
      <c r="C26" s="84">
        <f t="shared" si="0"/>
        <v>3.4075255564416733E-3</v>
      </c>
      <c r="D26" s="84">
        <f t="shared" si="1"/>
        <v>3.4017330961406524E-3</v>
      </c>
      <c r="E26" s="85">
        <f t="shared" si="2"/>
        <v>3.3143646284363331E-3</v>
      </c>
      <c r="F26" s="86">
        <f t="shared" si="3"/>
        <v>5.2404706110782434E-2</v>
      </c>
    </row>
    <row r="27" spans="1:6">
      <c r="A27" s="82">
        <v>45091</v>
      </c>
      <c r="B27" s="83">
        <v>107.7578125</v>
      </c>
      <c r="C27" s="84">
        <f t="shared" si="0"/>
        <v>1.4502211587267058E-4</v>
      </c>
      <c r="D27" s="84">
        <f t="shared" si="1"/>
        <v>1.450116011822672E-4</v>
      </c>
      <c r="E27" s="85">
        <f t="shared" si="2"/>
        <v>2.4145218573290881E-3</v>
      </c>
      <c r="F27" s="86">
        <f t="shared" si="3"/>
        <v>3.8176942647100191E-2</v>
      </c>
    </row>
    <row r="28" spans="1:6">
      <c r="A28" s="82">
        <v>45090</v>
      </c>
      <c r="B28" s="83">
        <v>107.7421875</v>
      </c>
      <c r="C28" s="84">
        <f t="shared" si="0"/>
        <v>-4.619271021291952E-3</v>
      </c>
      <c r="D28" s="84">
        <f t="shared" si="1"/>
        <v>-4.6299728227411569E-3</v>
      </c>
      <c r="E28" s="85">
        <f t="shared" si="2"/>
        <v>3.182704715131665E-3</v>
      </c>
      <c r="F28" s="86">
        <f t="shared" si="3"/>
        <v>5.0322980097867148E-2</v>
      </c>
    </row>
    <row r="29" spans="1:6">
      <c r="A29" s="82">
        <v>45089</v>
      </c>
      <c r="B29" s="83">
        <v>108.2421875</v>
      </c>
      <c r="C29" s="84">
        <f t="shared" si="0"/>
        <v>2.8878781315428489E-4</v>
      </c>
      <c r="D29" s="84">
        <f t="shared" si="1"/>
        <v>2.8874612198022983E-4</v>
      </c>
      <c r="E29" s="85">
        <f t="shared" si="2"/>
        <v>2.5371564814389578E-3</v>
      </c>
      <c r="F29" s="86">
        <f t="shared" si="3"/>
        <v>4.0115966308029126E-2</v>
      </c>
    </row>
    <row r="30" spans="1:6">
      <c r="A30" s="82">
        <v>45086</v>
      </c>
      <c r="B30" s="83">
        <v>108.2109375</v>
      </c>
      <c r="C30" s="84">
        <f t="shared" si="0"/>
        <v>-2.9513389000863808E-3</v>
      </c>
      <c r="D30" s="84">
        <f t="shared" si="1"/>
        <v>-2.9557026888660139E-3</v>
      </c>
      <c r="E30" s="85">
        <f t="shared" si="2"/>
        <v>2.4550746730860264E-3</v>
      </c>
      <c r="F30" s="86">
        <f t="shared" si="3"/>
        <v>3.8818138963725643E-2</v>
      </c>
    </row>
    <row r="31" spans="1:6">
      <c r="A31" s="82">
        <v>45085</v>
      </c>
      <c r="B31" s="83">
        <v>108.53125</v>
      </c>
      <c r="C31" s="84">
        <f t="shared" si="0"/>
        <v>2.4534564872275943E-3</v>
      </c>
      <c r="D31" s="84">
        <f t="shared" si="1"/>
        <v>2.4504516766380709E-3</v>
      </c>
      <c r="E31" s="85">
        <f t="shared" si="2"/>
        <v>2.1496200965707164E-3</v>
      </c>
      <c r="F31" s="86">
        <f t="shared" si="3"/>
        <v>3.3988478046172853E-2</v>
      </c>
    </row>
    <row r="32" spans="1:6">
      <c r="A32" s="82">
        <v>45084</v>
      </c>
      <c r="B32" s="83">
        <v>108.265625</v>
      </c>
      <c r="C32" s="84">
        <f t="shared" si="0"/>
        <v>-2.5192543007269848E-3</v>
      </c>
      <c r="D32" s="84">
        <f t="shared" si="1"/>
        <v>-2.5224329615350523E-3</v>
      </c>
      <c r="E32" s="85">
        <f t="shared" si="2"/>
        <v>2.7724567061010617E-3</v>
      </c>
      <c r="F32" s="86">
        <f t="shared" si="3"/>
        <v>4.3836389527436986E-2</v>
      </c>
    </row>
    <row r="33" spans="1:6">
      <c r="A33" s="82">
        <v>45083</v>
      </c>
      <c r="B33" s="83">
        <v>108.5390625</v>
      </c>
      <c r="C33" s="84">
        <f t="shared" si="0"/>
        <v>-1.2221423436376707E-3</v>
      </c>
      <c r="D33" s="84">
        <f t="shared" si="1"/>
        <v>-1.2228897686269806E-3</v>
      </c>
      <c r="E33" s="85">
        <f t="shared" si="2"/>
        <v>3.4844298310770161E-3</v>
      </c>
      <c r="F33" s="86">
        <f t="shared" si="3"/>
        <v>5.5093673066195635E-2</v>
      </c>
    </row>
    <row r="34" spans="1:6">
      <c r="A34" s="82">
        <v>45082</v>
      </c>
      <c r="B34" s="83">
        <v>108.671875</v>
      </c>
      <c r="C34" s="84">
        <f t="shared" si="0"/>
        <v>4.3153049482163404E-4</v>
      </c>
      <c r="D34" s="84">
        <f t="shared" si="1"/>
        <v>4.3143741231538031E-4</v>
      </c>
      <c r="E34" s="85">
        <f t="shared" si="2"/>
        <v>4.1208634273562613E-3</v>
      </c>
      <c r="F34" s="86">
        <f t="shared" si="3"/>
        <v>6.5156571784668035E-2</v>
      </c>
    </row>
    <row r="35" spans="1:6">
      <c r="A35" s="82">
        <v>45079</v>
      </c>
      <c r="B35" s="83">
        <v>108.625</v>
      </c>
      <c r="C35" s="84">
        <f t="shared" si="0"/>
        <v>-6.0762027307169923E-3</v>
      </c>
      <c r="D35" s="84">
        <f t="shared" si="1"/>
        <v>-6.094737971257245E-3</v>
      </c>
      <c r="E35" s="85">
        <f t="shared" si="2"/>
        <v>4.9254077165085007E-3</v>
      </c>
      <c r="F35" s="86">
        <f t="shared" si="3"/>
        <v>7.7877533945678909E-2</v>
      </c>
    </row>
    <row r="36" spans="1:6">
      <c r="A36" s="82">
        <v>45078</v>
      </c>
      <c r="B36" s="83">
        <v>109.2890625</v>
      </c>
      <c r="C36" s="84">
        <f t="shared" si="0"/>
        <v>1.9338203695745595E-3</v>
      </c>
      <c r="D36" s="84">
        <f t="shared" si="1"/>
        <v>1.9319529460837157E-3</v>
      </c>
      <c r="E36" s="85">
        <f t="shared" si="2"/>
        <v>3.2067307365095834E-3</v>
      </c>
      <c r="F36" s="86">
        <f t="shared" si="3"/>
        <v>5.0702864851197745E-2</v>
      </c>
    </row>
    <row r="37" spans="1:6">
      <c r="A37" s="82">
        <v>45077</v>
      </c>
      <c r="B37" s="83">
        <v>109.078125</v>
      </c>
      <c r="C37" s="84">
        <f t="shared" si="0"/>
        <v>3.1613737605977869E-3</v>
      </c>
      <c r="D37" s="84">
        <f t="shared" si="1"/>
        <v>3.1563871255513589E-3</v>
      </c>
      <c r="E37" s="85">
        <f t="shared" si="2"/>
        <v>5.2567044535086491E-3</v>
      </c>
      <c r="F37" s="86">
        <f t="shared" si="3"/>
        <v>8.3115795297190154E-2</v>
      </c>
    </row>
    <row r="38" spans="1:6">
      <c r="A38" s="82">
        <v>45076</v>
      </c>
      <c r="B38" s="83">
        <v>108.734375</v>
      </c>
      <c r="C38" s="84">
        <f t="shared" si="0"/>
        <v>5.1274644327291112E-3</v>
      </c>
      <c r="D38" s="84">
        <f t="shared" si="1"/>
        <v>5.1143637500813723E-3</v>
      </c>
      <c r="E38" s="85">
        <f t="shared" si="2"/>
        <v>4.7743727390101801E-3</v>
      </c>
      <c r="F38" s="86">
        <f t="shared" si="3"/>
        <v>7.5489461269444044E-2</v>
      </c>
    </row>
    <row r="39" spans="1:6">
      <c r="A39" s="82">
        <v>45072</v>
      </c>
      <c r="B39" s="83">
        <v>108.1796875</v>
      </c>
      <c r="C39" s="84">
        <f t="shared" si="0"/>
        <v>-2.4493912542324042E-3</v>
      </c>
      <c r="D39" s="84">
        <f t="shared" si="1"/>
        <v>-2.452395920395335E-3</v>
      </c>
      <c r="E39" s="85">
        <f t="shared" si="2"/>
        <v>2.968163877274989E-3</v>
      </c>
      <c r="F39" s="86">
        <f t="shared" si="3"/>
        <v>4.6930791604127282E-2</v>
      </c>
    </row>
    <row r="40" spans="1:6">
      <c r="A40" s="82">
        <v>45071</v>
      </c>
      <c r="B40" s="83">
        <v>108.4453125</v>
      </c>
      <c r="C40" s="84">
        <f t="shared" si="0"/>
        <v>-6.3707945597709379E-3</v>
      </c>
      <c r="D40" s="84">
        <f t="shared" si="1"/>
        <v>-6.3911746758982457E-3</v>
      </c>
      <c r="E40" s="85">
        <f t="shared" si="2"/>
        <v>3.0972488570660101E-3</v>
      </c>
      <c r="F40" s="86">
        <f t="shared" si="3"/>
        <v>4.8971804343409447E-2</v>
      </c>
    </row>
    <row r="41" spans="1:6">
      <c r="A41" s="82">
        <v>45070</v>
      </c>
      <c r="B41" s="83">
        <v>109.140625</v>
      </c>
      <c r="C41" s="84">
        <f t="shared" si="0"/>
        <v>-1.2868172719473834E-3</v>
      </c>
      <c r="D41" s="84">
        <f t="shared" si="1"/>
        <v>-1.2876459322589257E-3</v>
      </c>
      <c r="E41" s="85">
        <f t="shared" si="2"/>
        <v>1.287691902445532E-3</v>
      </c>
      <c r="F41" s="86">
        <f t="shared" si="3"/>
        <v>2.0360196681416129E-2</v>
      </c>
    </row>
    <row r="42" spans="1:6">
      <c r="A42" s="82">
        <v>45069</v>
      </c>
      <c r="B42" s="83">
        <v>109.28125</v>
      </c>
      <c r="C42" s="84">
        <f t="shared" si="0"/>
        <v>6.4382287717290219E-4</v>
      </c>
      <c r="D42" s="84">
        <f t="shared" si="1"/>
        <v>6.4361571213783302E-4</v>
      </c>
      <c r="E42" s="85">
        <f t="shared" si="2"/>
        <v>2.3277742218213542E-3</v>
      </c>
      <c r="F42" s="86">
        <f t="shared" si="3"/>
        <v>3.6805342097907506E-2</v>
      </c>
    </row>
    <row r="43" spans="1:6">
      <c r="A43" s="82">
        <v>45068</v>
      </c>
      <c r="B43" s="83">
        <v>109.2109375</v>
      </c>
      <c r="C43" s="84">
        <f t="shared" si="0"/>
        <v>-5.7195967684278259E-4</v>
      </c>
      <c r="D43" s="84">
        <f t="shared" si="1"/>
        <v>-5.7212330817538388E-4</v>
      </c>
      <c r="E43" s="85">
        <f t="shared" si="2"/>
        <v>1.6989581826777672E-3</v>
      </c>
      <c r="F43" s="86">
        <f t="shared" si="3"/>
        <v>2.6862887533210859E-2</v>
      </c>
    </row>
    <row r="44" spans="1:6">
      <c r="A44" s="82">
        <v>45065</v>
      </c>
      <c r="B44" s="83">
        <v>109.2734375</v>
      </c>
      <c r="C44" s="84">
        <f t="shared" si="0"/>
        <v>-2.4249340275301332E-3</v>
      </c>
      <c r="D44" s="84">
        <f t="shared" si="1"/>
        <v>-2.4278789418275756E-3</v>
      </c>
      <c r="E44" s="85">
        <f t="shared" si="2"/>
        <v>1.1129676745902483E-3</v>
      </c>
      <c r="F44" s="86">
        <f t="shared" si="3"/>
        <v>1.7597564069231464E-2</v>
      </c>
    </row>
    <row r="45" spans="1:6">
      <c r="A45" s="82">
        <v>45064</v>
      </c>
      <c r="B45" s="83">
        <v>109.5390625</v>
      </c>
      <c r="C45" s="84">
        <f t="shared" si="0"/>
        <v>-4.6851707247817136E-3</v>
      </c>
      <c r="D45" s="84">
        <f t="shared" si="1"/>
        <v>-4.6961805391752716E-3</v>
      </c>
      <c r="E45" s="85">
        <f t="shared" si="2"/>
        <v>1.7401516059234725E-3</v>
      </c>
      <c r="F45" s="86">
        <f t="shared" si="3"/>
        <v>2.7514212743589631E-2</v>
      </c>
    </row>
    <row r="46" spans="1:6">
      <c r="A46" s="82">
        <v>45063</v>
      </c>
      <c r="B46" s="83">
        <v>110.0546875</v>
      </c>
      <c r="C46" s="84">
        <f t="shared" si="0"/>
        <v>-2.9726095265057684E-3</v>
      </c>
      <c r="D46" s="84">
        <f t="shared" si="1"/>
        <v>-2.9770365055009984E-3</v>
      </c>
      <c r="E46" s="85">
        <f t="shared" si="2"/>
        <v>1.4327232994106433E-3</v>
      </c>
      <c r="F46" s="86">
        <f t="shared" si="3"/>
        <v>2.2653344414645046E-2</v>
      </c>
    </row>
    <row r="47" spans="1:6">
      <c r="A47" s="82">
        <v>45062</v>
      </c>
      <c r="B47" s="83">
        <v>110.3828125</v>
      </c>
      <c r="C47" s="84">
        <f t="shared" si="0"/>
        <v>-2.2597274203799166E-3</v>
      </c>
      <c r="D47" s="84">
        <f t="shared" si="1"/>
        <v>-2.2622844572509795E-3</v>
      </c>
      <c r="E47" s="85">
        <f t="shared" si="2"/>
        <v>1.8131368912429713E-3</v>
      </c>
      <c r="F47" s="86">
        <f t="shared" si="3"/>
        <v>2.866821143002396E-2</v>
      </c>
    </row>
    <row r="48" spans="1:6">
      <c r="A48" s="82">
        <v>45061</v>
      </c>
      <c r="B48" s="83">
        <v>110.6328125</v>
      </c>
      <c r="C48" s="84">
        <f t="shared" si="0"/>
        <v>-4.9407114624505926E-4</v>
      </c>
      <c r="D48" s="84">
        <f t="shared" si="1"/>
        <v>-4.9419323961075016E-4</v>
      </c>
      <c r="E48" s="85">
        <f t="shared" si="2"/>
        <v>3.7215969275863764E-3</v>
      </c>
      <c r="F48" s="86">
        <f t="shared" si="3"/>
        <v>5.8843614121288378E-2</v>
      </c>
    </row>
    <row r="49" spans="1:6">
      <c r="A49" s="82">
        <v>45058</v>
      </c>
      <c r="B49" s="83">
        <v>110.6875</v>
      </c>
      <c r="C49" s="84">
        <f t="shared" si="0"/>
        <v>-3.8669760247486465E-3</v>
      </c>
      <c r="D49" s="84">
        <f t="shared" si="1"/>
        <v>-3.8744721075585223E-3</v>
      </c>
      <c r="E49" s="85">
        <f t="shared" si="2"/>
        <v>3.6938580120202788E-3</v>
      </c>
      <c r="F49" s="86">
        <f t="shared" si="3"/>
        <v>5.840502335622854E-2</v>
      </c>
    </row>
    <row r="50" spans="1:6">
      <c r="A50" s="82">
        <v>45057</v>
      </c>
      <c r="B50" s="83">
        <v>111.1171875</v>
      </c>
      <c r="C50" s="84">
        <f t="shared" si="0"/>
        <v>1.4063708599957808E-4</v>
      </c>
      <c r="D50" s="84">
        <f t="shared" si="1"/>
        <v>1.4062719753167328E-4</v>
      </c>
      <c r="E50" s="85">
        <f t="shared" si="2"/>
        <v>3.5888808819606942E-3</v>
      </c>
      <c r="F50" s="86">
        <f t="shared" si="3"/>
        <v>5.6745189190148468E-2</v>
      </c>
    </row>
    <row r="51" spans="1:6">
      <c r="A51" s="82">
        <v>45056</v>
      </c>
      <c r="B51" s="83">
        <v>111.1015625</v>
      </c>
      <c r="C51" s="84">
        <f t="shared" si="0"/>
        <v>5.1597398925643202E-3</v>
      </c>
      <c r="D51" s="84">
        <f t="shared" si="1"/>
        <v>5.1464740473249962E-3</v>
      </c>
      <c r="E51" s="85">
        <f t="shared" si="2"/>
        <v>4.9434411874293305E-3</v>
      </c>
      <c r="F51" s="86">
        <f t="shared" si="3"/>
        <v>7.8162668156820089E-2</v>
      </c>
    </row>
    <row r="52" spans="1:6">
      <c r="A52" s="82">
        <v>45055</v>
      </c>
      <c r="B52" s="83">
        <v>110.53125</v>
      </c>
      <c r="C52" s="84">
        <f t="shared" si="0"/>
        <v>1.4138272303124559E-4</v>
      </c>
      <c r="D52" s="84">
        <f t="shared" si="1"/>
        <v>1.4137272943596453E-4</v>
      </c>
      <c r="E52" s="85">
        <f t="shared" si="2"/>
        <v>5.3573175875223557E-3</v>
      </c>
      <c r="F52" s="86">
        <f t="shared" si="3"/>
        <v>8.4706628627245512E-2</v>
      </c>
    </row>
    <row r="53" spans="1:6">
      <c r="A53" s="82">
        <v>45054</v>
      </c>
      <c r="B53" s="83">
        <v>110.515625</v>
      </c>
      <c r="C53" s="84">
        <f t="shared" si="0"/>
        <v>-3.592308234133972E-3</v>
      </c>
      <c r="D53" s="84">
        <f t="shared" si="1"/>
        <v>-3.5987760676386735E-3</v>
      </c>
      <c r="E53" s="85">
        <f t="shared" si="2"/>
        <v>5.6159478596685963E-3</v>
      </c>
      <c r="F53" s="86">
        <f t="shared" si="3"/>
        <v>8.8795932286502136E-2</v>
      </c>
    </row>
    <row r="54" spans="1:6">
      <c r="A54" s="82">
        <v>45051</v>
      </c>
      <c r="B54" s="83">
        <v>110.9140625</v>
      </c>
      <c r="C54" s="84">
        <f t="shared" si="0"/>
        <v>-6.2298754024919505E-3</v>
      </c>
      <c r="D54" s="84">
        <f t="shared" si="1"/>
        <v>-6.2493620513438481E-3</v>
      </c>
      <c r="E54" s="85">
        <f t="shared" si="2"/>
        <v>5.9959333485266973E-3</v>
      </c>
      <c r="F54" s="86">
        <f t="shared" si="3"/>
        <v>9.4804030399522801E-2</v>
      </c>
    </row>
    <row r="55" spans="1:6">
      <c r="A55" s="82">
        <v>45050</v>
      </c>
      <c r="B55" s="83">
        <v>111.609375</v>
      </c>
      <c r="C55" s="84">
        <f t="shared" si="0"/>
        <v>6.1271920557785763E-3</v>
      </c>
      <c r="D55" s="84">
        <f t="shared" si="1"/>
        <v>6.1084971405601374E-3</v>
      </c>
      <c r="E55" s="85">
        <f t="shared" si="2"/>
        <v>4.8669132689102487E-3</v>
      </c>
      <c r="F55" s="86">
        <f t="shared" si="3"/>
        <v>7.6952655521259697E-2</v>
      </c>
    </row>
    <row r="56" spans="1:6">
      <c r="A56" s="82">
        <v>45049</v>
      </c>
      <c r="B56" s="83">
        <v>110.9296875</v>
      </c>
      <c r="C56" s="84">
        <f t="shared" si="0"/>
        <v>2.4002823861630782E-3</v>
      </c>
      <c r="D56" s="84">
        <f t="shared" si="1"/>
        <v>2.397406309740749E-3</v>
      </c>
      <c r="E56" s="85">
        <f t="shared" si="2"/>
        <v>4.3781164026091886E-3</v>
      </c>
      <c r="F56" s="86">
        <f t="shared" si="3"/>
        <v>6.9224098467938935E-2</v>
      </c>
    </row>
    <row r="57" spans="1:6">
      <c r="A57" s="82">
        <v>45048</v>
      </c>
      <c r="B57" s="83">
        <v>110.6640625</v>
      </c>
      <c r="C57" s="84">
        <f t="shared" si="0"/>
        <v>6.8235126874689033E-3</v>
      </c>
      <c r="D57" s="84">
        <f t="shared" si="1"/>
        <v>6.8003378874037356E-3</v>
      </c>
      <c r="E57" s="85">
        <f t="shared" si="2"/>
        <v>5.7360681239944219E-3</v>
      </c>
      <c r="F57" s="86">
        <f t="shared" si="3"/>
        <v>9.0695200428557526E-2</v>
      </c>
    </row>
    <row r="58" spans="1:6">
      <c r="A58" s="82">
        <v>45047</v>
      </c>
      <c r="B58" s="83">
        <v>109.9140625</v>
      </c>
      <c r="C58" s="84">
        <f t="shared" si="0"/>
        <v>-3.8235502372017277E-3</v>
      </c>
      <c r="D58" s="84">
        <f t="shared" si="1"/>
        <v>-3.8308786918505675E-3</v>
      </c>
      <c r="E58" s="85">
        <f t="shared" si="2"/>
        <v>3.5264534580308855E-3</v>
      </c>
      <c r="F58" s="86">
        <f t="shared" si="3"/>
        <v>5.5758124949772989E-2</v>
      </c>
    </row>
    <row r="59" spans="1:6">
      <c r="A59" s="82">
        <v>45044</v>
      </c>
      <c r="B59" s="83">
        <v>110.3359375</v>
      </c>
      <c r="C59" s="84">
        <f t="shared" si="0"/>
        <v>2.5555476680627527E-3</v>
      </c>
      <c r="D59" s="84">
        <f t="shared" si="1"/>
        <v>2.5522878087569797E-3</v>
      </c>
      <c r="E59" s="85">
        <f t="shared" si="2"/>
        <v>5.3633003629762069E-3</v>
      </c>
      <c r="F59" s="86">
        <f t="shared" si="3"/>
        <v>8.4801224613063095E-2</v>
      </c>
    </row>
    <row r="60" spans="1:6">
      <c r="A60" s="82">
        <v>45043</v>
      </c>
      <c r="B60" s="83">
        <v>110.0546875</v>
      </c>
      <c r="C60" s="84">
        <f t="shared" si="0"/>
        <v>-5.5767330227304811E-3</v>
      </c>
      <c r="D60" s="84">
        <f t="shared" si="1"/>
        <v>-5.5923410532610178E-3</v>
      </c>
      <c r="E60" s="85">
        <f t="shared" si="2"/>
        <v>5.3556104968189256E-3</v>
      </c>
      <c r="F60" s="86">
        <f t="shared" si="3"/>
        <v>8.4679637153268816E-2</v>
      </c>
    </row>
    <row r="61" spans="1:6">
      <c r="A61" s="82">
        <v>45042</v>
      </c>
      <c r="B61" s="83">
        <v>110.671875</v>
      </c>
      <c r="C61" s="84">
        <f t="shared" si="0"/>
        <v>-1.4098406880022557E-3</v>
      </c>
      <c r="D61" s="84">
        <f t="shared" si="1"/>
        <v>-1.4108354484640914E-3</v>
      </c>
      <c r="E61" s="85">
        <f t="shared" si="2"/>
        <v>3.8205725548799024E-3</v>
      </c>
      <c r="F61" s="86">
        <f t="shared" si="3"/>
        <v>6.0408556196745719E-2</v>
      </c>
    </row>
    <row r="62" spans="1:6">
      <c r="A62" s="82">
        <v>45041</v>
      </c>
      <c r="B62" s="83">
        <v>110.828125</v>
      </c>
      <c r="C62" s="84">
        <f t="shared" si="0"/>
        <v>6.9562748438387282E-3</v>
      </c>
      <c r="D62" s="84">
        <f t="shared" si="1"/>
        <v>6.9321915859900255E-3</v>
      </c>
      <c r="E62" s="85">
        <f t="shared" si="2"/>
        <v>3.1840220479637327E-3</v>
      </c>
      <c r="F62" s="86">
        <f t="shared" si="3"/>
        <v>5.0343808958796421E-2</v>
      </c>
    </row>
    <row r="63" spans="1:6">
      <c r="A63" s="82">
        <v>45040</v>
      </c>
      <c r="B63" s="83">
        <v>110.0625</v>
      </c>
      <c r="C63" s="84">
        <f t="shared" si="0"/>
        <v>2.4905714082402333E-3</v>
      </c>
      <c r="D63" s="84">
        <f t="shared" si="1"/>
        <v>2.487475075296982E-3</v>
      </c>
      <c r="E63" s="85">
        <f t="shared" si="2"/>
        <v>2.6577118791999204E-3</v>
      </c>
      <c r="F63" s="86">
        <f t="shared" si="3"/>
        <v>4.2022114513790156E-2</v>
      </c>
    </row>
    <row r="64" spans="1:6">
      <c r="A64" s="82">
        <v>45037</v>
      </c>
      <c r="B64" s="83">
        <v>109.7890625</v>
      </c>
      <c r="C64" s="84">
        <f t="shared" si="0"/>
        <v>-7.8213879408418657E-4</v>
      </c>
      <c r="D64" s="84">
        <f t="shared" si="1"/>
        <v>-7.8244482421320981E-4</v>
      </c>
      <c r="E64" s="85">
        <f t="shared" si="2"/>
        <v>2.4229675602643473E-3</v>
      </c>
      <c r="F64" s="86">
        <f t="shared" si="3"/>
        <v>3.8310480935683136E-2</v>
      </c>
    </row>
    <row r="65" spans="1:6">
      <c r="A65" s="82">
        <v>45036</v>
      </c>
      <c r="B65" s="83">
        <v>109.875</v>
      </c>
      <c r="C65" s="84">
        <f t="shared" si="0"/>
        <v>3.6394776279169341E-3</v>
      </c>
      <c r="D65" s="84">
        <f t="shared" si="1"/>
        <v>3.6328707547405308E-3</v>
      </c>
      <c r="E65" s="85">
        <f t="shared" si="2"/>
        <v>3.0748436619140555E-3</v>
      </c>
      <c r="F65" s="86">
        <f t="shared" si="3"/>
        <v>4.861754710290575E-2</v>
      </c>
    </row>
    <row r="66" spans="1:6">
      <c r="A66" s="82">
        <v>45035</v>
      </c>
      <c r="B66" s="83">
        <v>109.4765625</v>
      </c>
      <c r="C66" s="84">
        <f t="shared" ref="C66:C129" si="4">(B66-B67)/B67</f>
        <v>-1.9941599601168009E-3</v>
      </c>
      <c r="D66" s="84">
        <f t="shared" si="1"/>
        <v>-1.9961509444244799E-3</v>
      </c>
      <c r="E66" s="85">
        <f t="shared" si="2"/>
        <v>2.1917381629688723E-3</v>
      </c>
      <c r="F66" s="86">
        <f t="shared" si="3"/>
        <v>3.4654423148474736E-2</v>
      </c>
    </row>
    <row r="67" spans="1:6">
      <c r="A67" s="82">
        <v>45034</v>
      </c>
      <c r="B67" s="83">
        <v>109.6953125</v>
      </c>
      <c r="C67" s="84">
        <f t="shared" si="4"/>
        <v>5.7008480011401692E-4</v>
      </c>
      <c r="D67" s="84">
        <f t="shared" ref="D67:D130" si="5">LN(B67/B68)</f>
        <v>5.6992236350650283E-4</v>
      </c>
      <c r="E67" s="85">
        <f t="shared" ref="E67:E130" si="6">STDEV(D67:D70)</f>
        <v>2.2482043298179349E-3</v>
      </c>
      <c r="F67" s="86">
        <f t="shared" ref="F67:F130" si="7">E67*250^0.5</f>
        <v>3.5547231638385392E-2</v>
      </c>
    </row>
    <row r="68" spans="1:6">
      <c r="A68" s="82">
        <v>45033</v>
      </c>
      <c r="B68" s="83">
        <v>109.6328125</v>
      </c>
      <c r="C68" s="84">
        <f t="shared" si="4"/>
        <v>-3.3380681818181816E-3</v>
      </c>
      <c r="D68" s="84">
        <f t="shared" si="5"/>
        <v>-3.3436519608976397E-3</v>
      </c>
      <c r="E68" s="85">
        <f t="shared" si="6"/>
        <v>3.4267849383592536E-3</v>
      </c>
      <c r="F68" s="86">
        <f t="shared" si="7"/>
        <v>5.4182227283874722E-2</v>
      </c>
    </row>
    <row r="69" spans="1:6">
      <c r="A69" s="82">
        <v>45030</v>
      </c>
      <c r="B69" s="83">
        <v>110</v>
      </c>
      <c r="C69" s="84">
        <f t="shared" si="4"/>
        <v>-4.5248868778280547E-3</v>
      </c>
      <c r="D69" s="84">
        <f t="shared" si="5"/>
        <v>-4.5351551653912622E-3</v>
      </c>
      <c r="E69" s="85">
        <f t="shared" si="6"/>
        <v>3.2113203776902642E-3</v>
      </c>
      <c r="F69" s="86">
        <f t="shared" si="7"/>
        <v>5.077543345006702E-2</v>
      </c>
    </row>
    <row r="70" spans="1:6">
      <c r="A70" s="82">
        <v>45029</v>
      </c>
      <c r="B70" s="83">
        <v>110.5</v>
      </c>
      <c r="C70" s="84">
        <f t="shared" si="4"/>
        <v>-1.3415236884840782E-3</v>
      </c>
      <c r="D70" s="84">
        <f t="shared" si="5"/>
        <v>-1.3424243369717418E-3</v>
      </c>
      <c r="E70" s="85">
        <f t="shared" si="6"/>
        <v>2.3344192350469085E-3</v>
      </c>
      <c r="F70" s="86">
        <f t="shared" si="7"/>
        <v>3.6910408982280977E-2</v>
      </c>
    </row>
    <row r="71" spans="1:6">
      <c r="A71" s="82">
        <v>45028</v>
      </c>
      <c r="B71" s="83">
        <v>110.6484375</v>
      </c>
      <c r="C71" s="84">
        <f t="shared" si="4"/>
        <v>3.2584826804561875E-3</v>
      </c>
      <c r="D71" s="84">
        <f t="shared" si="5"/>
        <v>3.2531853301968755E-3</v>
      </c>
      <c r="E71" s="85">
        <f t="shared" si="6"/>
        <v>3.4671193034114017E-3</v>
      </c>
      <c r="F71" s="86">
        <f t="shared" si="7"/>
        <v>5.4819969591582141E-2</v>
      </c>
    </row>
    <row r="72" spans="1:6">
      <c r="A72" s="82">
        <v>45027</v>
      </c>
      <c r="B72" s="83">
        <v>110.2890625</v>
      </c>
      <c r="C72" s="84">
        <f t="shared" si="4"/>
        <v>-1.4853586080067903E-3</v>
      </c>
      <c r="D72" s="84">
        <f t="shared" si="5"/>
        <v>-1.4864628466997479E-3</v>
      </c>
      <c r="E72" s="85">
        <f t="shared" si="6"/>
        <v>2.0370843699527475E-3</v>
      </c>
      <c r="F72" s="86">
        <f t="shared" si="7"/>
        <v>3.2209131974898754E-2</v>
      </c>
    </row>
    <row r="73" spans="1:6">
      <c r="A73" s="82">
        <v>45026</v>
      </c>
      <c r="B73" s="83">
        <v>110.453125</v>
      </c>
      <c r="C73" s="84">
        <f t="shared" si="4"/>
        <v>-1.4126289023873428E-3</v>
      </c>
      <c r="D73" s="84">
        <f t="shared" si="5"/>
        <v>-1.4136276032352118E-3</v>
      </c>
      <c r="E73" s="85">
        <f t="shared" si="6"/>
        <v>3.0166991077043548E-3</v>
      </c>
      <c r="F73" s="86">
        <f t="shared" si="7"/>
        <v>4.7698200978716826E-2</v>
      </c>
    </row>
    <row r="74" spans="1:6">
      <c r="A74" s="82">
        <v>45023</v>
      </c>
      <c r="B74" s="83">
        <v>110.609375</v>
      </c>
      <c r="C74" s="84">
        <f t="shared" si="4"/>
        <v>-5.1995503091624507E-3</v>
      </c>
      <c r="D74" s="84">
        <f t="shared" si="5"/>
        <v>-5.2131150115364809E-3</v>
      </c>
      <c r="E74" s="85">
        <f t="shared" si="6"/>
        <v>4.6142832401074975E-3</v>
      </c>
      <c r="F74" s="86">
        <f t="shared" si="7"/>
        <v>7.2958224039406522E-2</v>
      </c>
    </row>
    <row r="75" spans="1:6">
      <c r="A75" s="82">
        <v>45022</v>
      </c>
      <c r="B75" s="83">
        <v>111.1875</v>
      </c>
      <c r="C75" s="84">
        <f t="shared" si="4"/>
        <v>-7.021485746383935E-4</v>
      </c>
      <c r="D75" s="84">
        <f t="shared" si="5"/>
        <v>-7.0239519639895295E-4</v>
      </c>
      <c r="E75" s="85">
        <f t="shared" si="6"/>
        <v>2.6913057199742137E-3</v>
      </c>
      <c r="F75" s="86">
        <f t="shared" si="7"/>
        <v>4.2553279774789156E-2</v>
      </c>
    </row>
    <row r="76" spans="1:6">
      <c r="A76" s="82">
        <v>45021</v>
      </c>
      <c r="B76" s="83">
        <v>111.265625</v>
      </c>
      <c r="C76" s="84">
        <f t="shared" si="4"/>
        <v>2.1108922037714607E-3</v>
      </c>
      <c r="D76" s="84">
        <f t="shared" si="5"/>
        <v>2.1086674011522684E-3</v>
      </c>
      <c r="E76" s="85">
        <f t="shared" si="6"/>
        <v>1.7161017625874756E-3</v>
      </c>
      <c r="F76" s="86">
        <f t="shared" si="7"/>
        <v>2.7133951332029768E-2</v>
      </c>
    </row>
    <row r="77" spans="1:6">
      <c r="A77" s="82">
        <v>45020</v>
      </c>
      <c r="B77" s="83">
        <v>111.03125</v>
      </c>
      <c r="C77" s="84">
        <f t="shared" si="4"/>
        <v>5.7320784091713251E-3</v>
      </c>
      <c r="D77" s="84">
        <f t="shared" si="5"/>
        <v>5.7157125581714253E-3</v>
      </c>
      <c r="E77" s="85">
        <f t="shared" si="6"/>
        <v>2.2743205494619406E-3</v>
      </c>
      <c r="F77" s="86">
        <f t="shared" si="7"/>
        <v>3.596016532812684E-2</v>
      </c>
    </row>
    <row r="78" spans="1:6">
      <c r="A78" s="82">
        <v>45019</v>
      </c>
      <c r="B78" s="83">
        <v>110.3984375</v>
      </c>
      <c r="C78" s="84">
        <f t="shared" si="4"/>
        <v>3.5508841701583694E-3</v>
      </c>
      <c r="D78" s="84">
        <f t="shared" si="5"/>
        <v>3.544594665434535E-3</v>
      </c>
      <c r="E78" s="85">
        <f t="shared" si="6"/>
        <v>1.8757858847418679E-3</v>
      </c>
      <c r="F78" s="86">
        <f t="shared" si="7"/>
        <v>2.9658778992891936E-2</v>
      </c>
    </row>
    <row r="79" spans="1:6">
      <c r="A79" s="82">
        <v>45016</v>
      </c>
      <c r="B79" s="83">
        <v>110.0078125</v>
      </c>
      <c r="C79" s="84">
        <f t="shared" si="4"/>
        <v>2.06376316538571E-3</v>
      </c>
      <c r="D79" s="84">
        <f t="shared" si="5"/>
        <v>2.0616365315939775E-3</v>
      </c>
      <c r="E79" s="85">
        <f t="shared" si="6"/>
        <v>2.0522533464586413E-3</v>
      </c>
      <c r="F79" s="86">
        <f t="shared" si="7"/>
        <v>3.2448974552559788E-2</v>
      </c>
    </row>
    <row r="80" spans="1:6">
      <c r="A80" s="82">
        <v>45015</v>
      </c>
      <c r="B80" s="83">
        <v>109.78125</v>
      </c>
      <c r="C80" s="84">
        <f t="shared" si="4"/>
        <v>3.5594788922901688E-4</v>
      </c>
      <c r="D80" s="84">
        <f t="shared" si="5"/>
        <v>3.5588455480779139E-4</v>
      </c>
      <c r="E80" s="85">
        <f t="shared" si="6"/>
        <v>3.5746124573780768E-3</v>
      </c>
      <c r="F80" s="86">
        <f t="shared" si="7"/>
        <v>5.6519585588631426E-2</v>
      </c>
    </row>
    <row r="81" spans="1:6">
      <c r="A81" s="82">
        <v>45014</v>
      </c>
      <c r="B81" s="83">
        <v>109.7421875</v>
      </c>
      <c r="C81" s="84">
        <f t="shared" si="4"/>
        <v>-7.1138934338763602E-4</v>
      </c>
      <c r="D81" s="84">
        <f t="shared" si="5"/>
        <v>-7.1164250085607153E-4</v>
      </c>
      <c r="E81" s="85">
        <f t="shared" si="6"/>
        <v>3.5335429578489345E-3</v>
      </c>
      <c r="F81" s="86">
        <f t="shared" si="7"/>
        <v>5.587021978425491E-2</v>
      </c>
    </row>
    <row r="82" spans="1:6">
      <c r="A82" s="82">
        <v>45013</v>
      </c>
      <c r="B82" s="83">
        <v>109.8203125</v>
      </c>
      <c r="C82" s="84">
        <f t="shared" si="4"/>
        <v>-2.8374831524437824E-3</v>
      </c>
      <c r="D82" s="84">
        <f t="shared" si="5"/>
        <v>-2.8415164391595513E-3</v>
      </c>
      <c r="E82" s="85">
        <f t="shared" si="6"/>
        <v>6.0334383532183429E-3</v>
      </c>
      <c r="F82" s="86">
        <f t="shared" si="7"/>
        <v>9.5397036591927303E-2</v>
      </c>
    </row>
    <row r="83" spans="1:6">
      <c r="A83" s="82">
        <v>45012</v>
      </c>
      <c r="B83" s="83">
        <v>110.1328125</v>
      </c>
      <c r="C83" s="84">
        <f t="shared" si="4"/>
        <v>-7.6728143038152889E-3</v>
      </c>
      <c r="D83" s="84">
        <f t="shared" si="5"/>
        <v>-7.7024017868298541E-3</v>
      </c>
      <c r="E83" s="85">
        <f t="shared" si="6"/>
        <v>7.0286153325180454E-3</v>
      </c>
      <c r="F83" s="86">
        <f t="shared" si="7"/>
        <v>0.1111321662396938</v>
      </c>
    </row>
    <row r="84" spans="1:6">
      <c r="A84" s="82">
        <v>45009</v>
      </c>
      <c r="B84" s="83">
        <v>110.984375</v>
      </c>
      <c r="C84" s="84">
        <f t="shared" si="4"/>
        <v>2.1122298106033936E-4</v>
      </c>
      <c r="D84" s="84">
        <f t="shared" si="5"/>
        <v>2.1120067662713058E-4</v>
      </c>
      <c r="E84" s="85">
        <f t="shared" si="6"/>
        <v>6.831836147467997E-3</v>
      </c>
      <c r="F84" s="86">
        <f t="shared" si="7"/>
        <v>0.10802081413534426</v>
      </c>
    </row>
    <row r="85" spans="1:6">
      <c r="A85" s="82">
        <v>45008</v>
      </c>
      <c r="B85" s="83">
        <v>110.9609375</v>
      </c>
      <c r="C85" s="84">
        <f t="shared" si="4"/>
        <v>6.7337680748511481E-3</v>
      </c>
      <c r="D85" s="84">
        <f t="shared" si="5"/>
        <v>6.7111975251854406E-3</v>
      </c>
      <c r="E85" s="85">
        <f t="shared" si="6"/>
        <v>7.6111473871926299E-3</v>
      </c>
      <c r="F85" s="86">
        <f t="shared" si="7"/>
        <v>0.12034280675384092</v>
      </c>
    </row>
    <row r="86" spans="1:6">
      <c r="A86" s="82">
        <v>45007</v>
      </c>
      <c r="B86" s="83">
        <v>110.21875</v>
      </c>
      <c r="C86" s="84">
        <f t="shared" si="4"/>
        <v>7.4264495858326193E-3</v>
      </c>
      <c r="D86" s="84">
        <f t="shared" si="5"/>
        <v>7.3990092813864157E-3</v>
      </c>
      <c r="E86" s="85">
        <f t="shared" si="6"/>
        <v>9.0802059614386484E-3</v>
      </c>
      <c r="F86" s="86">
        <f t="shared" si="7"/>
        <v>0.14357066230792589</v>
      </c>
    </row>
    <row r="87" spans="1:6">
      <c r="A87" s="82">
        <v>45006</v>
      </c>
      <c r="B87" s="83">
        <v>109.40625</v>
      </c>
      <c r="C87" s="84">
        <f t="shared" si="4"/>
        <v>-7.2309655465759249E-3</v>
      </c>
      <c r="D87" s="84">
        <f t="shared" si="5"/>
        <v>-7.2572356935681655E-3</v>
      </c>
      <c r="E87" s="85">
        <f t="shared" si="6"/>
        <v>8.9223431278808146E-3</v>
      </c>
      <c r="F87" s="86">
        <f t="shared" si="7"/>
        <v>0.14107463174827181</v>
      </c>
    </row>
    <row r="88" spans="1:6">
      <c r="A88" s="82">
        <v>45005</v>
      </c>
      <c r="B88" s="83">
        <v>110.203125</v>
      </c>
      <c r="C88" s="84">
        <f t="shared" si="4"/>
        <v>-4.7272983842517463E-3</v>
      </c>
      <c r="D88" s="84">
        <f t="shared" si="5"/>
        <v>-4.738507398780914E-3</v>
      </c>
      <c r="E88" s="85">
        <f t="shared" si="6"/>
        <v>9.4531149982573295E-3</v>
      </c>
      <c r="F88" s="86">
        <f t="shared" si="7"/>
        <v>0.149466871889959</v>
      </c>
    </row>
    <row r="89" spans="1:6">
      <c r="A89" s="82">
        <v>45002</v>
      </c>
      <c r="B89" s="83">
        <v>110.7265625</v>
      </c>
      <c r="C89" s="84">
        <f t="shared" si="4"/>
        <v>1.1417969028759009E-2</v>
      </c>
      <c r="D89" s="84">
        <f t="shared" si="5"/>
        <v>1.1353275996687685E-2</v>
      </c>
      <c r="E89" s="85">
        <f t="shared" si="6"/>
        <v>9.6810303110215507E-3</v>
      </c>
      <c r="F89" s="86">
        <f t="shared" si="7"/>
        <v>0.15307052939978194</v>
      </c>
    </row>
    <row r="90" spans="1:6">
      <c r="A90" s="82">
        <v>45001</v>
      </c>
      <c r="B90" s="83">
        <v>109.4765625</v>
      </c>
      <c r="C90" s="84">
        <f t="shared" si="4"/>
        <v>-7.0153061224489796E-3</v>
      </c>
      <c r="D90" s="84">
        <f t="shared" si="5"/>
        <v>-7.0400290763547868E-3</v>
      </c>
      <c r="E90" s="85">
        <f t="shared" si="6"/>
        <v>9.9471673347089409E-3</v>
      </c>
      <c r="F90" s="86">
        <f t="shared" si="7"/>
        <v>0.15727852522253361</v>
      </c>
    </row>
    <row r="91" spans="1:6">
      <c r="A91" s="82">
        <v>45000</v>
      </c>
      <c r="B91" s="83">
        <v>110.25</v>
      </c>
      <c r="C91" s="84">
        <f t="shared" si="4"/>
        <v>9.3698590944853739E-3</v>
      </c>
      <c r="D91" s="84">
        <f t="shared" si="5"/>
        <v>9.3262342587478626E-3</v>
      </c>
      <c r="E91" s="85">
        <f t="shared" si="6"/>
        <v>8.3150861165342937E-3</v>
      </c>
      <c r="F91" s="86">
        <f t="shared" si="7"/>
        <v>0.13147305534346321</v>
      </c>
    </row>
    <row r="92" spans="1:6">
      <c r="A92" s="82">
        <v>44999</v>
      </c>
      <c r="B92" s="83">
        <v>109.2265625</v>
      </c>
      <c r="C92" s="84">
        <f t="shared" si="4"/>
        <v>-5.61877667140825E-3</v>
      </c>
      <c r="D92" s="84">
        <f t="shared" si="5"/>
        <v>-5.6346213768312522E-3</v>
      </c>
      <c r="E92" s="85">
        <f t="shared" si="6"/>
        <v>8.133832218635945E-3</v>
      </c>
      <c r="F92" s="86">
        <f t="shared" si="7"/>
        <v>0.12860717958275125</v>
      </c>
    </row>
    <row r="93" spans="1:6">
      <c r="A93" s="82">
        <v>44998</v>
      </c>
      <c r="B93" s="83">
        <v>109.84375</v>
      </c>
      <c r="C93" s="84">
        <f t="shared" si="4"/>
        <v>1.2239020878329733E-2</v>
      </c>
      <c r="D93" s="84">
        <f t="shared" si="5"/>
        <v>1.2164729616266556E-2</v>
      </c>
      <c r="E93" s="85">
        <f t="shared" si="6"/>
        <v>6.1079622574312471E-3</v>
      </c>
      <c r="F93" s="86">
        <f t="shared" si="7"/>
        <v>9.6575362979132273E-2</v>
      </c>
    </row>
    <row r="94" spans="1:6">
      <c r="A94" s="82">
        <v>44995</v>
      </c>
      <c r="B94" s="83">
        <v>108.515625</v>
      </c>
      <c r="C94" s="84">
        <f t="shared" si="4"/>
        <v>1.1064201484932305E-2</v>
      </c>
      <c r="D94" s="84">
        <f t="shared" si="5"/>
        <v>1.1003440974562484E-2</v>
      </c>
      <c r="E94" s="85">
        <f t="shared" si="6"/>
        <v>6.0972985977724818E-3</v>
      </c>
      <c r="F94" s="86">
        <f t="shared" si="7"/>
        <v>9.6406755715559511E-2</v>
      </c>
    </row>
    <row r="95" spans="1:6">
      <c r="A95" s="82">
        <v>44994</v>
      </c>
      <c r="B95" s="83">
        <v>107.328125</v>
      </c>
      <c r="C95" s="84">
        <f t="shared" si="4"/>
        <v>5.4156908665105386E-3</v>
      </c>
      <c r="D95" s="84">
        <f t="shared" si="5"/>
        <v>5.4010787454758912E-3</v>
      </c>
      <c r="E95" s="85">
        <f t="shared" si="6"/>
        <v>3.3932203636336416E-3</v>
      </c>
      <c r="F95" s="86">
        <f t="shared" si="7"/>
        <v>5.3651524759735447E-2</v>
      </c>
    </row>
    <row r="96" spans="1:6">
      <c r="A96" s="82">
        <v>44993</v>
      </c>
      <c r="B96" s="83">
        <v>106.75</v>
      </c>
      <c r="C96" s="84">
        <f t="shared" si="4"/>
        <v>-1.1695906432748538E-3</v>
      </c>
      <c r="D96" s="84">
        <f t="shared" si="5"/>
        <v>-1.1702751481903206E-3</v>
      </c>
      <c r="E96" s="85">
        <f t="shared" si="6"/>
        <v>2.0308082225852357E-3</v>
      </c>
      <c r="F96" s="86">
        <f t="shared" si="7"/>
        <v>3.2109897371837719E-2</v>
      </c>
    </row>
    <row r="97" spans="1:6">
      <c r="A97" s="82">
        <v>44992</v>
      </c>
      <c r="B97" s="83">
        <v>106.875</v>
      </c>
      <c r="C97" s="84">
        <f t="shared" si="4"/>
        <v>-1.969796454366382E-3</v>
      </c>
      <c r="D97" s="84">
        <f t="shared" si="5"/>
        <v>-1.9717390548397024E-3</v>
      </c>
      <c r="E97" s="85">
        <f t="shared" si="6"/>
        <v>2.2622426140679569E-3</v>
      </c>
      <c r="F97" s="86">
        <f t="shared" si="7"/>
        <v>3.5769196401740082E-2</v>
      </c>
    </row>
    <row r="98" spans="1:6">
      <c r="A98" s="82">
        <v>44991</v>
      </c>
      <c r="B98" s="83">
        <v>107.0859375</v>
      </c>
      <c r="C98" s="84">
        <f t="shared" si="4"/>
        <v>-8.0186616124799535E-4</v>
      </c>
      <c r="D98" s="84">
        <f t="shared" si="5"/>
        <v>-8.0218782788549995E-4</v>
      </c>
      <c r="E98" s="85">
        <f t="shared" si="6"/>
        <v>2.7757682772440472E-3</v>
      </c>
      <c r="F98" s="86">
        <f t="shared" si="7"/>
        <v>4.388875006466459E-2</v>
      </c>
    </row>
    <row r="99" spans="1:6">
      <c r="A99" s="82">
        <v>44988</v>
      </c>
      <c r="B99" s="83">
        <v>107.171875</v>
      </c>
      <c r="C99" s="84">
        <f t="shared" si="4"/>
        <v>2.6311942698435901E-3</v>
      </c>
      <c r="D99" s="84">
        <f t="shared" si="5"/>
        <v>2.6277387383233809E-3</v>
      </c>
      <c r="E99" s="85">
        <f t="shared" si="6"/>
        <v>2.824691020524931E-3</v>
      </c>
      <c r="F99" s="86">
        <f t="shared" si="7"/>
        <v>4.4662286555421052E-2</v>
      </c>
    </row>
    <row r="100" spans="1:6">
      <c r="A100" s="82">
        <v>44987</v>
      </c>
      <c r="B100" s="83">
        <v>106.890625</v>
      </c>
      <c r="C100" s="84">
        <f t="shared" si="4"/>
        <v>-2.3333819454571972E-3</v>
      </c>
      <c r="D100" s="84">
        <f t="shared" si="5"/>
        <v>-2.3361085233664183E-3</v>
      </c>
      <c r="E100" s="85">
        <f t="shared" si="6"/>
        <v>2.4399388329749538E-3</v>
      </c>
      <c r="F100" s="86">
        <f t="shared" si="7"/>
        <v>3.8578820318470014E-2</v>
      </c>
    </row>
    <row r="101" spans="1:6">
      <c r="A101" s="82">
        <v>44986</v>
      </c>
      <c r="B101" s="83">
        <v>107.140625</v>
      </c>
      <c r="C101" s="84">
        <f t="shared" si="4"/>
        <v>-3.849785719474105E-3</v>
      </c>
      <c r="D101" s="84">
        <f t="shared" si="5"/>
        <v>-3.8572152186334826E-3</v>
      </c>
      <c r="E101" s="85">
        <f t="shared" si="6"/>
        <v>3.0190923011671439E-3</v>
      </c>
      <c r="F101" s="86">
        <f t="shared" si="7"/>
        <v>4.7736040689836015E-2</v>
      </c>
    </row>
    <row r="102" spans="1:6">
      <c r="A102" s="82">
        <v>44985</v>
      </c>
      <c r="B102" s="83">
        <v>107.5546875</v>
      </c>
      <c r="C102" s="84">
        <f t="shared" si="4"/>
        <v>-7.2632190586868097E-5</v>
      </c>
      <c r="D102" s="84">
        <f t="shared" si="5"/>
        <v>-7.2634828432124816E-5</v>
      </c>
      <c r="E102" s="85">
        <f t="shared" si="6"/>
        <v>2.8636922676361647E-3</v>
      </c>
      <c r="F102" s="86">
        <f t="shared" si="7"/>
        <v>4.5278950417713855E-2</v>
      </c>
    </row>
    <row r="103" spans="1:6">
      <c r="A103" s="82">
        <v>44984</v>
      </c>
      <c r="B103" s="83">
        <v>107.5625</v>
      </c>
      <c r="C103" s="84">
        <f t="shared" si="4"/>
        <v>1.6733357584576209E-3</v>
      </c>
      <c r="D103" s="84">
        <f t="shared" si="5"/>
        <v>1.6719372920291557E-3</v>
      </c>
      <c r="E103" s="85">
        <f t="shared" si="6"/>
        <v>2.9380628789380772E-3</v>
      </c>
      <c r="F103" s="86">
        <f t="shared" si="7"/>
        <v>4.6454853031179376E-2</v>
      </c>
    </row>
    <row r="104" spans="1:6">
      <c r="A104" s="82">
        <v>44981</v>
      </c>
      <c r="B104" s="83">
        <v>107.3828125</v>
      </c>
      <c r="C104" s="84">
        <f t="shared" si="4"/>
        <v>-4.6346585560141937E-3</v>
      </c>
      <c r="D104" s="84">
        <f t="shared" si="5"/>
        <v>-4.6454318860050395E-3</v>
      </c>
      <c r="E104" s="85">
        <f t="shared" si="6"/>
        <v>2.9301694989811544E-3</v>
      </c>
      <c r="F104" s="86">
        <f t="shared" si="7"/>
        <v>4.6330047735674389E-2</v>
      </c>
    </row>
    <row r="105" spans="1:6">
      <c r="A105" s="82">
        <v>44980</v>
      </c>
      <c r="B105" s="83">
        <v>107.8828125</v>
      </c>
      <c r="C105" s="84">
        <f t="shared" si="4"/>
        <v>1.0874293170943889E-3</v>
      </c>
      <c r="D105" s="84">
        <f t="shared" si="5"/>
        <v>1.0868384941145695E-3</v>
      </c>
      <c r="E105" s="85">
        <f t="shared" si="6"/>
        <v>2.1588389665703322E-3</v>
      </c>
      <c r="F105" s="86">
        <f t="shared" si="7"/>
        <v>3.4134241179431757E-2</v>
      </c>
    </row>
    <row r="106" spans="1:6">
      <c r="A106" s="82">
        <v>44979</v>
      </c>
      <c r="B106" s="83">
        <v>107.765625</v>
      </c>
      <c r="C106" s="84">
        <f t="shared" si="4"/>
        <v>7.9808459696727857E-4</v>
      </c>
      <c r="D106" s="84">
        <f t="shared" si="5"/>
        <v>7.9776629679771064E-4</v>
      </c>
      <c r="E106" s="85">
        <f t="shared" si="6"/>
        <v>1.9725541920617142E-3</v>
      </c>
      <c r="F106" s="86">
        <f t="shared" si="7"/>
        <v>3.1188820275141228E-2</v>
      </c>
    </row>
    <row r="107" spans="1:6">
      <c r="A107" s="82">
        <v>44978</v>
      </c>
      <c r="B107" s="83">
        <v>107.6796875</v>
      </c>
      <c r="C107" s="84">
        <f t="shared" si="4"/>
        <v>-3.4704648976935869E-3</v>
      </c>
      <c r="D107" s="84">
        <f t="shared" si="5"/>
        <v>-3.4765009302690263E-3</v>
      </c>
      <c r="E107" s="85">
        <f t="shared" si="6"/>
        <v>1.7363228645842844E-3</v>
      </c>
      <c r="F107" s="86">
        <f t="shared" si="7"/>
        <v>2.7453675027572243E-2</v>
      </c>
    </row>
    <row r="108" spans="1:6">
      <c r="A108" s="82">
        <v>44974</v>
      </c>
      <c r="B108" s="83">
        <v>108.0546875</v>
      </c>
      <c r="C108" s="84">
        <f t="shared" si="4"/>
        <v>5.7874556897923751E-4</v>
      </c>
      <c r="D108" s="84">
        <f t="shared" si="5"/>
        <v>5.7857816035060264E-4</v>
      </c>
      <c r="E108" s="85">
        <f t="shared" si="6"/>
        <v>1.7940238602182565E-3</v>
      </c>
      <c r="F108" s="86">
        <f t="shared" si="7"/>
        <v>2.8366007874886159E-2</v>
      </c>
    </row>
    <row r="109" spans="1:6">
      <c r="A109" s="82">
        <v>44973</v>
      </c>
      <c r="B109" s="83">
        <v>107.9921875</v>
      </c>
      <c r="C109" s="84">
        <f t="shared" si="4"/>
        <v>-3.6158518947063931E-4</v>
      </c>
      <c r="D109" s="84">
        <f t="shared" si="5"/>
        <v>-3.6165057715784694E-4</v>
      </c>
      <c r="E109" s="85">
        <f t="shared" si="6"/>
        <v>1.4994087739976633E-3</v>
      </c>
      <c r="F109" s="86">
        <f t="shared" si="7"/>
        <v>2.3707734347366345E-2</v>
      </c>
    </row>
    <row r="110" spans="1:6">
      <c r="A110" s="82">
        <v>44972</v>
      </c>
      <c r="B110" s="83">
        <v>108.03125</v>
      </c>
      <c r="C110" s="84">
        <f t="shared" si="4"/>
        <v>-1.30001444460494E-3</v>
      </c>
      <c r="D110" s="84">
        <f t="shared" si="5"/>
        <v>-1.3008601964555604E-3</v>
      </c>
      <c r="E110" s="85">
        <f t="shared" si="6"/>
        <v>1.3169878220520247E-3</v>
      </c>
      <c r="F110" s="86">
        <f t="shared" si="7"/>
        <v>2.0823405841944632E-2</v>
      </c>
    </row>
    <row r="111" spans="1:6">
      <c r="A111" s="82">
        <v>44971</v>
      </c>
      <c r="B111" s="83">
        <v>108.171875</v>
      </c>
      <c r="C111" s="84">
        <f t="shared" si="4"/>
        <v>-3.5981577432354635E-3</v>
      </c>
      <c r="D111" s="84">
        <f t="shared" si="5"/>
        <v>-3.6046466829701344E-3</v>
      </c>
      <c r="E111" s="85">
        <f t="shared" si="6"/>
        <v>1.3777857969469814E-3</v>
      </c>
      <c r="F111" s="86">
        <f t="shared" si="7"/>
        <v>2.1784706230913629E-2</v>
      </c>
    </row>
    <row r="112" spans="1:6">
      <c r="A112" s="82">
        <v>44970</v>
      </c>
      <c r="B112" s="83">
        <v>108.5625</v>
      </c>
      <c r="C112" s="84">
        <f t="shared" si="4"/>
        <v>-5.0348845572897936E-4</v>
      </c>
      <c r="D112" s="84">
        <f t="shared" si="5"/>
        <v>-5.036152486024842E-4</v>
      </c>
      <c r="E112" s="85">
        <f t="shared" si="6"/>
        <v>1.7067692748732695E-3</v>
      </c>
      <c r="F112" s="86">
        <f t="shared" si="7"/>
        <v>2.6986391744967621E-2</v>
      </c>
    </row>
    <row r="113" spans="1:6">
      <c r="A113" s="82">
        <v>44967</v>
      </c>
      <c r="B113" s="83">
        <v>108.6171875</v>
      </c>
      <c r="C113" s="84">
        <f t="shared" si="4"/>
        <v>-1.6515869596438317E-3</v>
      </c>
      <c r="D113" s="84">
        <f t="shared" si="5"/>
        <v>-1.6529523329487361E-3</v>
      </c>
      <c r="E113" s="85">
        <f t="shared" si="6"/>
        <v>1.6738084882823804E-3</v>
      </c>
      <c r="F113" s="86">
        <f t="shared" si="7"/>
        <v>2.6465235949477889E-2</v>
      </c>
    </row>
    <row r="114" spans="1:6">
      <c r="A114" s="82">
        <v>44966</v>
      </c>
      <c r="B114" s="83">
        <v>108.796875</v>
      </c>
      <c r="C114" s="84">
        <f t="shared" si="4"/>
        <v>-2.9354907997422497E-3</v>
      </c>
      <c r="D114" s="84">
        <f t="shared" si="5"/>
        <v>-2.9398078032792439E-3</v>
      </c>
      <c r="E114" s="85">
        <f t="shared" si="6"/>
        <v>3.1589659218453281E-3</v>
      </c>
      <c r="F114" s="86">
        <f t="shared" si="7"/>
        <v>4.9947636819423456E-2</v>
      </c>
    </row>
    <row r="115" spans="1:6">
      <c r="A115" s="82">
        <v>44965</v>
      </c>
      <c r="B115" s="83">
        <v>109.1171875</v>
      </c>
      <c r="C115" s="84">
        <f t="shared" si="4"/>
        <v>1.0751146788990826E-3</v>
      </c>
      <c r="D115" s="84">
        <f t="shared" si="5"/>
        <v>1.0745371570103641E-3</v>
      </c>
      <c r="E115" s="85">
        <f t="shared" si="6"/>
        <v>4.3258104471111747E-3</v>
      </c>
      <c r="F115" s="86">
        <f t="shared" si="7"/>
        <v>6.8397068695113278E-2</v>
      </c>
    </row>
    <row r="116" spans="1:6">
      <c r="A116" s="82">
        <v>44964</v>
      </c>
      <c r="B116" s="83">
        <v>109</v>
      </c>
      <c r="C116" s="84">
        <f t="shared" si="4"/>
        <v>-1.2169804567256067E-3</v>
      </c>
      <c r="D116" s="84">
        <f t="shared" si="5"/>
        <v>-1.2177215787900046E-3</v>
      </c>
      <c r="E116" s="85">
        <f t="shared" si="6"/>
        <v>4.1926413849609004E-3</v>
      </c>
      <c r="F116" s="86">
        <f t="shared" si="7"/>
        <v>6.6291480943796346E-2</v>
      </c>
    </row>
    <row r="117" spans="1:6">
      <c r="A117" s="82">
        <v>44963</v>
      </c>
      <c r="B117" s="83">
        <v>109.1328125</v>
      </c>
      <c r="C117" s="84">
        <f t="shared" si="4"/>
        <v>-6.4015932854399318E-3</v>
      </c>
      <c r="D117" s="84">
        <f t="shared" si="5"/>
        <v>-6.4221713523564426E-3</v>
      </c>
      <c r="E117" s="85">
        <f t="shared" si="6"/>
        <v>6.5852304420096416E-3</v>
      </c>
      <c r="F117" s="86">
        <f t="shared" si="7"/>
        <v>0.10412163556913916</v>
      </c>
    </row>
    <row r="118" spans="1:6">
      <c r="A118" s="82">
        <v>44960</v>
      </c>
      <c r="B118" s="83">
        <v>109.8359375</v>
      </c>
      <c r="C118" s="84">
        <f t="shared" si="4"/>
        <v>-8.1134471567659086E-3</v>
      </c>
      <c r="D118" s="84">
        <f t="shared" si="5"/>
        <v>-8.1465402902938799E-3</v>
      </c>
      <c r="E118" s="85">
        <f t="shared" si="6"/>
        <v>5.9948978369758496E-3</v>
      </c>
      <c r="F118" s="86">
        <f t="shared" si="7"/>
        <v>9.4787657524302335E-2</v>
      </c>
    </row>
    <row r="119" spans="1:6">
      <c r="A119" s="82">
        <v>44959</v>
      </c>
      <c r="B119" s="83">
        <v>110.734375</v>
      </c>
      <c r="C119" s="84">
        <f t="shared" si="4"/>
        <v>7.0601524992939852E-4</v>
      </c>
      <c r="D119" s="84">
        <f t="shared" si="5"/>
        <v>7.0576613840697504E-4</v>
      </c>
      <c r="E119" s="85">
        <f t="shared" si="6"/>
        <v>3.6326497578518325E-3</v>
      </c>
      <c r="F119" s="86">
        <f t="shared" si="7"/>
        <v>5.7437235882354609E-2</v>
      </c>
    </row>
    <row r="120" spans="1:6">
      <c r="A120" s="82">
        <v>44958</v>
      </c>
      <c r="B120" s="83">
        <v>110.65625</v>
      </c>
      <c r="C120" s="84">
        <f t="shared" si="4"/>
        <v>6.1088222758914614E-3</v>
      </c>
      <c r="D120" s="84">
        <f t="shared" si="5"/>
        <v>6.0902390637173568E-3</v>
      </c>
      <c r="E120" s="85">
        <f t="shared" si="6"/>
        <v>3.9200907425562788E-3</v>
      </c>
      <c r="F120" s="86">
        <f t="shared" si="7"/>
        <v>6.198207690509297E-2</v>
      </c>
    </row>
    <row r="121" spans="1:6">
      <c r="A121" s="82">
        <v>44957</v>
      </c>
      <c r="B121" s="83">
        <v>109.984375</v>
      </c>
      <c r="C121" s="84">
        <f t="shared" si="4"/>
        <v>1.99288256227758E-3</v>
      </c>
      <c r="D121" s="84">
        <f t="shared" si="5"/>
        <v>1.9908994061849854E-3</v>
      </c>
      <c r="E121" s="85">
        <f t="shared" si="6"/>
        <v>2.0649017695789753E-3</v>
      </c>
      <c r="F121" s="86">
        <f t="shared" si="7"/>
        <v>3.2648963681908741E-2</v>
      </c>
    </row>
    <row r="122" spans="1:6">
      <c r="A122" s="82">
        <v>44956</v>
      </c>
      <c r="B122" s="83">
        <v>109.765625</v>
      </c>
      <c r="C122" s="84">
        <f t="shared" si="4"/>
        <v>-2.6973310618966496E-3</v>
      </c>
      <c r="D122" s="84">
        <f t="shared" si="5"/>
        <v>-2.7009754141502185E-3</v>
      </c>
      <c r="E122" s="85">
        <f t="shared" si="6"/>
        <v>1.5890437917384539E-3</v>
      </c>
      <c r="F122" s="86">
        <f t="shared" si="7"/>
        <v>2.5124988418218839E-2</v>
      </c>
    </row>
    <row r="123" spans="1:6">
      <c r="A123" s="82">
        <v>44953</v>
      </c>
      <c r="B123" s="83">
        <v>110.0625</v>
      </c>
      <c r="C123" s="84">
        <f t="shared" si="4"/>
        <v>-1.3468490820160205E-3</v>
      </c>
      <c r="D123" s="84">
        <f t="shared" si="5"/>
        <v>-1.3477568984602353E-3</v>
      </c>
      <c r="E123" s="85">
        <f t="shared" si="6"/>
        <v>1.7576608853753055E-3</v>
      </c>
      <c r="F123" s="86">
        <f t="shared" si="7"/>
        <v>2.7791058759870514E-2</v>
      </c>
    </row>
    <row r="124" spans="1:6">
      <c r="A124" s="82">
        <v>44952</v>
      </c>
      <c r="B124" s="83">
        <v>110.2109375</v>
      </c>
      <c r="C124" s="84">
        <f t="shared" si="4"/>
        <v>-1.9102872506013867E-3</v>
      </c>
      <c r="D124" s="84">
        <f t="shared" si="5"/>
        <v>-1.9121141762972881E-3</v>
      </c>
      <c r="E124" s="85">
        <f t="shared" si="6"/>
        <v>2.1257487786496706E-3</v>
      </c>
      <c r="F124" s="86">
        <f t="shared" si="7"/>
        <v>3.3611039369270353E-2</v>
      </c>
    </row>
    <row r="125" spans="1:6">
      <c r="A125" s="82">
        <v>44951</v>
      </c>
      <c r="B125" s="83">
        <v>110.421875</v>
      </c>
      <c r="C125" s="84">
        <f t="shared" si="4"/>
        <v>9.9150141643059497E-4</v>
      </c>
      <c r="D125" s="84">
        <f t="shared" si="5"/>
        <v>9.9101020356652395E-4</v>
      </c>
      <c r="E125" s="85">
        <f t="shared" si="6"/>
        <v>2.5725034048523941E-3</v>
      </c>
      <c r="F125" s="86">
        <f t="shared" si="7"/>
        <v>4.0674850239359087E-2</v>
      </c>
    </row>
    <row r="126" spans="1:6">
      <c r="A126" s="82">
        <v>44950</v>
      </c>
      <c r="B126" s="83">
        <v>110.3125</v>
      </c>
      <c r="C126" s="84">
        <f t="shared" si="4"/>
        <v>1.70261066969353E-3</v>
      </c>
      <c r="D126" s="84">
        <f t="shared" si="5"/>
        <v>1.7011628712723657E-3</v>
      </c>
      <c r="E126" s="85">
        <f t="shared" si="6"/>
        <v>2.3094380212582231E-3</v>
      </c>
      <c r="F126" s="86">
        <f t="shared" si="7"/>
        <v>3.6515421310841727E-2</v>
      </c>
    </row>
    <row r="127" spans="1:6">
      <c r="A127" s="82">
        <v>44949</v>
      </c>
      <c r="B127" s="83">
        <v>110.125</v>
      </c>
      <c r="C127" s="84">
        <f t="shared" si="4"/>
        <v>-2.6179862732611616E-3</v>
      </c>
      <c r="D127" s="84">
        <f t="shared" si="5"/>
        <v>-2.6214191921900458E-3</v>
      </c>
      <c r="E127" s="85">
        <f t="shared" si="6"/>
        <v>5.1047866659422866E-3</v>
      </c>
      <c r="F127" s="86">
        <f t="shared" si="7"/>
        <v>8.071376416817358E-2</v>
      </c>
    </row>
    <row r="128" spans="1:6">
      <c r="A128" s="82">
        <v>44946</v>
      </c>
      <c r="B128" s="83">
        <v>110.4140625</v>
      </c>
      <c r="C128" s="84">
        <f t="shared" si="4"/>
        <v>-3.4550839091806516E-3</v>
      </c>
      <c r="D128" s="84">
        <f t="shared" si="5"/>
        <v>-3.4610664957912432E-3</v>
      </c>
      <c r="E128" s="85">
        <f t="shared" si="6"/>
        <v>4.8631242475735319E-3</v>
      </c>
      <c r="F128" s="86">
        <f t="shared" si="7"/>
        <v>7.6892745833624696E-2</v>
      </c>
    </row>
    <row r="129" spans="1:6">
      <c r="A129" s="82">
        <v>44945</v>
      </c>
      <c r="B129" s="83">
        <v>110.796875</v>
      </c>
      <c r="C129" s="84">
        <f t="shared" si="4"/>
        <v>-2.3916713562183453E-3</v>
      </c>
      <c r="D129" s="84">
        <f t="shared" si="5"/>
        <v>-2.3945359705452376E-3</v>
      </c>
      <c r="E129" s="85">
        <f t="shared" si="6"/>
        <v>4.7698946841696057E-3</v>
      </c>
      <c r="F129" s="86">
        <f t="shared" si="7"/>
        <v>7.5418657005527259E-2</v>
      </c>
    </row>
    <row r="130" spans="1:6">
      <c r="A130" s="82">
        <v>44944</v>
      </c>
      <c r="B130" s="83">
        <v>111.0625</v>
      </c>
      <c r="C130" s="84">
        <f t="shared" ref="C130:C140" si="8">(B130-B131)/B131</f>
        <v>7.3696145124716554E-3</v>
      </c>
      <c r="D130" s="84">
        <f t="shared" si="5"/>
        <v>7.3425915879148217E-3</v>
      </c>
      <c r="E130" s="85">
        <f t="shared" si="6"/>
        <v>4.6713352855153193E-3</v>
      </c>
      <c r="F130" s="86">
        <f t="shared" si="7"/>
        <v>7.3860296082706861E-2</v>
      </c>
    </row>
    <row r="131" spans="1:6">
      <c r="A131" s="82">
        <v>44943</v>
      </c>
      <c r="B131" s="83">
        <v>110.25</v>
      </c>
      <c r="C131" s="84">
        <f t="shared" si="8"/>
        <v>7.80086518686618E-4</v>
      </c>
      <c r="D131" s="84">
        <f t="shared" ref="D131:D140" si="9">LN(B131/B132)</f>
        <v>7.7978240934246685E-4</v>
      </c>
      <c r="E131" s="85">
        <f t="shared" ref="E131:E137" si="10">STDEV(D131:D134)</f>
        <v>3.5424753206050488E-3</v>
      </c>
      <c r="F131" s="86">
        <f t="shared" ref="F131:F137" si="11">E131*250^0.5</f>
        <v>5.6011452840235815E-2</v>
      </c>
    </row>
    <row r="132" spans="1:6">
      <c r="A132" s="82">
        <v>44939</v>
      </c>
      <c r="B132" s="83">
        <v>110.1640625</v>
      </c>
      <c r="C132" s="84">
        <f t="shared" si="8"/>
        <v>-3.1106398020501946E-3</v>
      </c>
      <c r="D132" s="84">
        <f t="shared" si="9"/>
        <v>-3.1154878984374231E-3</v>
      </c>
      <c r="E132" s="85">
        <f t="shared" si="10"/>
        <v>4.253424816824657E-3</v>
      </c>
      <c r="F132" s="86">
        <f t="shared" si="11"/>
        <v>6.725255138725196E-2</v>
      </c>
    </row>
    <row r="133" spans="1:6">
      <c r="A133" s="82">
        <v>44938</v>
      </c>
      <c r="B133" s="83">
        <v>110.5078125</v>
      </c>
      <c r="C133" s="84">
        <f t="shared" si="8"/>
        <v>5.2590434226423141E-3</v>
      </c>
      <c r="D133" s="84">
        <f t="shared" si="9"/>
        <v>5.2452629474118127E-3</v>
      </c>
      <c r="E133" s="85">
        <f t="shared" si="10"/>
        <v>3.5987518941555472E-3</v>
      </c>
      <c r="F133" s="86">
        <f t="shared" si="11"/>
        <v>5.6901263596883633E-2</v>
      </c>
    </row>
    <row r="134" spans="1:6">
      <c r="A134" s="82">
        <v>44937</v>
      </c>
      <c r="B134" s="83">
        <v>109.9296875</v>
      </c>
      <c r="C134" s="84">
        <f t="shared" si="8"/>
        <v>2.850830304326135E-3</v>
      </c>
      <c r="D134" s="84">
        <f t="shared" si="9"/>
        <v>2.846774394259872E-3</v>
      </c>
      <c r="E134" s="85">
        <f t="shared" si="10"/>
        <v>4.8172641061442504E-3</v>
      </c>
      <c r="F134" s="86">
        <f t="shared" si="11"/>
        <v>7.6167633329954798E-2</v>
      </c>
    </row>
    <row r="135" spans="1:6">
      <c r="A135" s="82">
        <v>44936</v>
      </c>
      <c r="B135" s="83">
        <v>109.6171875</v>
      </c>
      <c r="C135" s="84">
        <f t="shared" si="8"/>
        <v>-3.1261101243339252E-3</v>
      </c>
      <c r="D135" s="84">
        <f t="shared" si="9"/>
        <v>-3.131006613895251E-3</v>
      </c>
      <c r="E135" s="85">
        <f t="shared" si="10"/>
        <v>5.3099006045374863E-3</v>
      </c>
      <c r="F135" s="86">
        <f t="shared" si="11"/>
        <v>8.3956900297217321E-2</v>
      </c>
    </row>
    <row r="136" spans="1:6">
      <c r="A136" s="82">
        <v>44935</v>
      </c>
      <c r="B136" s="83">
        <v>109.9609375</v>
      </c>
      <c r="C136" s="84">
        <f t="shared" si="8"/>
        <v>3.1359133347587487E-3</v>
      </c>
      <c r="D136" s="84">
        <f t="shared" si="9"/>
        <v>3.1310066138953022E-3</v>
      </c>
      <c r="E136" s="85">
        <f t="shared" si="10"/>
        <v>4.1899484597346546E-3</v>
      </c>
      <c r="F136" s="86">
        <f t="shared" si="11"/>
        <v>6.6248902057379044E-2</v>
      </c>
    </row>
    <row r="137" spans="1:6">
      <c r="A137" s="82">
        <v>44932</v>
      </c>
      <c r="B137" s="83">
        <v>109.6171875</v>
      </c>
      <c r="C137" s="84">
        <f t="shared" si="8"/>
        <v>8.6987778576563621E-3</v>
      </c>
      <c r="D137" s="84">
        <f t="shared" si="9"/>
        <v>8.6611614765073272E-3</v>
      </c>
      <c r="E137" s="85">
        <f t="shared" si="10"/>
        <v>4.3816313306580231E-3</v>
      </c>
      <c r="F137" s="86">
        <f t="shared" si="11"/>
        <v>6.9279674360168575E-2</v>
      </c>
    </row>
    <row r="138" spans="1:6">
      <c r="A138" s="82">
        <v>44931</v>
      </c>
      <c r="B138" s="83">
        <v>108.671875</v>
      </c>
      <c r="C138" s="84">
        <f t="shared" si="8"/>
        <v>-1.5790984783232845E-3</v>
      </c>
      <c r="D138" s="84">
        <f t="shared" si="9"/>
        <v>-1.5803465684032009E-3</v>
      </c>
    </row>
    <row r="139" spans="1:6">
      <c r="A139" s="82">
        <v>44930</v>
      </c>
      <c r="B139" s="83">
        <v>108.84375</v>
      </c>
      <c r="C139" s="84">
        <f t="shared" si="8"/>
        <v>3.0237580993520518E-3</v>
      </c>
      <c r="D139" s="84">
        <f t="shared" si="9"/>
        <v>3.0191957375022655E-3</v>
      </c>
    </row>
    <row r="140" spans="1:6">
      <c r="A140" s="82">
        <v>44929</v>
      </c>
      <c r="B140" s="83">
        <v>108.515625</v>
      </c>
      <c r="C140" s="84">
        <f t="shared" si="8"/>
        <v>7.9256430578571939E-4</v>
      </c>
      <c r="D140" s="84">
        <f t="shared" si="9"/>
        <v>7.9225039254971212E-4</v>
      </c>
    </row>
    <row r="141" spans="1:6">
      <c r="A141" s="82">
        <v>44925</v>
      </c>
      <c r="B141" s="83">
        <v>108.4296875</v>
      </c>
      <c r="D141" s="84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2C54-DBE1-4158-93B1-AA1B0AE476CD}">
  <sheetPr codeName="Sheet1"/>
  <dimension ref="A1:P28"/>
  <sheetViews>
    <sheetView showGridLines="0" zoomScale="120" zoomScaleNormal="120" workbookViewId="0">
      <selection activeCell="B18" sqref="B18"/>
    </sheetView>
  </sheetViews>
  <sheetFormatPr defaultColWidth="9.1796875" defaultRowHeight="13"/>
  <cols>
    <col min="1" max="1" width="2.7265625" style="91" customWidth="1"/>
    <col min="2" max="2" width="7.7265625" style="91" customWidth="1"/>
    <col min="3" max="3" width="2.1796875" style="91" customWidth="1"/>
    <col min="4" max="4" width="7.7265625" style="91" customWidth="1"/>
    <col min="5" max="5" width="2.1796875" style="91" customWidth="1"/>
    <col min="6" max="6" width="7.7265625" style="91" customWidth="1"/>
    <col min="7" max="7" width="2.1796875" style="91" customWidth="1"/>
    <col min="8" max="8" width="7.7265625" style="91" customWidth="1"/>
    <col min="9" max="9" width="14.08984375" style="91" customWidth="1"/>
    <col min="10" max="10" width="7.7265625" style="91" customWidth="1"/>
    <col min="11" max="11" width="2.1796875" style="91" customWidth="1"/>
    <col min="12" max="12" width="7.7265625" style="91" customWidth="1"/>
    <col min="13" max="13" width="2.1796875" style="91" customWidth="1"/>
    <col min="14" max="14" width="7.7265625" style="91" customWidth="1"/>
    <col min="15" max="15" width="2.1796875" style="91" customWidth="1"/>
    <col min="16" max="16" width="7.7265625" style="91" customWidth="1"/>
    <col min="17" max="17" width="14.54296875" style="91" bestFit="1" customWidth="1"/>
    <col min="18" max="16384" width="9.1796875" style="91"/>
  </cols>
  <sheetData>
    <row r="1" spans="1:16">
      <c r="A1" s="128" t="s">
        <v>116</v>
      </c>
      <c r="B1" s="128"/>
      <c r="C1" s="128"/>
      <c r="D1" s="128"/>
      <c r="E1" s="128"/>
      <c r="F1" s="128"/>
      <c r="G1" s="128"/>
      <c r="H1" s="128"/>
      <c r="I1" s="90" t="s">
        <v>117</v>
      </c>
    </row>
    <row r="2" spans="1:16">
      <c r="C2" s="92" t="s">
        <v>118</v>
      </c>
      <c r="D2" s="93">
        <v>1</v>
      </c>
      <c r="G2" s="92" t="s">
        <v>119</v>
      </c>
      <c r="H2" s="94">
        <f>EXP(D7*D4)</f>
        <v>1.0168063303862609</v>
      </c>
      <c r="I2" s="95" t="s">
        <v>120</v>
      </c>
    </row>
    <row r="3" spans="1:16">
      <c r="C3" s="92" t="s">
        <v>121</v>
      </c>
      <c r="D3" s="96">
        <v>3</v>
      </c>
      <c r="G3" s="92" t="s">
        <v>122</v>
      </c>
      <c r="H3" s="97">
        <f>EXP(D6*SQRT(D4))</f>
        <v>1.1224009024456676</v>
      </c>
      <c r="I3" s="95" t="s">
        <v>123</v>
      </c>
    </row>
    <row r="4" spans="1:16">
      <c r="C4" s="92" t="s">
        <v>124</v>
      </c>
      <c r="D4" s="97">
        <f>D2/D3</f>
        <v>0.33333333333333331</v>
      </c>
      <c r="G4" s="92" t="s">
        <v>125</v>
      </c>
      <c r="H4" s="97">
        <f>1/H3</f>
        <v>0.89094725228841065</v>
      </c>
      <c r="I4" s="95" t="s">
        <v>126</v>
      </c>
    </row>
    <row r="5" spans="1:16">
      <c r="C5" s="92" t="s">
        <v>127</v>
      </c>
      <c r="D5" s="98">
        <v>100</v>
      </c>
      <c r="G5" s="92" t="s">
        <v>128</v>
      </c>
      <c r="H5" s="97">
        <f>D6^2*0.5</f>
        <v>2.0000000000000004E-2</v>
      </c>
      <c r="I5" s="95" t="s">
        <v>129</v>
      </c>
    </row>
    <row r="6" spans="1:16">
      <c r="C6" s="92" t="s">
        <v>130</v>
      </c>
      <c r="D6" s="99">
        <v>0.2</v>
      </c>
      <c r="G6" s="92" t="s">
        <v>131</v>
      </c>
      <c r="H6" s="97">
        <f>0.5+((D7-H5)/(2*D6))*SQRT(D4)</f>
        <v>0.54330127018922192</v>
      </c>
      <c r="I6" s="95" t="s">
        <v>132</v>
      </c>
    </row>
    <row r="7" spans="1:16">
      <c r="A7" s="100"/>
      <c r="B7" s="100"/>
      <c r="C7" s="101" t="s">
        <v>133</v>
      </c>
      <c r="D7" s="102">
        <v>0.05</v>
      </c>
      <c r="E7" s="100"/>
      <c r="F7" s="100"/>
      <c r="G7" s="101" t="s">
        <v>134</v>
      </c>
      <c r="H7" s="103">
        <f>1-H6</f>
        <v>0.45669872981077808</v>
      </c>
      <c r="I7" s="104" t="s">
        <v>135</v>
      </c>
    </row>
    <row r="8" spans="1:16">
      <c r="I8" s="105"/>
    </row>
    <row r="9" spans="1:16" ht="15" customHeight="1">
      <c r="B9" s="129" t="s">
        <v>136</v>
      </c>
      <c r="C9" s="129"/>
      <c r="D9" s="129"/>
      <c r="E9" s="129"/>
      <c r="F9" s="129"/>
      <c r="G9" s="129"/>
      <c r="H9" s="129"/>
      <c r="I9" s="105"/>
      <c r="J9" s="129" t="s">
        <v>137</v>
      </c>
      <c r="K9" s="129"/>
      <c r="L9" s="129"/>
      <c r="M9" s="129"/>
      <c r="N9" s="129"/>
      <c r="O9" s="129"/>
      <c r="P9" s="129"/>
    </row>
    <row r="10" spans="1:16" ht="6.75" customHeight="1" thickBot="1">
      <c r="B10" s="106"/>
      <c r="I10" s="105"/>
    </row>
    <row r="11" spans="1:16">
      <c r="A11" s="106" t="s">
        <v>138</v>
      </c>
      <c r="H11" s="107">
        <f>F13*H3</f>
        <v>141.39824580805166</v>
      </c>
      <c r="I11" s="95" t="s">
        <v>139</v>
      </c>
      <c r="P11" s="107">
        <f>N13*$H$3</f>
        <v>141.39824580805166</v>
      </c>
    </row>
    <row r="12" spans="1:16" ht="13.5" thickBot="1">
      <c r="A12" s="108" t="s">
        <v>140</v>
      </c>
      <c r="H12" s="109">
        <f>MAX(D5-H11,0)</f>
        <v>0</v>
      </c>
      <c r="I12" s="95" t="s">
        <v>141</v>
      </c>
      <c r="P12" s="109">
        <f>MAX(D5-P11,0)</f>
        <v>0</v>
      </c>
    </row>
    <row r="13" spans="1:16">
      <c r="B13" s="110"/>
      <c r="C13" s="110"/>
      <c r="D13" s="110"/>
      <c r="E13" s="110"/>
      <c r="F13" s="107">
        <f>D15*$H$3</f>
        <v>125.9783785810849</v>
      </c>
      <c r="G13" s="110"/>
      <c r="H13" s="110"/>
      <c r="I13" s="95"/>
      <c r="J13" s="110"/>
      <c r="K13" s="110"/>
      <c r="L13" s="110"/>
      <c r="M13" s="110"/>
      <c r="N13" s="107">
        <f>L15*$H$3</f>
        <v>125.9783785810849</v>
      </c>
      <c r="O13" s="110"/>
      <c r="P13" s="110"/>
    </row>
    <row r="14" spans="1:16" ht="13.5" thickBot="1">
      <c r="B14" s="110"/>
      <c r="C14" s="110"/>
      <c r="D14" s="110"/>
      <c r="E14" s="110"/>
      <c r="F14" s="109">
        <f>(H12*$H$6+H16*$H$7)/$H$2</f>
        <v>0</v>
      </c>
      <c r="G14" s="110"/>
      <c r="H14" s="110"/>
      <c r="I14" s="95"/>
      <c r="J14" s="110"/>
      <c r="K14" s="110"/>
      <c r="L14" s="110"/>
      <c r="M14" s="110"/>
      <c r="N14" s="109">
        <f>(P12*$H$6+P16*$H$7)/$H$2</f>
        <v>0</v>
      </c>
      <c r="O14" s="110"/>
      <c r="P14" s="110"/>
    </row>
    <row r="15" spans="1:16">
      <c r="B15" s="110"/>
      <c r="C15" s="110"/>
      <c r="D15" s="107">
        <f>B17*$H$3</f>
        <v>112.24009024456676</v>
      </c>
      <c r="E15" s="110"/>
      <c r="F15" s="110"/>
      <c r="G15" s="110"/>
      <c r="H15" s="107">
        <f>F13*H4</f>
        <v>112.24009024456676</v>
      </c>
      <c r="I15" s="95" t="s">
        <v>142</v>
      </c>
      <c r="J15" s="110"/>
      <c r="K15" s="110"/>
      <c r="L15" s="107">
        <f>J17*$H$3</f>
        <v>112.24009024456676</v>
      </c>
      <c r="M15" s="110"/>
      <c r="N15" s="110"/>
      <c r="O15" s="110"/>
      <c r="P15" s="107">
        <f>N13*$H$4</f>
        <v>112.24009024456676</v>
      </c>
    </row>
    <row r="16" spans="1:16" ht="13.5" thickBot="1">
      <c r="B16" s="110"/>
      <c r="C16" s="110"/>
      <c r="D16" s="109">
        <f>(F14*$H$6+F18*$H$7)/$H$2</f>
        <v>2.1999850893019381</v>
      </c>
      <c r="E16" s="110"/>
      <c r="F16" s="110"/>
      <c r="G16" s="110"/>
      <c r="H16" s="109">
        <f>MAX(D5-H15,0)</f>
        <v>0</v>
      </c>
      <c r="I16" s="95" t="s">
        <v>143</v>
      </c>
      <c r="J16" s="110"/>
      <c r="K16" s="110"/>
      <c r="L16" s="109">
        <f>(N14*$H$6+N18*$H$7)/$H$2</f>
        <v>2.1999850893019381</v>
      </c>
      <c r="M16" s="110"/>
      <c r="N16" s="110"/>
      <c r="O16" s="110"/>
      <c r="P16" s="109">
        <f>MAX(D5-P15,0)</f>
        <v>0</v>
      </c>
    </row>
    <row r="17" spans="2:16">
      <c r="B17" s="107">
        <v>100</v>
      </c>
      <c r="C17" s="110"/>
      <c r="D17" s="110"/>
      <c r="E17" s="110"/>
      <c r="F17" s="107">
        <f>D15*$H$4</f>
        <v>100</v>
      </c>
      <c r="G17" s="110"/>
      <c r="H17" s="110"/>
      <c r="I17" s="95"/>
      <c r="J17" s="107">
        <v>100</v>
      </c>
      <c r="K17" s="110"/>
      <c r="L17" s="110"/>
      <c r="M17" s="110"/>
      <c r="N17" s="107">
        <f>L15*$H$4</f>
        <v>100</v>
      </c>
      <c r="O17" s="110"/>
      <c r="P17" s="110"/>
    </row>
    <row r="18" spans="2:16" ht="13.5" thickBot="1">
      <c r="B18" s="111">
        <f>(D16*$H$6+D20*$H$7)/$H$2</f>
        <v>6.1793460632778539</v>
      </c>
      <c r="C18" s="110"/>
      <c r="D18" s="110"/>
      <c r="E18" s="110"/>
      <c r="F18" s="109">
        <f>(H16*$H$6+H20*$H$7)/$H$2</f>
        <v>4.898105949373722</v>
      </c>
      <c r="G18" s="110"/>
      <c r="H18" s="110"/>
      <c r="I18" s="95"/>
      <c r="J18" s="112">
        <f>(L16*$H$6+L20*$H$7)/$H$2</f>
        <v>6.5110535017310784</v>
      </c>
      <c r="K18" s="110"/>
      <c r="L18" s="110"/>
      <c r="M18" s="110"/>
      <c r="N18" s="109">
        <f>(P16*$H$6+P20*$H$7)/$H$2</f>
        <v>4.898105949373722</v>
      </c>
      <c r="O18" s="110"/>
      <c r="P18" s="110"/>
    </row>
    <row r="19" spans="2:16">
      <c r="B19" s="110"/>
      <c r="C19" s="110"/>
      <c r="D19" s="107">
        <f>B17*$H$4</f>
        <v>89.094725228841071</v>
      </c>
      <c r="E19" s="110"/>
      <c r="F19" s="110"/>
      <c r="G19" s="110"/>
      <c r="H19" s="107">
        <f>F17*H4</f>
        <v>89.094725228841071</v>
      </c>
      <c r="I19" s="95" t="s">
        <v>144</v>
      </c>
      <c r="J19" s="110"/>
      <c r="K19" s="110"/>
      <c r="L19" s="107">
        <f>J17*$H$4</f>
        <v>89.094725228841071</v>
      </c>
      <c r="M19" s="110"/>
      <c r="N19" s="110"/>
      <c r="O19" s="110"/>
      <c r="P19" s="107">
        <f>N17*$H$4</f>
        <v>89.094725228841071</v>
      </c>
    </row>
    <row r="20" spans="2:16" ht="13.5" thickBot="1">
      <c r="B20" s="110"/>
      <c r="C20" s="113"/>
      <c r="D20" s="109">
        <f>(F18*$H$6+F22*$H$7)/$H$2</f>
        <v>11.14069991716709</v>
      </c>
      <c r="E20" s="110"/>
      <c r="F20" s="110"/>
      <c r="G20" s="110"/>
      <c r="H20" s="109">
        <f>MAX(D5-H19,0)</f>
        <v>10.905274771158929</v>
      </c>
      <c r="I20" s="95" t="s">
        <v>145</v>
      </c>
      <c r="J20" s="110"/>
      <c r="K20" s="110"/>
      <c r="L20" s="114">
        <f>(N18*$H$6+N22*$H$7)/$H$2</f>
        <v>11.879222276086709</v>
      </c>
      <c r="M20" s="110"/>
      <c r="N20" s="110"/>
      <c r="O20" s="110"/>
      <c r="P20" s="109">
        <f>MAX(D5-P19,0)</f>
        <v>10.905274771158929</v>
      </c>
    </row>
    <row r="21" spans="2:16">
      <c r="B21" s="115"/>
      <c r="D21" s="110"/>
      <c r="E21" s="110"/>
      <c r="F21" s="107">
        <f>D19*$H$4</f>
        <v>79.378700636026892</v>
      </c>
      <c r="G21" s="110"/>
      <c r="H21" s="110"/>
      <c r="I21" s="95"/>
      <c r="J21" s="110"/>
      <c r="K21" s="110"/>
      <c r="L21" s="110"/>
      <c r="M21" s="110"/>
      <c r="N21" s="107">
        <f>L19*$H$4</f>
        <v>79.378700636026892</v>
      </c>
      <c r="O21" s="110"/>
      <c r="P21" s="110"/>
    </row>
    <row r="22" spans="2:16" ht="13.5" thickBot="1">
      <c r="B22" s="110"/>
      <c r="C22" s="110"/>
      <c r="D22" s="110"/>
      <c r="E22" s="116"/>
      <c r="F22" s="109">
        <f>(H20*$H$6+H24*$H$7)/$H$2</f>
        <v>18.977033328916708</v>
      </c>
      <c r="G22" s="110"/>
      <c r="H22" s="110"/>
      <c r="I22" s="95"/>
      <c r="J22" s="110"/>
      <c r="K22" s="110"/>
      <c r="L22" s="110"/>
      <c r="M22" s="117"/>
      <c r="N22" s="118">
        <f>100-N21</f>
        <v>20.621299363973108</v>
      </c>
      <c r="O22" s="110"/>
      <c r="P22" s="110"/>
    </row>
    <row r="23" spans="2:16">
      <c r="B23" s="110"/>
      <c r="C23" s="110"/>
      <c r="F23" s="119"/>
      <c r="G23" s="110"/>
      <c r="H23" s="107">
        <f>F21*H4</f>
        <v>70.722235221892475</v>
      </c>
      <c r="I23" s="95" t="s">
        <v>146</v>
      </c>
      <c r="J23" s="110"/>
      <c r="K23" s="110"/>
      <c r="L23" s="106"/>
      <c r="M23" s="120"/>
      <c r="N23" s="121"/>
      <c r="O23" s="110"/>
      <c r="P23" s="107">
        <f>N21*$H$4</f>
        <v>70.722235221892475</v>
      </c>
    </row>
    <row r="24" spans="2:16" ht="13.5" thickBot="1">
      <c r="B24" s="110"/>
      <c r="C24" s="110"/>
      <c r="G24" s="110"/>
      <c r="H24" s="109">
        <f>MAX(D5-H23,0)</f>
        <v>29.277764778107525</v>
      </c>
      <c r="I24" s="95" t="s">
        <v>147</v>
      </c>
      <c r="J24" s="110"/>
      <c r="K24" s="110"/>
      <c r="L24" s="108"/>
      <c r="M24" s="122"/>
      <c r="N24" s="119"/>
      <c r="O24" s="110"/>
      <c r="P24" s="109">
        <f>MAX(D5-P23,0)</f>
        <v>29.277764778107525</v>
      </c>
    </row>
    <row r="25" spans="2:16">
      <c r="B25" s="123" t="s">
        <v>148</v>
      </c>
      <c r="C25" s="123"/>
      <c r="D25" s="123" t="s">
        <v>149</v>
      </c>
      <c r="E25" s="123"/>
      <c r="F25" s="123" t="s">
        <v>150</v>
      </c>
      <c r="G25" s="123"/>
      <c r="H25" s="123" t="s">
        <v>151</v>
      </c>
      <c r="J25" s="123" t="s">
        <v>148</v>
      </c>
      <c r="K25" s="123"/>
      <c r="L25" s="123" t="s">
        <v>149</v>
      </c>
      <c r="M25" s="123"/>
      <c r="N25" s="123" t="s">
        <v>150</v>
      </c>
      <c r="O25" s="123"/>
      <c r="P25" s="123" t="s">
        <v>151</v>
      </c>
    </row>
    <row r="26" spans="2:16">
      <c r="P26" s="124"/>
    </row>
    <row r="28" spans="2:16">
      <c r="L28" s="110"/>
    </row>
  </sheetData>
  <mergeCells count="3">
    <mergeCell ref="A1:H1"/>
    <mergeCell ref="B9:H9"/>
    <mergeCell ref="J9:P9"/>
  </mergeCells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76E5-3DAA-4F2B-80BC-C2D52D38D533}">
  <sheetPr codeName="Sheet1"/>
  <dimension ref="A1:C25"/>
  <sheetViews>
    <sheetView zoomScaleNormal="100" workbookViewId="0">
      <selection activeCell="B13" sqref="B13"/>
    </sheetView>
  </sheetViews>
  <sheetFormatPr defaultRowHeight="13"/>
  <cols>
    <col min="1" max="1" width="23.08984375" style="1" bestFit="1" customWidth="1"/>
    <col min="2" max="2" width="10.1796875" style="1" bestFit="1" customWidth="1"/>
    <col min="3" max="3" width="17.36328125" style="1" customWidth="1"/>
    <col min="4" max="16384" width="8.7265625" style="1"/>
  </cols>
  <sheetData>
    <row r="1" spans="1:3" ht="47.5" customHeight="1">
      <c r="A1" s="130" t="s">
        <v>51</v>
      </c>
      <c r="B1" s="130"/>
      <c r="C1" s="40" t="s">
        <v>52</v>
      </c>
    </row>
    <row r="2" spans="1:3">
      <c r="A2" s="1" t="s">
        <v>53</v>
      </c>
      <c r="B2" s="41">
        <v>100</v>
      </c>
      <c r="C2" s="42"/>
    </row>
    <row r="3" spans="1:3">
      <c r="A3" s="1" t="s">
        <v>0</v>
      </c>
      <c r="B3" s="41">
        <v>110</v>
      </c>
      <c r="C3" s="43"/>
    </row>
    <row r="4" spans="1:3">
      <c r="A4" s="1" t="s">
        <v>54</v>
      </c>
      <c r="B4" s="1">
        <f>8*7</f>
        <v>56</v>
      </c>
      <c r="C4" s="42" t="s">
        <v>55</v>
      </c>
    </row>
    <row r="5" spans="1:3">
      <c r="A5" s="1" t="s">
        <v>56</v>
      </c>
      <c r="B5" s="44">
        <f>B4/365</f>
        <v>0.15342465753424658</v>
      </c>
      <c r="C5" s="45" t="s">
        <v>57</v>
      </c>
    </row>
    <row r="6" spans="1:3">
      <c r="A6" s="1" t="s">
        <v>58</v>
      </c>
      <c r="B6" s="46">
        <v>1E-3</v>
      </c>
      <c r="C6" s="38" t="s">
        <v>1</v>
      </c>
    </row>
    <row r="7" spans="1:3">
      <c r="A7" s="1" t="s">
        <v>59</v>
      </c>
      <c r="B7" s="47">
        <f>EXP(-B6*B5)</f>
        <v>0.9998465871114266</v>
      </c>
      <c r="C7" s="45" t="s">
        <v>60</v>
      </c>
    </row>
    <row r="8" spans="1:3">
      <c r="A8" s="1" t="s">
        <v>2</v>
      </c>
      <c r="B8" s="46">
        <v>0.3</v>
      </c>
      <c r="C8" s="48"/>
    </row>
    <row r="9" spans="1:3">
      <c r="A9" s="2" t="s">
        <v>61</v>
      </c>
      <c r="B9" s="10">
        <f>(LN(B2/B3)+(B8^2/2)*B5)/(B8*B5^0.5)</f>
        <v>-0.75233843603640616</v>
      </c>
      <c r="C9" s="49"/>
    </row>
    <row r="10" spans="1:3">
      <c r="A10" s="1" t="s">
        <v>62</v>
      </c>
      <c r="B10" s="50">
        <f>B9-B8*B5^0.5</f>
        <v>-0.869846815218838</v>
      </c>
      <c r="C10" s="45"/>
    </row>
    <row r="11" spans="1:3">
      <c r="A11" s="1" t="s">
        <v>63</v>
      </c>
      <c r="B11" s="51">
        <f>NORMSDIST(B9)</f>
        <v>0.22592377954797557</v>
      </c>
      <c r="C11" s="45" t="s">
        <v>64</v>
      </c>
    </row>
    <row r="12" spans="1:3">
      <c r="A12" s="1" t="s">
        <v>65</v>
      </c>
      <c r="B12" s="51">
        <f>NORMSDIST(B10)</f>
        <v>0.19219206178115297</v>
      </c>
      <c r="C12" s="45" t="s">
        <v>66</v>
      </c>
    </row>
    <row r="13" spans="1:3">
      <c r="A13" s="2" t="s">
        <v>67</v>
      </c>
      <c r="B13" s="52">
        <f>B2*B11-B7*B3*B12</f>
        <v>1.4544944802001893</v>
      </c>
      <c r="C13" s="49" t="s">
        <v>68</v>
      </c>
    </row>
    <row r="15" spans="1:3">
      <c r="A15" s="53"/>
      <c r="C15" s="49"/>
    </row>
    <row r="16" spans="1:3">
      <c r="A16" s="53"/>
      <c r="C16" s="49"/>
    </row>
    <row r="25" spans="2:2">
      <c r="B25" s="1" t="s">
        <v>3</v>
      </c>
    </row>
  </sheetData>
  <mergeCells count="1">
    <mergeCell ref="A1:B1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5332-C451-4195-A066-A2FC7EAABEE7}">
  <sheetPr codeName="Sheet2"/>
  <dimension ref="A1:U31"/>
  <sheetViews>
    <sheetView workbookViewId="0">
      <selection activeCell="K10" sqref="K10"/>
    </sheetView>
  </sheetViews>
  <sheetFormatPr defaultColWidth="8" defaultRowHeight="13"/>
  <cols>
    <col min="1" max="1" width="7.453125" style="56" customWidth="1"/>
    <col min="2" max="3" width="6.26953125" style="56" customWidth="1"/>
    <col min="4" max="4" width="6.1796875" style="56" bestFit="1" customWidth="1"/>
    <col min="5" max="5" width="7.1796875" style="56" customWidth="1"/>
    <col min="6" max="9" width="6.26953125" style="56" customWidth="1"/>
    <col min="10" max="16384" width="8" style="56"/>
  </cols>
  <sheetData>
    <row r="1" spans="1:21">
      <c r="A1" s="54" t="s">
        <v>69</v>
      </c>
      <c r="B1" s="55"/>
      <c r="C1" s="55"/>
      <c r="D1" s="55"/>
      <c r="E1" s="55"/>
      <c r="F1" s="55"/>
    </row>
    <row r="3" spans="1:21">
      <c r="G3" s="57"/>
    </row>
    <row r="4" spans="1:21" ht="15.5">
      <c r="A4" s="56" t="s">
        <v>70</v>
      </c>
      <c r="E4" s="58" t="s">
        <v>71</v>
      </c>
    </row>
    <row r="5" spans="1:21">
      <c r="A5" s="59" t="s">
        <v>72</v>
      </c>
      <c r="B5" s="59" t="s">
        <v>73</v>
      </c>
      <c r="C5" s="59" t="s">
        <v>74</v>
      </c>
      <c r="D5" s="59" t="s">
        <v>75</v>
      </c>
      <c r="E5" s="59" t="s">
        <v>76</v>
      </c>
      <c r="F5" s="59" t="s">
        <v>77</v>
      </c>
      <c r="H5" s="131" t="s">
        <v>78</v>
      </c>
      <c r="I5" s="131"/>
    </row>
    <row r="6" spans="1:21">
      <c r="A6" s="58">
        <v>100</v>
      </c>
      <c r="B6" s="58">
        <v>110</v>
      </c>
      <c r="C6" s="60">
        <f>0.1%</f>
        <v>1E-3</v>
      </c>
      <c r="D6" s="61">
        <v>0.3</v>
      </c>
      <c r="E6" s="60">
        <f>(C6-0.5*D6^2)*(1/52)</f>
        <v>-8.461538461538462E-4</v>
      </c>
      <c r="F6" s="58">
        <f>D6*(1/52)^0.5</f>
        <v>4.1602514716892185E-2</v>
      </c>
      <c r="H6" s="132">
        <f>EXP(-C6*8/52)</f>
        <v>0.99984616567986651</v>
      </c>
      <c r="I6" s="132"/>
      <c r="J6" s="57" t="s">
        <v>79</v>
      </c>
    </row>
    <row r="7" spans="1:21">
      <c r="E7" s="62" t="s">
        <v>80</v>
      </c>
      <c r="F7" s="57" t="s">
        <v>81</v>
      </c>
    </row>
    <row r="8" spans="1:21" ht="13.5" thickBot="1">
      <c r="E8" s="63"/>
      <c r="I8" s="64"/>
    </row>
    <row r="9" spans="1:21">
      <c r="J9" s="65" t="s">
        <v>82</v>
      </c>
      <c r="K9" s="66" t="s">
        <v>83</v>
      </c>
    </row>
    <row r="10" spans="1:21" ht="13.5" thickBot="1">
      <c r="C10" s="67" t="s">
        <v>84</v>
      </c>
      <c r="D10" s="67"/>
      <c r="E10" s="67"/>
      <c r="F10" s="67"/>
      <c r="G10" s="67"/>
      <c r="H10" s="67"/>
      <c r="I10" s="67"/>
      <c r="J10" s="68" t="s">
        <v>85</v>
      </c>
      <c r="K10" s="69">
        <f ca="1">AVERAGE(K12:K31)*H6</f>
        <v>3.1291263594133176</v>
      </c>
      <c r="L10" s="57" t="s">
        <v>86</v>
      </c>
    </row>
    <row r="11" spans="1:21">
      <c r="A11" s="55" t="s">
        <v>87</v>
      </c>
      <c r="B11" s="59" t="s">
        <v>72</v>
      </c>
      <c r="C11" s="59">
        <v>1</v>
      </c>
      <c r="D11" s="59">
        <v>2</v>
      </c>
      <c r="E11" s="59">
        <v>3</v>
      </c>
      <c r="F11" s="59">
        <v>4</v>
      </c>
      <c r="G11" s="59">
        <v>5</v>
      </c>
      <c r="H11" s="59">
        <v>6</v>
      </c>
      <c r="I11" s="59">
        <v>7</v>
      </c>
      <c r="J11" s="70">
        <v>8</v>
      </c>
      <c r="K11" s="55" t="s">
        <v>88</v>
      </c>
      <c r="M11" s="71" t="s">
        <v>89</v>
      </c>
      <c r="N11" s="55"/>
      <c r="O11" s="55"/>
      <c r="P11" s="55"/>
      <c r="Q11" s="55"/>
      <c r="R11" s="55"/>
      <c r="S11" s="55"/>
      <c r="T11" s="55"/>
      <c r="U11" s="55"/>
    </row>
    <row r="12" spans="1:21">
      <c r="A12" s="58" t="s">
        <v>90</v>
      </c>
      <c r="B12" s="58">
        <f t="shared" ref="B12:B31" si="0">$A$6</f>
        <v>100</v>
      </c>
      <c r="C12" s="72">
        <f ca="1">B12*EXP($E$6+$F$6*N12)</f>
        <v>99.477861628897699</v>
      </c>
      <c r="D12" s="72">
        <f ca="1">C12*EXP($E$6+$F$6*O12)</f>
        <v>99.773099345500924</v>
      </c>
      <c r="E12" s="72">
        <f t="shared" ref="E12:J12" ca="1" si="1">D12*EXP($E$6+$F$6*P12)</f>
        <v>100.04002693910621</v>
      </c>
      <c r="F12" s="72">
        <f t="shared" ca="1" si="1"/>
        <v>93.593998510616416</v>
      </c>
      <c r="G12" s="72">
        <f t="shared" ca="1" si="1"/>
        <v>91.57490874966517</v>
      </c>
      <c r="H12" s="72">
        <f t="shared" ca="1" si="1"/>
        <v>90.76886756895621</v>
      </c>
      <c r="I12" s="72">
        <f t="shared" ca="1" si="1"/>
        <v>86.857969964354055</v>
      </c>
      <c r="J12" s="72">
        <f t="shared" ca="1" si="1"/>
        <v>81.684762671825979</v>
      </c>
      <c r="K12" s="73">
        <f t="shared" ref="K12:K31" ca="1" si="2">MAX(J12-$B$6,0)</f>
        <v>0</v>
      </c>
      <c r="M12" s="74" t="s">
        <v>90</v>
      </c>
      <c r="N12" s="75">
        <f ca="1">NORMSINV(RAND())</f>
        <v>-0.10549624115729513</v>
      </c>
      <c r="O12" s="75">
        <f t="shared" ref="O12:U21" ca="1" si="3">NORMSINV(RAND())</f>
        <v>9.1572156218561324E-2</v>
      </c>
      <c r="P12" s="75">
        <f t="shared" ca="1" si="3"/>
        <v>8.4560460241975624E-2</v>
      </c>
      <c r="Q12" s="75">
        <f t="shared" ca="1" si="3"/>
        <v>-1.5806246074910502</v>
      </c>
      <c r="R12" s="75">
        <f t="shared" ca="1" si="3"/>
        <v>-0.50388292722973893</v>
      </c>
      <c r="S12" s="75">
        <f t="shared" ca="1" si="3"/>
        <v>-0.19217106914735343</v>
      </c>
      <c r="T12" s="75">
        <f t="shared" ca="1" si="3"/>
        <v>-1.0383014007104219</v>
      </c>
      <c r="U12" s="75">
        <f t="shared" ca="1" si="3"/>
        <v>-1.4556961515472229</v>
      </c>
    </row>
    <row r="13" spans="1:21">
      <c r="A13" s="58" t="s">
        <v>91</v>
      </c>
      <c r="B13" s="58">
        <f t="shared" si="0"/>
        <v>100</v>
      </c>
      <c r="C13" s="72">
        <f ca="1">B13*EXP($E$6+$F$6*N13)</f>
        <v>94.595604821499336</v>
      </c>
      <c r="D13" s="72">
        <f t="shared" ref="D13:J28" ca="1" si="4">C13*EXP($E$6+$F$6*O13)</f>
        <v>97.634897789871857</v>
      </c>
      <c r="E13" s="72">
        <f t="shared" ca="1" si="4"/>
        <v>91.039691279445904</v>
      </c>
      <c r="F13" s="72">
        <f t="shared" ca="1" si="4"/>
        <v>87.17085415204599</v>
      </c>
      <c r="G13" s="72">
        <f t="shared" ca="1" si="4"/>
        <v>85.604737753182135</v>
      </c>
      <c r="H13" s="72">
        <f t="shared" ca="1" si="4"/>
        <v>83.057671674985784</v>
      </c>
      <c r="I13" s="72">
        <f t="shared" ca="1" si="4"/>
        <v>79.350387246195297</v>
      </c>
      <c r="J13" s="72">
        <f t="shared" ca="1" si="4"/>
        <v>76.58834891992683</v>
      </c>
      <c r="K13" s="73">
        <f t="shared" ca="1" si="2"/>
        <v>0</v>
      </c>
      <c r="M13" s="74" t="s">
        <v>91</v>
      </c>
      <c r="N13" s="75">
        <f t="shared" ref="N13:N21" ca="1" si="5">NORMSINV(RAND())</f>
        <v>-1.3151372746682268</v>
      </c>
      <c r="O13" s="75">
        <f t="shared" ca="1" si="3"/>
        <v>0.78048475150359997</v>
      </c>
      <c r="P13" s="75">
        <f t="shared" ca="1" si="3"/>
        <v>-1.6607951737330227</v>
      </c>
      <c r="Q13" s="75">
        <f t="shared" ca="1" si="3"/>
        <v>-1.0234812031114897</v>
      </c>
      <c r="R13" s="75">
        <f t="shared" ca="1" si="3"/>
        <v>-0.41543764216410656</v>
      </c>
      <c r="S13" s="75">
        <f t="shared" ca="1" si="3"/>
        <v>-0.70570900794170077</v>
      </c>
      <c r="T13" s="75">
        <f t="shared" ca="1" si="3"/>
        <v>-1.0772359611935265</v>
      </c>
      <c r="U13" s="75">
        <f t="shared" ca="1" si="3"/>
        <v>-0.83125290079894953</v>
      </c>
    </row>
    <row r="14" spans="1:21">
      <c r="A14" s="58" t="s">
        <v>92</v>
      </c>
      <c r="B14" s="58">
        <f t="shared" si="0"/>
        <v>100</v>
      </c>
      <c r="C14" s="72">
        <f t="shared" ref="C14:J31" ca="1" si="6">B14*EXP($E$6+$F$6*N14)</f>
        <v>95.055400425497041</v>
      </c>
      <c r="D14" s="72">
        <f t="shared" ca="1" si="4"/>
        <v>91.344178604974161</v>
      </c>
      <c r="E14" s="72">
        <f t="shared" ca="1" si="4"/>
        <v>89.634567149300253</v>
      </c>
      <c r="F14" s="72">
        <f t="shared" ca="1" si="4"/>
        <v>95.077214981143058</v>
      </c>
      <c r="G14" s="72">
        <f t="shared" ca="1" si="4"/>
        <v>96.801649090136536</v>
      </c>
      <c r="H14" s="72">
        <f t="shared" ca="1" si="4"/>
        <v>94.635871648676698</v>
      </c>
      <c r="I14" s="72">
        <f t="shared" ca="1" si="4"/>
        <v>92.98419755235534</v>
      </c>
      <c r="J14" s="72">
        <f t="shared" ca="1" si="4"/>
        <v>93.169542447549759</v>
      </c>
      <c r="K14" s="73">
        <f t="shared" ca="1" si="2"/>
        <v>0</v>
      </c>
      <c r="M14" s="74" t="s">
        <v>92</v>
      </c>
      <c r="N14" s="75">
        <f t="shared" ca="1" si="5"/>
        <v>-1.1985849528609367</v>
      </c>
      <c r="O14" s="75">
        <f t="shared" ca="1" si="3"/>
        <v>-0.93694277616743171</v>
      </c>
      <c r="P14" s="75">
        <f t="shared" ca="1" si="3"/>
        <v>-0.43380457019757102</v>
      </c>
      <c r="Q14" s="75">
        <f t="shared" ca="1" si="3"/>
        <v>1.4372800619377248</v>
      </c>
      <c r="R14" s="75">
        <f t="shared" ca="1" si="3"/>
        <v>0.4523965300025134</v>
      </c>
      <c r="S14" s="75">
        <f t="shared" ca="1" si="3"/>
        <v>-0.52355679479199935</v>
      </c>
      <c r="T14" s="75">
        <f t="shared" ca="1" si="3"/>
        <v>-0.40288149479166108</v>
      </c>
      <c r="U14" s="75">
        <f t="shared" ca="1" si="3"/>
        <v>6.8204156656496054E-2</v>
      </c>
    </row>
    <row r="15" spans="1:21">
      <c r="A15" s="58" t="s">
        <v>93</v>
      </c>
      <c r="B15" s="58">
        <f t="shared" si="0"/>
        <v>100</v>
      </c>
      <c r="C15" s="72">
        <f t="shared" ca="1" si="6"/>
        <v>101.95077541242152</v>
      </c>
      <c r="D15" s="72">
        <f t="shared" ca="1" si="4"/>
        <v>97.681891683187317</v>
      </c>
      <c r="E15" s="72">
        <f t="shared" ca="1" si="4"/>
        <v>100.12851351683683</v>
      </c>
      <c r="F15" s="72">
        <f t="shared" ca="1" si="4"/>
        <v>104.96532969502428</v>
      </c>
      <c r="G15" s="72">
        <f t="shared" ca="1" si="4"/>
        <v>105.21523481489382</v>
      </c>
      <c r="H15" s="72">
        <f t="shared" ca="1" si="4"/>
        <v>98.01314898739794</v>
      </c>
      <c r="I15" s="72">
        <f t="shared" ca="1" si="4"/>
        <v>102.17409233882269</v>
      </c>
      <c r="J15" s="72">
        <f t="shared" ca="1" si="4"/>
        <v>102.87821472615586</v>
      </c>
      <c r="K15" s="73">
        <f t="shared" ca="1" si="2"/>
        <v>0</v>
      </c>
      <c r="M15" s="74" t="s">
        <v>93</v>
      </c>
      <c r="N15" s="75">
        <f t="shared" ca="1" si="5"/>
        <v>0.48473201194054316</v>
      </c>
      <c r="O15" s="75">
        <f t="shared" ca="1" si="3"/>
        <v>-1.0078177605533105</v>
      </c>
      <c r="P15" s="75">
        <f t="shared" ca="1" si="3"/>
        <v>0.61497374272707062</v>
      </c>
      <c r="Q15" s="75">
        <f t="shared" ca="1" si="3"/>
        <v>1.1542994539352716</v>
      </c>
      <c r="R15" s="75">
        <f t="shared" ca="1" si="3"/>
        <v>7.7499138399410014E-2</v>
      </c>
      <c r="S15" s="75">
        <f t="shared" ca="1" si="3"/>
        <v>-1.6840402814661695</v>
      </c>
      <c r="T15" s="75">
        <f t="shared" ca="1" si="3"/>
        <v>1.0197137633849092</v>
      </c>
      <c r="U15" s="75">
        <f t="shared" ca="1" si="3"/>
        <v>0.18541944523195736</v>
      </c>
    </row>
    <row r="16" spans="1:21">
      <c r="A16" s="58" t="s">
        <v>94</v>
      </c>
      <c r="B16" s="58">
        <f t="shared" si="0"/>
        <v>100</v>
      </c>
      <c r="C16" s="72">
        <f t="shared" ca="1" si="6"/>
        <v>102.44351805792364</v>
      </c>
      <c r="D16" s="72">
        <f t="shared" ca="1" si="4"/>
        <v>103.44097099464176</v>
      </c>
      <c r="E16" s="72">
        <f t="shared" ca="1" si="4"/>
        <v>107.47483188220279</v>
      </c>
      <c r="F16" s="72">
        <f t="shared" ca="1" si="4"/>
        <v>117.89232849291177</v>
      </c>
      <c r="G16" s="72">
        <f t="shared" ca="1" si="4"/>
        <v>132.52554213930651</v>
      </c>
      <c r="H16" s="72">
        <f t="shared" ca="1" si="4"/>
        <v>138.27913035709327</v>
      </c>
      <c r="I16" s="72">
        <f t="shared" ca="1" si="4"/>
        <v>134.95115355339445</v>
      </c>
      <c r="J16" s="72">
        <f t="shared" ca="1" si="4"/>
        <v>131.02238505941244</v>
      </c>
      <c r="K16" s="73">
        <f t="shared" ca="1" si="2"/>
        <v>21.022385059412443</v>
      </c>
      <c r="M16" s="74" t="s">
        <v>94</v>
      </c>
      <c r="N16" s="75">
        <f t="shared" ca="1" si="5"/>
        <v>0.6006264618631737</v>
      </c>
      <c r="O16" s="75">
        <f t="shared" ca="1" si="3"/>
        <v>0.25324603594129624</v>
      </c>
      <c r="P16" s="75">
        <f t="shared" ca="1" si="3"/>
        <v>0.93988862911429683</v>
      </c>
      <c r="Q16" s="75">
        <f t="shared" ca="1" si="3"/>
        <v>2.2441237954654434</v>
      </c>
      <c r="R16" s="75">
        <f t="shared" ca="1" si="3"/>
        <v>2.8327569822906042</v>
      </c>
      <c r="S16" s="75">
        <f t="shared" ca="1" si="3"/>
        <v>1.0418861086598161</v>
      </c>
      <c r="T16" s="75">
        <f t="shared" ca="1" si="3"/>
        <v>-0.56523709958992674</v>
      </c>
      <c r="U16" s="75">
        <f t="shared" ca="1" si="3"/>
        <v>-0.6898272102844657</v>
      </c>
    </row>
    <row r="17" spans="1:21">
      <c r="A17" s="58" t="s">
        <v>95</v>
      </c>
      <c r="B17" s="58">
        <f t="shared" si="0"/>
        <v>100</v>
      </c>
      <c r="C17" s="72">
        <f t="shared" ca="1" si="6"/>
        <v>99.226585137264806</v>
      </c>
      <c r="D17" s="72">
        <f t="shared" ca="1" si="4"/>
        <v>97.114642755710889</v>
      </c>
      <c r="E17" s="72">
        <f t="shared" ca="1" si="4"/>
        <v>100.1803510352612</v>
      </c>
      <c r="F17" s="72">
        <f t="shared" ca="1" si="4"/>
        <v>93.67955647621163</v>
      </c>
      <c r="G17" s="72">
        <f t="shared" ca="1" si="4"/>
        <v>87.087879794386396</v>
      </c>
      <c r="H17" s="72">
        <f t="shared" ca="1" si="4"/>
        <v>88.621800423667707</v>
      </c>
      <c r="I17" s="72">
        <f t="shared" ca="1" si="4"/>
        <v>91.81603782398183</v>
      </c>
      <c r="J17" s="72">
        <f t="shared" ca="1" si="4"/>
        <v>92.282567117936935</v>
      </c>
      <c r="K17" s="73">
        <f t="shared" ca="1" si="2"/>
        <v>0</v>
      </c>
      <c r="M17" s="74" t="s">
        <v>95</v>
      </c>
      <c r="N17" s="75">
        <f t="shared" ca="1" si="5"/>
        <v>-0.16628942906919614</v>
      </c>
      <c r="O17" s="75">
        <f t="shared" ca="1" si="3"/>
        <v>-0.49678860301133509</v>
      </c>
      <c r="P17" s="75">
        <f t="shared" ca="1" si="3"/>
        <v>0.76740700230188441</v>
      </c>
      <c r="Q17" s="75">
        <f t="shared" ca="1" si="3"/>
        <v>-1.5923540620207919</v>
      </c>
      <c r="R17" s="75">
        <f t="shared" ca="1" si="3"/>
        <v>-1.7334555387834392</v>
      </c>
      <c r="S17" s="75">
        <f t="shared" ca="1" si="3"/>
        <v>0.44002903058197518</v>
      </c>
      <c r="T17" s="75">
        <f t="shared" ca="1" si="3"/>
        <v>0.87146795422088474</v>
      </c>
      <c r="U17" s="75">
        <f t="shared" ca="1" si="3"/>
        <v>0.14216494513721512</v>
      </c>
    </row>
    <row r="18" spans="1:21">
      <c r="A18" s="58" t="s">
        <v>96</v>
      </c>
      <c r="B18" s="58">
        <f t="shared" si="0"/>
        <v>100</v>
      </c>
      <c r="C18" s="72">
        <f t="shared" ca="1" si="6"/>
        <v>93.891457167576021</v>
      </c>
      <c r="D18" s="72">
        <f t="shared" ca="1" si="4"/>
        <v>95.394326024201831</v>
      </c>
      <c r="E18" s="72">
        <f t="shared" ca="1" si="4"/>
        <v>97.3321398321266</v>
      </c>
      <c r="F18" s="72">
        <f t="shared" ca="1" si="4"/>
        <v>100.41088834476638</v>
      </c>
      <c r="G18" s="72">
        <f t="shared" ca="1" si="4"/>
        <v>109.30660148151179</v>
      </c>
      <c r="H18" s="72">
        <f t="shared" ca="1" si="4"/>
        <v>110.22846557621898</v>
      </c>
      <c r="I18" s="72">
        <f t="shared" ca="1" si="4"/>
        <v>108.93550770552346</v>
      </c>
      <c r="J18" s="72">
        <f t="shared" ca="1" si="4"/>
        <v>110.96820261172242</v>
      </c>
      <c r="K18" s="73">
        <f t="shared" ca="1" si="2"/>
        <v>0.96820261172241828</v>
      </c>
      <c r="M18" s="74" t="s">
        <v>96</v>
      </c>
      <c r="N18" s="75">
        <f t="shared" ca="1" si="5"/>
        <v>-1.4947324331407461</v>
      </c>
      <c r="O18" s="75">
        <f t="shared" ca="1" si="3"/>
        <v>0.40203941790029774</v>
      </c>
      <c r="P18" s="75">
        <f t="shared" ca="1" si="3"/>
        <v>0.50372686523540866</v>
      </c>
      <c r="Q18" s="75">
        <f t="shared" ca="1" si="3"/>
        <v>0.76888509177860087</v>
      </c>
      <c r="R18" s="75">
        <f t="shared" ca="1" si="3"/>
        <v>2.0607478797800485</v>
      </c>
      <c r="S18" s="75">
        <f t="shared" ca="1" si="3"/>
        <v>0.22221095069655217</v>
      </c>
      <c r="T18" s="75">
        <f t="shared" ca="1" si="3"/>
        <v>-0.2632769487600693</v>
      </c>
      <c r="U18" s="75">
        <f t="shared" ca="1" si="3"/>
        <v>0.46472711081770951</v>
      </c>
    </row>
    <row r="19" spans="1:21">
      <c r="A19" s="58" t="s">
        <v>97</v>
      </c>
      <c r="B19" s="58">
        <f t="shared" si="0"/>
        <v>100</v>
      </c>
      <c r="C19" s="72">
        <f t="shared" ca="1" si="6"/>
        <v>92.649919994645941</v>
      </c>
      <c r="D19" s="72">
        <f t="shared" ca="1" si="4"/>
        <v>89.947120149166949</v>
      </c>
      <c r="E19" s="72">
        <f t="shared" ca="1" si="4"/>
        <v>90.29397090425114</v>
      </c>
      <c r="F19" s="72">
        <f t="shared" ca="1" si="4"/>
        <v>91.880687997856413</v>
      </c>
      <c r="G19" s="72">
        <f t="shared" ca="1" si="4"/>
        <v>91.141938251000397</v>
      </c>
      <c r="H19" s="72">
        <f t="shared" ca="1" si="4"/>
        <v>95.816566986229958</v>
      </c>
      <c r="I19" s="72">
        <f t="shared" ca="1" si="4"/>
        <v>98.30168901869024</v>
      </c>
      <c r="J19" s="72">
        <f t="shared" ca="1" si="4"/>
        <v>99.728592991094473</v>
      </c>
      <c r="K19" s="73">
        <f t="shared" ca="1" si="2"/>
        <v>0</v>
      </c>
      <c r="M19" s="74" t="s">
        <v>97</v>
      </c>
      <c r="N19" s="75">
        <f t="shared" ca="1" si="5"/>
        <v>-1.8146966222387344</v>
      </c>
      <c r="O19" s="75">
        <f t="shared" ca="1" si="3"/>
        <v>-0.69130416282354057</v>
      </c>
      <c r="P19" s="75">
        <f t="shared" ca="1" si="3"/>
        <v>0.11285137262810976</v>
      </c>
      <c r="Q19" s="75">
        <f t="shared" ca="1" si="3"/>
        <v>0.4390679017539354</v>
      </c>
      <c r="R19" s="75">
        <f t="shared" ca="1" si="3"/>
        <v>-0.17370727820998769</v>
      </c>
      <c r="S19" s="75">
        <f t="shared" ca="1" si="3"/>
        <v>1.2226112992265481</v>
      </c>
      <c r="T19" s="75">
        <f t="shared" ca="1" si="3"/>
        <v>0.63582118151730582</v>
      </c>
      <c r="U19" s="75">
        <f t="shared" ca="1" si="3"/>
        <v>0.36674154896223554</v>
      </c>
    </row>
    <row r="20" spans="1:21">
      <c r="A20" s="58" t="s">
        <v>98</v>
      </c>
      <c r="B20" s="58">
        <f t="shared" si="0"/>
        <v>100</v>
      </c>
      <c r="C20" s="72">
        <f t="shared" ca="1" si="6"/>
        <v>111.44854409996942</v>
      </c>
      <c r="D20" s="72">
        <f t="shared" ca="1" si="4"/>
        <v>108.18823528962777</v>
      </c>
      <c r="E20" s="72">
        <f t="shared" ca="1" si="4"/>
        <v>100.00966022477851</v>
      </c>
      <c r="F20" s="72">
        <f t="shared" ca="1" si="4"/>
        <v>91.58466763831359</v>
      </c>
      <c r="G20" s="72">
        <f t="shared" ca="1" si="4"/>
        <v>101.72158762856019</v>
      </c>
      <c r="H20" s="72">
        <f t="shared" ca="1" si="4"/>
        <v>98.783592496265285</v>
      </c>
      <c r="I20" s="72">
        <f t="shared" ca="1" si="4"/>
        <v>95.575513201966032</v>
      </c>
      <c r="J20" s="72">
        <f t="shared" ca="1" si="4"/>
        <v>99.07633879070373</v>
      </c>
      <c r="K20" s="73">
        <f t="shared" ca="1" si="2"/>
        <v>0</v>
      </c>
      <c r="M20" s="74" t="s">
        <v>98</v>
      </c>
      <c r="N20" s="75">
        <f t="shared" ca="1" si="5"/>
        <v>2.625777914884551</v>
      </c>
      <c r="O20" s="75">
        <f t="shared" ca="1" si="3"/>
        <v>-0.69332860016011655</v>
      </c>
      <c r="P20" s="75">
        <f t="shared" ca="1" si="3"/>
        <v>-1.8691103762376202</v>
      </c>
      <c r="Q20" s="75">
        <f t="shared" ca="1" si="3"/>
        <v>-2.0949876830402205</v>
      </c>
      <c r="R20" s="75">
        <f t="shared" ca="1" si="3"/>
        <v>2.5436401866730698</v>
      </c>
      <c r="S20" s="75">
        <f t="shared" ca="1" si="3"/>
        <v>-0.68413824258210354</v>
      </c>
      <c r="T20" s="75">
        <f t="shared" ca="1" si="3"/>
        <v>-0.77323979789604258</v>
      </c>
      <c r="U20" s="75">
        <f t="shared" ca="1" si="3"/>
        <v>0.88504641581500254</v>
      </c>
    </row>
    <row r="21" spans="1:21">
      <c r="A21" s="58" t="s">
        <v>99</v>
      </c>
      <c r="B21" s="58">
        <f t="shared" si="0"/>
        <v>100</v>
      </c>
      <c r="C21" s="72">
        <f t="shared" ca="1" si="6"/>
        <v>103.30079277115483</v>
      </c>
      <c r="D21" s="72">
        <f t="shared" ca="1" si="4"/>
        <v>106.39333702336594</v>
      </c>
      <c r="E21" s="72">
        <f t="shared" ca="1" si="4"/>
        <v>111.14917602818606</v>
      </c>
      <c r="F21" s="72">
        <f t="shared" ca="1" si="4"/>
        <v>112.26139255436942</v>
      </c>
      <c r="G21" s="72">
        <f t="shared" ca="1" si="4"/>
        <v>109.48908634417629</v>
      </c>
      <c r="H21" s="72">
        <f t="shared" ca="1" si="4"/>
        <v>113.40355636489267</v>
      </c>
      <c r="I21" s="72">
        <f t="shared" ca="1" si="4"/>
        <v>111.92511914279868</v>
      </c>
      <c r="J21" s="72">
        <f t="shared" ca="1" si="4"/>
        <v>121.01356738454307</v>
      </c>
      <c r="K21" s="73">
        <f t="shared" ca="1" si="2"/>
        <v>11.013567384543066</v>
      </c>
      <c r="M21" s="74" t="s">
        <v>99</v>
      </c>
      <c r="N21" s="75">
        <f t="shared" ca="1" si="5"/>
        <v>0.800937602822971</v>
      </c>
      <c r="O21" s="75">
        <f t="shared" ca="1" si="3"/>
        <v>0.72938033885247766</v>
      </c>
      <c r="P21" s="75">
        <f t="shared" ca="1" si="3"/>
        <v>1.071483981068075</v>
      </c>
      <c r="Q21" s="75">
        <f t="shared" ca="1" si="3"/>
        <v>0.25967037930884407</v>
      </c>
      <c r="R21" s="75">
        <f t="shared" ca="1" si="3"/>
        <v>-0.58070970661729282</v>
      </c>
      <c r="S21" s="75">
        <f t="shared" ca="1" si="3"/>
        <v>0.86470805756936264</v>
      </c>
      <c r="T21" s="75">
        <f t="shared" ca="1" si="3"/>
        <v>-0.29509104599683866</v>
      </c>
      <c r="U21" s="75">
        <f t="shared" ca="1" si="3"/>
        <v>1.896970705373707</v>
      </c>
    </row>
    <row r="22" spans="1:21">
      <c r="A22" s="58" t="s">
        <v>100</v>
      </c>
      <c r="B22" s="58">
        <f t="shared" si="0"/>
        <v>100</v>
      </c>
      <c r="C22" s="72">
        <f t="shared" ca="1" si="6"/>
        <v>100.35490380534335</v>
      </c>
      <c r="D22" s="72">
        <f t="shared" ca="1" si="4"/>
        <v>99.888758844524673</v>
      </c>
      <c r="E22" s="72">
        <f t="shared" ca="1" si="4"/>
        <v>99.453785965148342</v>
      </c>
      <c r="F22" s="72">
        <f t="shared" ca="1" si="4"/>
        <v>106.12364517698364</v>
      </c>
      <c r="G22" s="72">
        <f t="shared" ca="1" si="4"/>
        <v>108.28011440424892</v>
      </c>
      <c r="H22" s="72">
        <f t="shared" ca="1" si="4"/>
        <v>109.05694393004072</v>
      </c>
      <c r="I22" s="72">
        <f t="shared" ca="1" si="4"/>
        <v>113.7746755990262</v>
      </c>
      <c r="J22" s="72">
        <f t="shared" ca="1" si="4"/>
        <v>120.77561824035782</v>
      </c>
      <c r="K22" s="73">
        <f t="shared" ca="1" si="2"/>
        <v>10.775618240357815</v>
      </c>
      <c r="M22" s="76" t="s">
        <v>100</v>
      </c>
      <c r="N22" s="77">
        <f ca="1">-N12</f>
        <v>0.10549624115729513</v>
      </c>
      <c r="O22" s="77">
        <f t="shared" ref="O22:U22" ca="1" si="7">-O12</f>
        <v>-9.1572156218561324E-2</v>
      </c>
      <c r="P22" s="77">
        <f t="shared" ca="1" si="7"/>
        <v>-8.4560460241975624E-2</v>
      </c>
      <c r="Q22" s="77">
        <f t="shared" ca="1" si="7"/>
        <v>1.5806246074910502</v>
      </c>
      <c r="R22" s="77">
        <f t="shared" ca="1" si="7"/>
        <v>0.50388292722973893</v>
      </c>
      <c r="S22" s="77">
        <f t="shared" ca="1" si="7"/>
        <v>0.19217106914735343</v>
      </c>
      <c r="T22" s="77">
        <f t="shared" ca="1" si="7"/>
        <v>1.0383014007104219</v>
      </c>
      <c r="U22" s="77">
        <f t="shared" ca="1" si="7"/>
        <v>1.4556961515472229</v>
      </c>
    </row>
    <row r="23" spans="1:21">
      <c r="A23" s="58" t="s">
        <v>101</v>
      </c>
      <c r="B23" s="58">
        <f t="shared" si="0"/>
        <v>100</v>
      </c>
      <c r="C23" s="72">
        <f t="shared" ca="1" si="6"/>
        <v>105.53440884877523</v>
      </c>
      <c r="D23" s="72">
        <f t="shared" ca="1" si="4"/>
        <v>102.07631989478443</v>
      </c>
      <c r="E23" s="72">
        <f t="shared" ca="1" si="4"/>
        <v>109.28595305326803</v>
      </c>
      <c r="F23" s="72">
        <f t="shared" ca="1" si="4"/>
        <v>113.94331723893821</v>
      </c>
      <c r="G23" s="72">
        <f t="shared" ca="1" si="4"/>
        <v>115.83169175240894</v>
      </c>
      <c r="H23" s="72">
        <f t="shared" ca="1" si="4"/>
        <v>119.18195034164665</v>
      </c>
      <c r="I23" s="72">
        <f t="shared" ca="1" si="4"/>
        <v>124.53924547618612</v>
      </c>
      <c r="J23" s="72">
        <f t="shared" ca="1" si="4"/>
        <v>128.8123827139961</v>
      </c>
      <c r="K23" s="73">
        <f t="shared" ca="1" si="2"/>
        <v>18.812382713996101</v>
      </c>
      <c r="M23" s="76" t="s">
        <v>101</v>
      </c>
      <c r="N23" s="77">
        <f t="shared" ref="N23:U31" ca="1" si="8">-N13</f>
        <v>1.3151372746682268</v>
      </c>
      <c r="O23" s="77">
        <f t="shared" ca="1" si="8"/>
        <v>-0.78048475150359997</v>
      </c>
      <c r="P23" s="77">
        <f t="shared" ca="1" si="8"/>
        <v>1.6607951737330227</v>
      </c>
      <c r="Q23" s="77">
        <f t="shared" ca="1" si="8"/>
        <v>1.0234812031114897</v>
      </c>
      <c r="R23" s="77">
        <f t="shared" ca="1" si="8"/>
        <v>0.41543764216410656</v>
      </c>
      <c r="S23" s="77">
        <f t="shared" ca="1" si="8"/>
        <v>0.70570900794170077</v>
      </c>
      <c r="T23" s="77">
        <f t="shared" ca="1" si="8"/>
        <v>1.0772359611935265</v>
      </c>
      <c r="U23" s="77">
        <f t="shared" ca="1" si="8"/>
        <v>0.83125290079894953</v>
      </c>
    </row>
    <row r="24" spans="1:21">
      <c r="A24" s="58" t="s">
        <v>102</v>
      </c>
      <c r="B24" s="58">
        <f t="shared" si="0"/>
        <v>100</v>
      </c>
      <c r="C24" s="72">
        <f t="shared" ca="1" si="6"/>
        <v>105.02392488845365</v>
      </c>
      <c r="D24" s="72">
        <f t="shared" ca="1" si="4"/>
        <v>109.10614351017693</v>
      </c>
      <c r="E24" s="72">
        <f t="shared" ca="1" si="4"/>
        <v>110.9991350834254</v>
      </c>
      <c r="F24" s="72">
        <f t="shared" ca="1" si="4"/>
        <v>104.4681030108606</v>
      </c>
      <c r="G24" s="72">
        <f t="shared" ca="1" si="4"/>
        <v>102.43360200133976</v>
      </c>
      <c r="H24" s="72">
        <f t="shared" ca="1" si="4"/>
        <v>104.60066704737079</v>
      </c>
      <c r="I24" s="72">
        <f t="shared" ca="1" si="4"/>
        <v>106.27867547407814</v>
      </c>
      <c r="J24" s="72">
        <f t="shared" ca="1" si="4"/>
        <v>105.88790556807264</v>
      </c>
      <c r="K24" s="73">
        <f t="shared" ca="1" si="2"/>
        <v>0</v>
      </c>
      <c r="M24" s="76" t="s">
        <v>102</v>
      </c>
      <c r="N24" s="77">
        <f t="shared" ca="1" si="8"/>
        <v>1.1985849528609367</v>
      </c>
      <c r="O24" s="77">
        <f t="shared" ca="1" si="8"/>
        <v>0.93694277616743171</v>
      </c>
      <c r="P24" s="77">
        <f t="shared" ca="1" si="8"/>
        <v>0.43380457019757102</v>
      </c>
      <c r="Q24" s="77">
        <f t="shared" ca="1" si="8"/>
        <v>-1.4372800619377248</v>
      </c>
      <c r="R24" s="77">
        <f t="shared" ca="1" si="8"/>
        <v>-0.4523965300025134</v>
      </c>
      <c r="S24" s="77">
        <f t="shared" ca="1" si="8"/>
        <v>0.52355679479199935</v>
      </c>
      <c r="T24" s="77">
        <f t="shared" ca="1" si="8"/>
        <v>0.40288149479166108</v>
      </c>
      <c r="U24" s="77">
        <f t="shared" ca="1" si="8"/>
        <v>-6.8204156656496054E-2</v>
      </c>
    </row>
    <row r="25" spans="1:21">
      <c r="A25" s="58" t="s">
        <v>103</v>
      </c>
      <c r="B25" s="58">
        <f t="shared" si="0"/>
        <v>100</v>
      </c>
      <c r="C25" s="72">
        <f t="shared" ca="1" si="6"/>
        <v>97.920699417387283</v>
      </c>
      <c r="D25" s="72">
        <f t="shared" ca="1" si="4"/>
        <v>102.0272118809601</v>
      </c>
      <c r="E25" s="72">
        <f t="shared" ca="1" si="4"/>
        <v>99.365895664440671</v>
      </c>
      <c r="F25" s="72">
        <f t="shared" ca="1" si="4"/>
        <v>94.626828853819447</v>
      </c>
      <c r="G25" s="72">
        <f t="shared" ca="1" si="4"/>
        <v>94.242450852457495</v>
      </c>
      <c r="H25" s="72">
        <f t="shared" ca="1" si="4"/>
        <v>100.99640102710828</v>
      </c>
      <c r="I25" s="72">
        <f t="shared" ca="1" si="4"/>
        <v>96.719600142015992</v>
      </c>
      <c r="J25" s="72">
        <f t="shared" ca="1" si="4"/>
        <v>95.895207151164428</v>
      </c>
      <c r="K25" s="73">
        <f t="shared" ca="1" si="2"/>
        <v>0</v>
      </c>
      <c r="M25" s="76" t="s">
        <v>103</v>
      </c>
      <c r="N25" s="77">
        <f t="shared" ca="1" si="8"/>
        <v>-0.48473201194054316</v>
      </c>
      <c r="O25" s="77">
        <f t="shared" ca="1" si="8"/>
        <v>1.0078177605533105</v>
      </c>
      <c r="P25" s="77">
        <f t="shared" ca="1" si="8"/>
        <v>-0.61497374272707062</v>
      </c>
      <c r="Q25" s="77">
        <f t="shared" ca="1" si="8"/>
        <v>-1.1542994539352716</v>
      </c>
      <c r="R25" s="77">
        <f t="shared" ca="1" si="8"/>
        <v>-7.7499138399410014E-2</v>
      </c>
      <c r="S25" s="77">
        <f t="shared" ca="1" si="8"/>
        <v>1.6840402814661695</v>
      </c>
      <c r="T25" s="77">
        <f t="shared" ca="1" si="8"/>
        <v>-1.0197137633849092</v>
      </c>
      <c r="U25" s="77">
        <f t="shared" ca="1" si="8"/>
        <v>-0.18541944523195736</v>
      </c>
    </row>
    <row r="26" spans="1:21">
      <c r="A26" s="58" t="s">
        <v>104</v>
      </c>
      <c r="B26" s="58">
        <f t="shared" si="0"/>
        <v>100</v>
      </c>
      <c r="C26" s="72">
        <f t="shared" ca="1" si="6"/>
        <v>97.449711058191539</v>
      </c>
      <c r="D26" s="72">
        <f t="shared" ca="1" si="4"/>
        <v>96.34684365259676</v>
      </c>
      <c r="E26" s="72">
        <f t="shared" ca="1" si="4"/>
        <v>92.573854295994494</v>
      </c>
      <c r="F26" s="72">
        <f t="shared" ca="1" si="4"/>
        <v>84.250912808401978</v>
      </c>
      <c r="G26" s="72">
        <f t="shared" ca="1" si="4"/>
        <v>74.821362251431481</v>
      </c>
      <c r="H26" s="72">
        <f t="shared" ca="1" si="4"/>
        <v>71.586907406039842</v>
      </c>
      <c r="I26" s="72">
        <f t="shared" ca="1" si="4"/>
        <v>73.228254043596323</v>
      </c>
      <c r="J26" s="72">
        <f t="shared" ca="1" si="4"/>
        <v>75.29650531115837</v>
      </c>
      <c r="K26" s="73">
        <f t="shared" ca="1" si="2"/>
        <v>0</v>
      </c>
      <c r="M26" s="76" t="s">
        <v>104</v>
      </c>
      <c r="N26" s="77">
        <f t="shared" ca="1" si="8"/>
        <v>-0.6006264618631737</v>
      </c>
      <c r="O26" s="77">
        <f t="shared" ca="1" si="8"/>
        <v>-0.25324603594129624</v>
      </c>
      <c r="P26" s="77">
        <f t="shared" ca="1" si="8"/>
        <v>-0.93988862911429683</v>
      </c>
      <c r="Q26" s="77">
        <f t="shared" ca="1" si="8"/>
        <v>-2.2441237954654434</v>
      </c>
      <c r="R26" s="77">
        <f t="shared" ca="1" si="8"/>
        <v>-2.8327569822906042</v>
      </c>
      <c r="S26" s="77">
        <f t="shared" ca="1" si="8"/>
        <v>-1.0418861086598161</v>
      </c>
      <c r="T26" s="77">
        <f t="shared" ca="1" si="8"/>
        <v>0.56523709958992674</v>
      </c>
      <c r="U26" s="77">
        <f t="shared" ca="1" si="8"/>
        <v>0.6898272102844657</v>
      </c>
    </row>
    <row r="27" spans="1:21">
      <c r="A27" s="58" t="s">
        <v>105</v>
      </c>
      <c r="B27" s="58">
        <f t="shared" si="0"/>
        <v>100</v>
      </c>
      <c r="C27" s="72">
        <f t="shared" ca="1" si="6"/>
        <v>100.60903759530981</v>
      </c>
      <c r="D27" s="72">
        <f t="shared" ca="1" si="4"/>
        <v>102.62315524099971</v>
      </c>
      <c r="E27" s="72">
        <f t="shared" ca="1" si="4"/>
        <v>99.314479579409735</v>
      </c>
      <c r="F27" s="72">
        <f t="shared" ca="1" si="4"/>
        <v>106.02672196850118</v>
      </c>
      <c r="G27" s="72">
        <f t="shared" ca="1" si="4"/>
        <v>113.85903089366018</v>
      </c>
      <c r="H27" s="72">
        <f t="shared" ca="1" si="4"/>
        <v>111.69909947369217</v>
      </c>
      <c r="I27" s="72">
        <f t="shared" ca="1" si="4"/>
        <v>107.63084086496232</v>
      </c>
      <c r="J27" s="72">
        <f t="shared" ca="1" si="4"/>
        <v>106.90564881987481</v>
      </c>
      <c r="K27" s="73">
        <f t="shared" ca="1" si="2"/>
        <v>0</v>
      </c>
      <c r="M27" s="76" t="s">
        <v>105</v>
      </c>
      <c r="N27" s="77">
        <f t="shared" ca="1" si="8"/>
        <v>0.16628942906919614</v>
      </c>
      <c r="O27" s="77">
        <f t="shared" ca="1" si="8"/>
        <v>0.49678860301133509</v>
      </c>
      <c r="P27" s="77">
        <f t="shared" ca="1" si="8"/>
        <v>-0.76740700230188441</v>
      </c>
      <c r="Q27" s="77">
        <f t="shared" ca="1" si="8"/>
        <v>1.5923540620207919</v>
      </c>
      <c r="R27" s="77">
        <f t="shared" ca="1" si="8"/>
        <v>1.7334555387834392</v>
      </c>
      <c r="S27" s="77">
        <f t="shared" ca="1" si="8"/>
        <v>-0.44002903058197518</v>
      </c>
      <c r="T27" s="77">
        <f t="shared" ca="1" si="8"/>
        <v>-0.87146795422088474</v>
      </c>
      <c r="U27" s="77">
        <f t="shared" ca="1" si="8"/>
        <v>-0.14216494513721512</v>
      </c>
    </row>
    <row r="28" spans="1:21">
      <c r="A28" s="58" t="s">
        <v>106</v>
      </c>
      <c r="B28" s="58">
        <f t="shared" si="0"/>
        <v>100</v>
      </c>
      <c r="C28" s="72">
        <f t="shared" ca="1" si="6"/>
        <v>106.32587389406065</v>
      </c>
      <c r="D28" s="72">
        <f t="shared" ca="1" si="4"/>
        <v>104.47383481869861</v>
      </c>
      <c r="E28" s="72">
        <f t="shared" ca="1" si="4"/>
        <v>102.22069959943015</v>
      </c>
      <c r="F28" s="72">
        <f t="shared" ca="1" si="4"/>
        <v>98.918916587331395</v>
      </c>
      <c r="G28" s="72">
        <f t="shared" ca="1" si="4"/>
        <v>90.714938179187257</v>
      </c>
      <c r="H28" s="72">
        <f t="shared" ca="1" si="4"/>
        <v>89.804164916150143</v>
      </c>
      <c r="I28" s="72">
        <f t="shared" ca="1" si="4"/>
        <v>90.716402429575083</v>
      </c>
      <c r="J28" s="72">
        <f t="shared" ca="1" si="4"/>
        <v>88.904095770805199</v>
      </c>
      <c r="K28" s="73">
        <f t="shared" ca="1" si="2"/>
        <v>0</v>
      </c>
      <c r="M28" s="76" t="s">
        <v>106</v>
      </c>
      <c r="N28" s="77">
        <f t="shared" ca="1" si="8"/>
        <v>1.4947324331407461</v>
      </c>
      <c r="O28" s="77">
        <f t="shared" ca="1" si="8"/>
        <v>-0.40203941790029774</v>
      </c>
      <c r="P28" s="77">
        <f t="shared" ca="1" si="8"/>
        <v>-0.50372686523540866</v>
      </c>
      <c r="Q28" s="77">
        <f t="shared" ca="1" si="8"/>
        <v>-0.76888509177860087</v>
      </c>
      <c r="R28" s="77">
        <f t="shared" ca="1" si="8"/>
        <v>-2.0607478797800485</v>
      </c>
      <c r="S28" s="77">
        <f t="shared" ca="1" si="8"/>
        <v>-0.22221095069655217</v>
      </c>
      <c r="T28" s="77">
        <f t="shared" ca="1" si="8"/>
        <v>0.2632769487600693</v>
      </c>
      <c r="U28" s="77">
        <f t="shared" ca="1" si="8"/>
        <v>-0.46472711081770951</v>
      </c>
    </row>
    <row r="29" spans="1:21">
      <c r="A29" s="58" t="s">
        <v>107</v>
      </c>
      <c r="B29" s="58">
        <f t="shared" si="0"/>
        <v>100</v>
      </c>
      <c r="C29" s="72">
        <f t="shared" ca="1" si="6"/>
        <v>107.75067301845689</v>
      </c>
      <c r="D29" s="72">
        <f t="shared" ca="1" si="6"/>
        <v>110.80077987117019</v>
      </c>
      <c r="E29" s="72">
        <f t="shared" ca="1" si="6"/>
        <v>110.18852452175317</v>
      </c>
      <c r="F29" s="72">
        <f t="shared" ca="1" si="6"/>
        <v>108.10254586760951</v>
      </c>
      <c r="G29" s="72">
        <f t="shared" ca="1" si="6"/>
        <v>108.79449994430597</v>
      </c>
      <c r="H29" s="72">
        <f t="shared" ca="1" si="6"/>
        <v>103.31173003185927</v>
      </c>
      <c r="I29" s="72">
        <f t="shared" ca="1" si="6"/>
        <v>100.52968015641544</v>
      </c>
      <c r="J29" s="72">
        <f t="shared" ca="1" si="6"/>
        <v>98.92376315173378</v>
      </c>
      <c r="K29" s="73">
        <f t="shared" ca="1" si="2"/>
        <v>0</v>
      </c>
      <c r="M29" s="76" t="s">
        <v>107</v>
      </c>
      <c r="N29" s="77">
        <f t="shared" ca="1" si="8"/>
        <v>1.8146966222387344</v>
      </c>
      <c r="O29" s="77">
        <f t="shared" ca="1" si="8"/>
        <v>0.69130416282354057</v>
      </c>
      <c r="P29" s="77">
        <f t="shared" ca="1" si="8"/>
        <v>-0.11285137262810976</v>
      </c>
      <c r="Q29" s="77">
        <f t="shared" ca="1" si="8"/>
        <v>-0.4390679017539354</v>
      </c>
      <c r="R29" s="77">
        <f t="shared" ca="1" si="8"/>
        <v>0.17370727820998769</v>
      </c>
      <c r="S29" s="77">
        <f t="shared" ca="1" si="8"/>
        <v>-1.2226112992265481</v>
      </c>
      <c r="T29" s="77">
        <f t="shared" ca="1" si="8"/>
        <v>-0.63582118151730582</v>
      </c>
      <c r="U29" s="77">
        <f t="shared" ca="1" si="8"/>
        <v>-0.36674154896223554</v>
      </c>
    </row>
    <row r="30" spans="1:21">
      <c r="A30" s="58" t="s">
        <v>108</v>
      </c>
      <c r="B30" s="58">
        <f t="shared" si="0"/>
        <v>100</v>
      </c>
      <c r="C30" s="72">
        <f t="shared" ca="1" si="6"/>
        <v>89.575788675843484</v>
      </c>
      <c r="D30" s="72">
        <f t="shared" ca="1" si="6"/>
        <v>92.119175740442316</v>
      </c>
      <c r="E30" s="72">
        <f t="shared" ca="1" si="6"/>
        <v>99.483983895032551</v>
      </c>
      <c r="F30" s="72">
        <f t="shared" ca="1" si="6"/>
        <v>108.45195538473087</v>
      </c>
      <c r="G30" s="72">
        <f t="shared" ca="1" si="6"/>
        <v>97.479225670170067</v>
      </c>
      <c r="H30" s="72">
        <f t="shared" ca="1" si="6"/>
        <v>100.20869914642148</v>
      </c>
      <c r="I30" s="72">
        <f t="shared" ca="1" si="6"/>
        <v>103.39716758833015</v>
      </c>
      <c r="J30" s="72">
        <f t="shared" ca="1" si="6"/>
        <v>99.575012893314124</v>
      </c>
      <c r="K30" s="73">
        <f t="shared" ca="1" si="2"/>
        <v>0</v>
      </c>
      <c r="M30" s="76" t="s">
        <v>108</v>
      </c>
      <c r="N30" s="77">
        <f t="shared" ca="1" si="8"/>
        <v>-2.625777914884551</v>
      </c>
      <c r="O30" s="77">
        <f t="shared" ca="1" si="8"/>
        <v>0.69332860016011655</v>
      </c>
      <c r="P30" s="77">
        <f t="shared" ca="1" si="8"/>
        <v>1.8691103762376202</v>
      </c>
      <c r="Q30" s="77">
        <f t="shared" ca="1" si="8"/>
        <v>2.0949876830402205</v>
      </c>
      <c r="R30" s="77">
        <f t="shared" ca="1" si="8"/>
        <v>-2.5436401866730698</v>
      </c>
      <c r="S30" s="77">
        <f t="shared" ca="1" si="8"/>
        <v>0.68413824258210354</v>
      </c>
      <c r="T30" s="77">
        <f t="shared" ca="1" si="8"/>
        <v>0.77323979789604258</v>
      </c>
      <c r="U30" s="77">
        <f t="shared" ca="1" si="8"/>
        <v>-0.88504641581500254</v>
      </c>
    </row>
    <row r="31" spans="1:21">
      <c r="A31" s="58" t="s">
        <v>109</v>
      </c>
      <c r="B31" s="58">
        <f t="shared" si="0"/>
        <v>100</v>
      </c>
      <c r="C31" s="72">
        <f t="shared" ca="1" si="6"/>
        <v>96.640993420496883</v>
      </c>
      <c r="D31" s="72">
        <f t="shared" ca="1" si="6"/>
        <v>93.673263180990176</v>
      </c>
      <c r="E31" s="72">
        <f t="shared" ca="1" si="6"/>
        <v>89.513568905148773</v>
      </c>
      <c r="F31" s="72">
        <f t="shared" ca="1" si="6"/>
        <v>88.476866914200755</v>
      </c>
      <c r="G31" s="72">
        <f t="shared" ca="1" si="6"/>
        <v>90.563744086807944</v>
      </c>
      <c r="H31" s="72">
        <f t="shared" ca="1" si="6"/>
        <v>87.289813638732241</v>
      </c>
      <c r="I31" s="72">
        <f t="shared" ca="1" si="6"/>
        <v>88.2932931550082</v>
      </c>
      <c r="J31" s="72">
        <f t="shared" ca="1" si="6"/>
        <v>81.524145810503555</v>
      </c>
      <c r="K31" s="73">
        <f t="shared" ca="1" si="2"/>
        <v>0</v>
      </c>
      <c r="M31" s="76" t="s">
        <v>109</v>
      </c>
      <c r="N31" s="77">
        <f t="shared" ca="1" si="8"/>
        <v>-0.800937602822971</v>
      </c>
      <c r="O31" s="77">
        <f t="shared" ca="1" si="8"/>
        <v>-0.72938033885247766</v>
      </c>
      <c r="P31" s="77">
        <f t="shared" ca="1" si="8"/>
        <v>-1.071483981068075</v>
      </c>
      <c r="Q31" s="77">
        <f t="shared" ca="1" si="8"/>
        <v>-0.25967037930884407</v>
      </c>
      <c r="R31" s="77">
        <f t="shared" ca="1" si="8"/>
        <v>0.58070970661729282</v>
      </c>
      <c r="S31" s="77">
        <f t="shared" ca="1" si="8"/>
        <v>-0.86470805756936264</v>
      </c>
      <c r="T31" s="77">
        <f t="shared" ca="1" si="8"/>
        <v>0.29509104599683866</v>
      </c>
      <c r="U31" s="77">
        <f t="shared" ca="1" si="8"/>
        <v>-1.896970705373707</v>
      </c>
    </row>
  </sheetData>
  <mergeCells count="2">
    <mergeCell ref="H5:I5"/>
    <mergeCell ref="H6:I6"/>
  </mergeCells>
  <phoneticPr fontId="3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6.1</vt:lpstr>
      <vt:lpstr>6.2</vt:lpstr>
      <vt:lpstr>6.17</vt:lpstr>
      <vt:lpstr>5.7old</vt:lpstr>
      <vt:lpstr>5.8old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 O</cp:lastModifiedBy>
  <dcterms:created xsi:type="dcterms:W3CDTF">2022-05-24T11:24:28Z</dcterms:created>
  <dcterms:modified xsi:type="dcterms:W3CDTF">2025-01-10T11:13:44Z</dcterms:modified>
</cp:coreProperties>
</file>