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ドキュメント\MyBook\LecNotes\"/>
    </mc:Choice>
  </mc:AlternateContent>
  <xr:revisionPtr revIDLastSave="0" documentId="13_ncr:1_{6453F377-8540-4E5A-859A-D5CCD394C134}" xr6:coauthVersionLast="47" xr6:coauthVersionMax="47" xr10:uidLastSave="{00000000-0000-0000-0000-000000000000}"/>
  <bookViews>
    <workbookView xWindow="6750" yWindow="860" windowWidth="28800" windowHeight="15460" activeTab="4" xr2:uid="{6261F06C-D557-46FE-A12C-85F75D4D4D2C}"/>
  </bookViews>
  <sheets>
    <sheet name="6.1" sheetId="18" r:id="rId1"/>
    <sheet name="6.2" sheetId="16" r:id="rId2"/>
    <sheet name="7.4" sheetId="19" r:id="rId3"/>
    <sheet name="7.7" sheetId="20" r:id="rId4"/>
    <sheet name="7.12" sheetId="21" r:id="rId5"/>
  </sheets>
  <functionGroups builtInGroupCount="19">
    <functionGroup name="Commands"/>
  </functionGroups>
  <externalReferences>
    <externalReference r:id="rId6"/>
    <externalReference r:id="rId7"/>
  </externalReferences>
  <definedNames>
    <definedName name="__123Graph_A" localSheetId="0" hidden="1">[1]DATE!#REF!</definedName>
    <definedName name="__123Graph_A" localSheetId="4" hidden="1">[1]DATE!#REF!</definedName>
    <definedName name="__123Graph_A" localSheetId="2" hidden="1">[1]DATE!#REF!</definedName>
    <definedName name="__123Graph_A" localSheetId="3" hidden="1">[1]DATE!#REF!</definedName>
    <definedName name="__123Graph_A" hidden="1">[1]DATE!#REF!</definedName>
    <definedName name="__123Graph_B" localSheetId="0" hidden="1">[1]DATE!#REF!</definedName>
    <definedName name="__123Graph_B" localSheetId="4" hidden="1">[1]DATE!#REF!</definedName>
    <definedName name="__123Graph_B" localSheetId="2" hidden="1">[1]DATE!#REF!</definedName>
    <definedName name="__123Graph_B" localSheetId="3" hidden="1">[1]DATE!#REF!</definedName>
    <definedName name="__123Graph_B" hidden="1">[1]DATE!#REF!</definedName>
    <definedName name="__123Graph_C" localSheetId="0" hidden="1">[1]DATE!#REF!</definedName>
    <definedName name="__123Graph_C" localSheetId="4" hidden="1">[1]DATE!#REF!</definedName>
    <definedName name="__123Graph_C" localSheetId="2" hidden="1">[1]DATE!#REF!</definedName>
    <definedName name="__123Graph_C" localSheetId="3" hidden="1">[1]DATE!#REF!</definedName>
    <definedName name="__123Graph_C" hidden="1">[1]DATE!#REF!</definedName>
    <definedName name="__123Graph_D" localSheetId="0" hidden="1">[1]DATE!#REF!</definedName>
    <definedName name="__123Graph_D" localSheetId="4" hidden="1">[1]DATE!#REF!</definedName>
    <definedName name="__123Graph_D" localSheetId="2" hidden="1">[1]DATE!#REF!</definedName>
    <definedName name="__123Graph_D" localSheetId="3" hidden="1">[1]DATE!#REF!</definedName>
    <definedName name="__123Graph_D" hidden="1">[1]DATE!#REF!</definedName>
    <definedName name="__123Graph_E" localSheetId="0" hidden="1">[1]DATE!#REF!</definedName>
    <definedName name="__123Graph_E" localSheetId="4" hidden="1">[1]DATE!#REF!</definedName>
    <definedName name="__123Graph_E" localSheetId="2" hidden="1">[1]DATE!#REF!</definedName>
    <definedName name="__123Graph_E" localSheetId="3" hidden="1">[1]DATE!#REF!</definedName>
    <definedName name="__123Graph_E" hidden="1">[1]DATE!#REF!</definedName>
    <definedName name="__123Graph_F" localSheetId="0" hidden="1">[1]DATE!#REF!</definedName>
    <definedName name="__123Graph_F" localSheetId="2" hidden="1">[1]DATE!#REF!</definedName>
    <definedName name="__123Graph_F" hidden="1">[1]DATE!#REF!</definedName>
    <definedName name="__123Graph_LBL_A" localSheetId="0" hidden="1">[1]DATE!#REF!</definedName>
    <definedName name="__123Graph_LBL_A" localSheetId="2" hidden="1">[1]DATE!#REF!</definedName>
    <definedName name="__123Graph_LBL_A" hidden="1">[1]DATE!#REF!</definedName>
    <definedName name="__123Graph_LBL_B" localSheetId="0" hidden="1">[1]DATE!#REF!</definedName>
    <definedName name="__123Graph_LBL_B" localSheetId="2" hidden="1">[1]DATE!#REF!</definedName>
    <definedName name="__123Graph_LBL_B" hidden="1">[1]DATE!#REF!</definedName>
    <definedName name="__123Graph_X" localSheetId="0" hidden="1">[1]DATE!#REF!</definedName>
    <definedName name="__123Graph_X" localSheetId="2" hidden="1">[1]DATE!#REF!</definedName>
    <definedName name="__123Graph_X" hidden="1">[1]DATE!#REF!</definedName>
    <definedName name="PartialBarrier" localSheetId="0">[2]!PartialBarrier</definedName>
    <definedName name="PartialBarrier">[2]!PartialBarrier</definedName>
    <definedName name="Ta">#REF!</definedName>
    <definedName name="Tb">#REF!</definedName>
    <definedName name="Tc">#REF!</definedName>
    <definedName name="Td">#REF!</definedName>
    <definedName name="Ti">#REF!</definedName>
    <definedName name="va">#REF!</definedName>
    <definedName name="vb">#REF!</definedName>
    <definedName name="vc">#REF!</definedName>
    <definedName name="vd">#REF!</definedName>
    <definedName name="ya">#REF!</definedName>
    <definedName name="yb">#REF!</definedName>
    <definedName name="yc">#REF!</definedName>
    <definedName name="yd">#REF!</definedName>
  </definedNames>
  <calcPr calcId="181029"/>
  <extLst>
    <ext xmlns:x14="http://schemas.microsoft.com/office/spreadsheetml/2009/9/main" uri="{8193D73E-4604-4355-AFF4-8A2333D13BE4}">
      <x14:definedNames>
        <x14:definedName name="bsCall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Call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Call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Option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bsPutdel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gamm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thet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ega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bsPutvol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testDT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1" l="1"/>
  <c r="B11" i="21" s="1"/>
  <c r="B13" i="21" s="1"/>
  <c r="G13" i="20"/>
  <c r="H13" i="20" s="1"/>
  <c r="G12" i="20"/>
  <c r="H12" i="20" s="1"/>
  <c r="B10" i="20"/>
  <c r="H8" i="20"/>
  <c r="B12" i="20" s="1"/>
  <c r="F7" i="20"/>
  <c r="F6" i="20"/>
  <c r="B15" i="21" l="1"/>
  <c r="H14" i="20"/>
  <c r="B11" i="20" s="1"/>
  <c r="B13" i="20" s="1"/>
  <c r="H9" i="20"/>
  <c r="B18" i="21" l="1"/>
  <c r="B19" i="21" s="1"/>
  <c r="B17" i="21"/>
  <c r="B16" i="21"/>
  <c r="B6" i="20"/>
  <c r="B5" i="20"/>
  <c r="B15" i="20" s="1"/>
  <c r="B17" i="20" l="1"/>
  <c r="B16" i="20"/>
  <c r="B18" i="20" s="1"/>
  <c r="B19" i="20" s="1"/>
  <c r="B20" i="20" s="1"/>
  <c r="B10" i="19" l="1"/>
  <c r="B12" i="19" s="1"/>
  <c r="B6" i="19"/>
  <c r="B5" i="19"/>
  <c r="B10" i="18"/>
  <c r="B11" i="18" s="1"/>
  <c r="B5" i="18"/>
  <c r="E2" i="16"/>
  <c r="C6" i="16"/>
  <c r="C2" i="16"/>
  <c r="C3" i="16"/>
  <c r="C4" i="16"/>
  <c r="C5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D2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3" i="16"/>
  <c r="D4" i="16"/>
  <c r="B15" i="19" l="1"/>
  <c r="B11" i="19"/>
  <c r="B13" i="19" s="1"/>
  <c r="B12" i="18"/>
  <c r="B13" i="18"/>
  <c r="B16" i="18" s="1"/>
  <c r="E8" i="16"/>
  <c r="F8" i="16" s="1"/>
  <c r="E127" i="16"/>
  <c r="F127" i="16" s="1"/>
  <c r="E95" i="16"/>
  <c r="F95" i="16" s="1"/>
  <c r="E47" i="16"/>
  <c r="F47" i="16" s="1"/>
  <c r="E31" i="16"/>
  <c r="F31" i="16" s="1"/>
  <c r="E135" i="16"/>
  <c r="F135" i="16" s="1"/>
  <c r="E103" i="16"/>
  <c r="F103" i="16" s="1"/>
  <c r="E79" i="16"/>
  <c r="F79" i="16" s="1"/>
  <c r="E63" i="16"/>
  <c r="F63" i="16" s="1"/>
  <c r="E39" i="16"/>
  <c r="F39" i="16" s="1"/>
  <c r="E15" i="16"/>
  <c r="F15" i="16" s="1"/>
  <c r="E119" i="16"/>
  <c r="F119" i="16" s="1"/>
  <c r="E87" i="16"/>
  <c r="F87" i="16" s="1"/>
  <c r="E55" i="16"/>
  <c r="F55" i="16" s="1"/>
  <c r="E23" i="16"/>
  <c r="F23" i="16" s="1"/>
  <c r="E111" i="16"/>
  <c r="F111" i="16" s="1"/>
  <c r="E71" i="16"/>
  <c r="F71" i="16" s="1"/>
  <c r="E7" i="16"/>
  <c r="F7" i="16" s="1"/>
  <c r="E4" i="16"/>
  <c r="F4" i="16" s="1"/>
  <c r="E67" i="16"/>
  <c r="F67" i="16" s="1"/>
  <c r="E46" i="16"/>
  <c r="F46" i="16" s="1"/>
  <c r="E38" i="16"/>
  <c r="F38" i="16" s="1"/>
  <c r="E30" i="16"/>
  <c r="F30" i="16" s="1"/>
  <c r="E22" i="16"/>
  <c r="F22" i="16" s="1"/>
  <c r="E14" i="16"/>
  <c r="F14" i="16" s="1"/>
  <c r="E6" i="16"/>
  <c r="F6" i="16" s="1"/>
  <c r="E54" i="16"/>
  <c r="F54" i="16" s="1"/>
  <c r="E12" i="16"/>
  <c r="F12" i="16" s="1"/>
  <c r="E58" i="16"/>
  <c r="F58" i="16" s="1"/>
  <c r="E26" i="16"/>
  <c r="F26" i="16" s="1"/>
  <c r="E49" i="16"/>
  <c r="F49" i="16" s="1"/>
  <c r="E137" i="16"/>
  <c r="F137" i="16" s="1"/>
  <c r="E40" i="16"/>
  <c r="F40" i="16" s="1"/>
  <c r="E134" i="16"/>
  <c r="F134" i="16" s="1"/>
  <c r="E133" i="16"/>
  <c r="F133" i="16" s="1"/>
  <c r="E125" i="16"/>
  <c r="F125" i="16" s="1"/>
  <c r="E117" i="16"/>
  <c r="F117" i="16" s="1"/>
  <c r="E109" i="16"/>
  <c r="F109" i="16" s="1"/>
  <c r="E101" i="16"/>
  <c r="F101" i="16" s="1"/>
  <c r="E93" i="16"/>
  <c r="F93" i="16" s="1"/>
  <c r="E85" i="16"/>
  <c r="F85" i="16" s="1"/>
  <c r="E77" i="16"/>
  <c r="F77" i="16" s="1"/>
  <c r="E69" i="16"/>
  <c r="F69" i="16" s="1"/>
  <c r="E61" i="16"/>
  <c r="F61" i="16" s="1"/>
  <c r="E53" i="16"/>
  <c r="F53" i="16" s="1"/>
  <c r="E45" i="16"/>
  <c r="F45" i="16" s="1"/>
  <c r="E37" i="16"/>
  <c r="F37" i="16" s="1"/>
  <c r="E29" i="16"/>
  <c r="F29" i="16" s="1"/>
  <c r="E21" i="16"/>
  <c r="F21" i="16" s="1"/>
  <c r="E13" i="16"/>
  <c r="F13" i="16" s="1"/>
  <c r="E5" i="16"/>
  <c r="F5" i="16" s="1"/>
  <c r="E108" i="16"/>
  <c r="F108" i="16" s="1"/>
  <c r="E76" i="16"/>
  <c r="F76" i="16" s="1"/>
  <c r="E52" i="16"/>
  <c r="F52" i="16" s="1"/>
  <c r="E28" i="16"/>
  <c r="F28" i="16" s="1"/>
  <c r="E73" i="16"/>
  <c r="F73" i="16" s="1"/>
  <c r="E131" i="16"/>
  <c r="F131" i="16" s="1"/>
  <c r="E123" i="16"/>
  <c r="F123" i="16" s="1"/>
  <c r="E115" i="16"/>
  <c r="F115" i="16" s="1"/>
  <c r="E107" i="16"/>
  <c r="F107" i="16" s="1"/>
  <c r="E99" i="16"/>
  <c r="F99" i="16" s="1"/>
  <c r="E91" i="16"/>
  <c r="F91" i="16" s="1"/>
  <c r="E83" i="16"/>
  <c r="F83" i="16" s="1"/>
  <c r="E75" i="16"/>
  <c r="F75" i="16" s="1"/>
  <c r="E59" i="16"/>
  <c r="F59" i="16" s="1"/>
  <c r="E51" i="16"/>
  <c r="F51" i="16" s="1"/>
  <c r="E43" i="16"/>
  <c r="F43" i="16" s="1"/>
  <c r="E27" i="16"/>
  <c r="F27" i="16" s="1"/>
  <c r="E19" i="16"/>
  <c r="F19" i="16" s="1"/>
  <c r="E11" i="16"/>
  <c r="F11" i="16" s="1"/>
  <c r="E110" i="16"/>
  <c r="F110" i="16" s="1"/>
  <c r="E86" i="16"/>
  <c r="F86" i="16" s="1"/>
  <c r="E3" i="16"/>
  <c r="F3" i="16" s="1"/>
  <c r="E84" i="16"/>
  <c r="F84" i="16" s="1"/>
  <c r="E130" i="16"/>
  <c r="F130" i="16" s="1"/>
  <c r="E122" i="16"/>
  <c r="F122" i="16" s="1"/>
  <c r="E114" i="16"/>
  <c r="F114" i="16" s="1"/>
  <c r="E106" i="16"/>
  <c r="F106" i="16" s="1"/>
  <c r="E98" i="16"/>
  <c r="F98" i="16" s="1"/>
  <c r="E90" i="16"/>
  <c r="F90" i="16" s="1"/>
  <c r="E82" i="16"/>
  <c r="F82" i="16" s="1"/>
  <c r="E74" i="16"/>
  <c r="F74" i="16" s="1"/>
  <c r="E66" i="16"/>
  <c r="F66" i="16" s="1"/>
  <c r="E50" i="16"/>
  <c r="F50" i="16" s="1"/>
  <c r="E42" i="16"/>
  <c r="F42" i="16" s="1"/>
  <c r="E34" i="16"/>
  <c r="F34" i="16" s="1"/>
  <c r="E18" i="16"/>
  <c r="F18" i="16" s="1"/>
  <c r="E10" i="16"/>
  <c r="F10" i="16" s="1"/>
  <c r="E116" i="16"/>
  <c r="F116" i="16" s="1"/>
  <c r="E60" i="16"/>
  <c r="F60" i="16" s="1"/>
  <c r="E36" i="16"/>
  <c r="F36" i="16" s="1"/>
  <c r="F2" i="16"/>
  <c r="E129" i="16"/>
  <c r="F129" i="16" s="1"/>
  <c r="E121" i="16"/>
  <c r="F121" i="16" s="1"/>
  <c r="E113" i="16"/>
  <c r="F113" i="16" s="1"/>
  <c r="E97" i="16"/>
  <c r="F97" i="16" s="1"/>
  <c r="E89" i="16"/>
  <c r="F89" i="16" s="1"/>
  <c r="E81" i="16"/>
  <c r="F81" i="16" s="1"/>
  <c r="E65" i="16"/>
  <c r="F65" i="16" s="1"/>
  <c r="E57" i="16"/>
  <c r="F57" i="16" s="1"/>
  <c r="E41" i="16"/>
  <c r="F41" i="16" s="1"/>
  <c r="E33" i="16"/>
  <c r="F33" i="16" s="1"/>
  <c r="E25" i="16"/>
  <c r="F25" i="16" s="1"/>
  <c r="E9" i="16"/>
  <c r="F9" i="16" s="1"/>
  <c r="E126" i="16"/>
  <c r="F126" i="16" s="1"/>
  <c r="E102" i="16"/>
  <c r="F102" i="16" s="1"/>
  <c r="E78" i="16"/>
  <c r="F78" i="16" s="1"/>
  <c r="E132" i="16"/>
  <c r="F132" i="16" s="1"/>
  <c r="E100" i="16"/>
  <c r="F100" i="16" s="1"/>
  <c r="E68" i="16"/>
  <c r="F68" i="16" s="1"/>
  <c r="E44" i="16"/>
  <c r="F44" i="16" s="1"/>
  <c r="E20" i="16"/>
  <c r="F20" i="16" s="1"/>
  <c r="E136" i="16"/>
  <c r="F136" i="16" s="1"/>
  <c r="E128" i="16"/>
  <c r="F128" i="16" s="1"/>
  <c r="E120" i="16"/>
  <c r="F120" i="16" s="1"/>
  <c r="E112" i="16"/>
  <c r="F112" i="16" s="1"/>
  <c r="E104" i="16"/>
  <c r="F104" i="16" s="1"/>
  <c r="E96" i="16"/>
  <c r="F96" i="16" s="1"/>
  <c r="E88" i="16"/>
  <c r="F88" i="16" s="1"/>
  <c r="E80" i="16"/>
  <c r="F80" i="16" s="1"/>
  <c r="E72" i="16"/>
  <c r="F72" i="16" s="1"/>
  <c r="E64" i="16"/>
  <c r="F64" i="16" s="1"/>
  <c r="E56" i="16"/>
  <c r="F56" i="16" s="1"/>
  <c r="E48" i="16"/>
  <c r="F48" i="16" s="1"/>
  <c r="E32" i="16"/>
  <c r="F32" i="16" s="1"/>
  <c r="E24" i="16"/>
  <c r="F24" i="16" s="1"/>
  <c r="E16" i="16"/>
  <c r="F16" i="16" s="1"/>
  <c r="E17" i="16"/>
  <c r="F17" i="16" s="1"/>
  <c r="E118" i="16"/>
  <c r="F118" i="16" s="1"/>
  <c r="E94" i="16"/>
  <c r="F94" i="16" s="1"/>
  <c r="E62" i="16"/>
  <c r="F62" i="16" s="1"/>
  <c r="E105" i="16"/>
  <c r="F105" i="16" s="1"/>
  <c r="E124" i="16"/>
  <c r="F124" i="16" s="1"/>
  <c r="E35" i="16"/>
  <c r="F35" i="16" s="1"/>
  <c r="E70" i="16"/>
  <c r="F70" i="16" s="1"/>
  <c r="E92" i="16"/>
  <c r="F92" i="16" s="1"/>
  <c r="B17" i="19" l="1"/>
  <c r="B16" i="19"/>
  <c r="B21" i="19" s="1"/>
  <c r="B18" i="19"/>
  <c r="B19" i="19" s="1"/>
  <c r="B15" i="18"/>
  <c r="B18" i="18"/>
  <c r="B28" i="18" s="1"/>
  <c r="B24" i="19" l="1"/>
  <c r="B20" i="19"/>
  <c r="B22" i="19"/>
  <c r="B23" i="19"/>
  <c r="B17" i="18"/>
  <c r="B20" i="18" s="1"/>
  <c r="B21" i="18" s="1"/>
  <c r="B19" i="18"/>
  <c r="B26" i="18" s="1"/>
  <c r="B27" i="18" l="1"/>
  <c r="B22" i="18"/>
  <c r="B24" i="18"/>
  <c r="B23" i="18"/>
  <c r="B25" i="18" l="1"/>
</calcChain>
</file>

<file path=xl/sharedStrings.xml><?xml version="1.0" encoding="utf-8"?>
<sst xmlns="http://schemas.openxmlformats.org/spreadsheetml/2006/main" count="180" uniqueCount="130">
  <si>
    <t>X : 行使価格</t>
    <rPh sb="4" eb="6">
      <t>コウシ</t>
    </rPh>
    <rPh sb="6" eb="8">
      <t>カカク</t>
    </rPh>
    <phoneticPr fontId="3"/>
  </si>
  <si>
    <t xml:space="preserve"> r : リスクフリーレート</t>
    <phoneticPr fontId="3"/>
  </si>
  <si>
    <t>連続複利</t>
    <rPh sb="0" eb="2">
      <t>レンゾク</t>
    </rPh>
    <rPh sb="2" eb="4">
      <t>フクリ</t>
    </rPh>
    <phoneticPr fontId="3"/>
  </si>
  <si>
    <t>σ: ボラティリティー</t>
    <phoneticPr fontId="3"/>
  </si>
  <si>
    <t xml:space="preserve"> </t>
    <phoneticPr fontId="3"/>
  </si>
  <si>
    <t>取引日</t>
    <rPh sb="0" eb="3">
      <t>トリヒキビ</t>
    </rPh>
    <phoneticPr fontId="3"/>
  </si>
  <si>
    <t>満期日</t>
    <rPh sb="0" eb="3">
      <t>マンキビ</t>
    </rPh>
    <phoneticPr fontId="3"/>
  </si>
  <si>
    <t>満期日数</t>
    <rPh sb="0" eb="3">
      <t>マンキビ</t>
    </rPh>
    <rPh sb="3" eb="4">
      <t>スウ</t>
    </rPh>
    <phoneticPr fontId="3"/>
  </si>
  <si>
    <t>(基本的計算項目)</t>
    <rPh sb="1" eb="4">
      <t>キホンテキ</t>
    </rPh>
    <rPh sb="4" eb="6">
      <t>ケイサン</t>
    </rPh>
    <rPh sb="6" eb="8">
      <t>コウモク</t>
    </rPh>
    <phoneticPr fontId="1"/>
  </si>
  <si>
    <t>(オプション計算項目)</t>
    <rPh sb="6" eb="8">
      <t>ケイサン</t>
    </rPh>
    <rPh sb="8" eb="10">
      <t>コウモク</t>
    </rPh>
    <phoneticPr fontId="1"/>
  </si>
  <si>
    <t>2023-07-21</t>
    <phoneticPr fontId="1"/>
  </si>
  <si>
    <t>2023-08-26</t>
    <phoneticPr fontId="1"/>
  </si>
  <si>
    <t>T : オプション満期年数</t>
    <rPh sb="9" eb="11">
      <t>マンキ</t>
    </rPh>
    <rPh sb="11" eb="12">
      <t>ネン</t>
    </rPh>
    <rPh sb="12" eb="13">
      <t>スウ</t>
    </rPh>
    <phoneticPr fontId="3"/>
  </si>
  <si>
    <t>Ｆ: 先物価格</t>
    <rPh sb="3" eb="5">
      <t>サキモノ</t>
    </rPh>
    <rPh sb="5" eb="7">
      <t>カカク</t>
    </rPh>
    <phoneticPr fontId="3"/>
  </si>
  <si>
    <t>=B4-B3</t>
    <phoneticPr fontId="1"/>
  </si>
  <si>
    <t>(B列 数式/コメント)</t>
    <rPh sb="2" eb="3">
      <t>レツ</t>
    </rPh>
    <rPh sb="4" eb="6">
      <t>スウシキ</t>
    </rPh>
    <phoneticPr fontId="1"/>
  </si>
  <si>
    <t>=B10/365</t>
    <phoneticPr fontId="3"/>
  </si>
  <si>
    <t>=EXP(-B8*B11)</t>
    <phoneticPr fontId="1"/>
  </si>
  <si>
    <t>=107-6 3/4</t>
    <phoneticPr fontId="1"/>
  </si>
  <si>
    <t>σ√T</t>
    <phoneticPr fontId="3"/>
  </si>
  <si>
    <t>=B7*B11^0.5</t>
    <phoneticPr fontId="1"/>
  </si>
  <si>
    <t>債券先物 (Blackモデル)</t>
    <rPh sb="0" eb="2">
      <t>サイケン</t>
    </rPh>
    <rPh sb="2" eb="4">
      <t>サキモノ</t>
    </rPh>
    <phoneticPr fontId="3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</si>
  <si>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 xml:space="preserve"> : ディスカウント</t>
    </r>
    <phoneticPr fontId="3"/>
  </si>
  <si>
    <t>デルタ</t>
    <phoneticPr fontId="1"/>
  </si>
  <si>
    <t>ガンマ</t>
    <phoneticPr fontId="1"/>
  </si>
  <si>
    <t>ベガ</t>
    <phoneticPr fontId="1"/>
  </si>
  <si>
    <t>セータ</t>
    <phoneticPr fontId="1"/>
  </si>
  <si>
    <t>=NORMDIST(B15,0,1,1)</t>
    <phoneticPr fontId="1"/>
  </si>
  <si>
    <t>=NORMDIST(B16,0,1,1)</t>
    <phoneticPr fontId="1"/>
  </si>
  <si>
    <t>=NORMDIST(B15,0,1,0)</t>
    <phoneticPr fontId="1"/>
  </si>
  <si>
    <t>=B12*B19/(B5*B13)</t>
    <phoneticPr fontId="1"/>
  </si>
  <si>
    <t>=B5*B19*B7/(2*B11^0.5)</t>
    <phoneticPr fontId="1"/>
  </si>
  <si>
    <t>=-B12*SUM(B25:B27)/365</t>
    <phoneticPr fontId="1"/>
  </si>
  <si>
    <t>=B12*B5*B11^0.5*B19</t>
    <phoneticPr fontId="1"/>
  </si>
  <si>
    <t>logRTN</t>
    <phoneticPr fontId="1"/>
  </si>
  <si>
    <t>smpRTN</t>
    <phoneticPr fontId="12"/>
  </si>
  <si>
    <t>tradeDT</t>
    <phoneticPr fontId="12"/>
  </si>
  <si>
    <t>lastPRC</t>
    <phoneticPr fontId="12"/>
  </si>
  <si>
    <t>StDev5ds</t>
    <phoneticPr fontId="1"/>
  </si>
  <si>
    <t>HistVol5ds</t>
    <phoneticPr fontId="1"/>
  </si>
  <si>
    <t>d1*pc</t>
    <phoneticPr fontId="3"/>
  </si>
  <si>
    <t>d2*pc</t>
    <phoneticPr fontId="3"/>
  </si>
  <si>
    <t>N(d1*pc)</t>
    <phoneticPr fontId="3"/>
  </si>
  <si>
    <t>N(d2*pc)</t>
    <phoneticPr fontId="1"/>
  </si>
  <si>
    <t>n(d1*pc)</t>
    <phoneticPr fontId="1"/>
  </si>
  <si>
    <t>=B2*(LN(B5/B6)/B13+B13/2)</t>
    <phoneticPr fontId="1"/>
  </si>
  <si>
    <t>=B2*(LN(B5/B6)/B13-B13/2)</t>
    <phoneticPr fontId="1"/>
  </si>
  <si>
    <t>=B2*B12*B17</t>
    <phoneticPr fontId="1"/>
  </si>
  <si>
    <t>=B2*-B8*B5*B17</t>
    <phoneticPr fontId="1"/>
  </si>
  <si>
    <t>=B2*B8*B6*B18</t>
    <phoneticPr fontId="1"/>
  </si>
  <si>
    <t>pc: コール=1, プット= -1</t>
    <phoneticPr fontId="1"/>
  </si>
  <si>
    <t>ブラックコア</t>
    <phoneticPr fontId="1"/>
  </si>
  <si>
    <t>=B2*(B5*B17-B6*B18)</t>
    <phoneticPr fontId="1"/>
  </si>
  <si>
    <t>オプション NPV</t>
    <phoneticPr fontId="3"/>
  </si>
  <si>
    <t>=B12*B20</t>
    <phoneticPr fontId="1"/>
  </si>
  <si>
    <t xml:space="preserve">    セータ第1項</t>
    <rPh sb="7" eb="8">
      <t>ダイ</t>
    </rPh>
    <rPh sb="9" eb="10">
      <t>コウ</t>
    </rPh>
    <phoneticPr fontId="1"/>
  </si>
  <si>
    <t xml:space="preserve">    セータ第2項</t>
    <rPh sb="7" eb="8">
      <t>ダイ</t>
    </rPh>
    <rPh sb="9" eb="10">
      <t>コウ</t>
    </rPh>
    <phoneticPr fontId="1"/>
  </si>
  <si>
    <t xml:space="preserve">    セータ第3項</t>
    <rPh sb="7" eb="8">
      <t>ダイ</t>
    </rPh>
    <rPh sb="9" eb="10">
      <t>コウ</t>
    </rPh>
    <phoneticPr fontId="1"/>
  </si>
  <si>
    <t>SOFR先物 (ノーマルモデル)</t>
    <rPh sb="4" eb="6">
      <t>サキモノ</t>
    </rPh>
    <phoneticPr fontId="2"/>
  </si>
  <si>
    <t>（Ｂ列の数式等）</t>
    <phoneticPr fontId="2"/>
  </si>
  <si>
    <t>pc : コール=1, プット=-1</t>
    <phoneticPr fontId="1"/>
  </si>
  <si>
    <t>取引日</t>
    <rPh sb="0" eb="3">
      <t>トリヒキビ</t>
    </rPh>
    <phoneticPr fontId="1"/>
  </si>
  <si>
    <t>満期日</t>
    <rPh sb="0" eb="3">
      <t>マンキビ</t>
    </rPh>
    <phoneticPr fontId="1"/>
  </si>
  <si>
    <t>Ｆ: (100-先物価格)/100</t>
    <rPh sb="8" eb="10">
      <t>サキモノ</t>
    </rPh>
    <rPh sb="10" eb="12">
      <t>カカク</t>
    </rPh>
    <phoneticPr fontId="2"/>
  </si>
  <si>
    <t>Ｘ: (100-行使価格)/100</t>
    <rPh sb="8" eb="10">
      <t>コウシ</t>
    </rPh>
    <rPh sb="10" eb="12">
      <t>カカク</t>
    </rPh>
    <phoneticPr fontId="2"/>
  </si>
  <si>
    <t>σ: ボラティリティー</t>
    <phoneticPr fontId="2"/>
  </si>
  <si>
    <t xml:space="preserve"> r: リスクフリーレート</t>
    <phoneticPr fontId="2"/>
  </si>
  <si>
    <t>ﾏﾈｰﾏｰｹｯﾄﾚｰﾄ</t>
    <phoneticPr fontId="2"/>
  </si>
  <si>
    <t>満期日数</t>
    <rPh sb="0" eb="2">
      <t>マンキ</t>
    </rPh>
    <rPh sb="2" eb="4">
      <t>ニッスウ</t>
    </rPh>
    <phoneticPr fontId="3"/>
  </si>
  <si>
    <t>=B10/365</t>
    <phoneticPr fontId="2"/>
  </si>
  <si>
    <t>=1/(1+B8*B10/360)</t>
    <phoneticPr fontId="2"/>
  </si>
  <si>
    <t>σ√T</t>
    <phoneticPr fontId="2"/>
  </si>
  <si>
    <t>=(B7*B11^0.5)</t>
    <phoneticPr fontId="2"/>
  </si>
  <si>
    <t>d*pc</t>
    <phoneticPr fontId="2"/>
  </si>
  <si>
    <t>=B2*(B5-B6)/B13</t>
    <phoneticPr fontId="2"/>
  </si>
  <si>
    <t>N(d*pc)</t>
    <phoneticPr fontId="2"/>
  </si>
  <si>
    <t>=NORMSDIST(B15)</t>
    <phoneticPr fontId="2"/>
  </si>
  <si>
    <t>n(d*pc)</t>
    <phoneticPr fontId="2"/>
  </si>
  <si>
    <t>=NORMDIST(B15,0,1,FALSE)</t>
    <phoneticPr fontId="2"/>
  </si>
  <si>
    <t>ノーマルコア</t>
    <phoneticPr fontId="1"/>
  </si>
  <si>
    <t>=B13*(B15*B16+B17)</t>
    <phoneticPr fontId="2"/>
  </si>
  <si>
    <t>オプション価格</t>
    <rPh sb="5" eb="7">
      <t>カカク</t>
    </rPh>
    <phoneticPr fontId="2"/>
  </si>
  <si>
    <t>=B12*B18</t>
    <phoneticPr fontId="2"/>
  </si>
  <si>
    <t>受渡代金(単位100ドル)</t>
    <rPh sb="0" eb="2">
      <t>ウケワタシ</t>
    </rPh>
    <rPh sb="2" eb="4">
      <t>ダイキン</t>
    </rPh>
    <phoneticPr fontId="2"/>
  </si>
  <si>
    <t>=2500*B19*100</t>
    <phoneticPr fontId="2"/>
  </si>
  <si>
    <t>デルタ</t>
    <phoneticPr fontId="2"/>
  </si>
  <si>
    <t>=B2*B12*B16</t>
    <phoneticPr fontId="2"/>
  </si>
  <si>
    <t>=B12*B17/B13</t>
    <phoneticPr fontId="2"/>
  </si>
  <si>
    <t>=B12*B11^0.5*B17</t>
    <phoneticPr fontId="2"/>
  </si>
  <si>
    <t>=B8*B19-0.5*B7*B17*B12/B11^0.5</t>
    <phoneticPr fontId="2"/>
  </si>
  <si>
    <t>SOFRスワップション</t>
    <phoneticPr fontId="2"/>
  </si>
  <si>
    <t>SWPM USD -OV 1Yx2Y&lt;GO&gt;</t>
    <phoneticPr fontId="1"/>
  </si>
  <si>
    <t>B5: 1年先 2年のスワップレートの計算</t>
    <phoneticPr fontId="1"/>
  </si>
  <si>
    <t>支払日</t>
  </si>
  <si>
    <t>δ:テナー</t>
    <phoneticPr fontId="2"/>
  </si>
  <si>
    <t>DF</t>
    <phoneticPr fontId="2"/>
  </si>
  <si>
    <t>(QL算出)</t>
    <rPh sb="3" eb="5">
      <t>サンシュツ</t>
    </rPh>
    <phoneticPr fontId="1"/>
  </si>
  <si>
    <t>Act/360</t>
    <phoneticPr fontId="2"/>
  </si>
  <si>
    <t>B列 計算式</t>
    <rPh sb="1" eb="2">
      <t>レツ</t>
    </rPh>
    <rPh sb="3" eb="5">
      <t>ケイサン</t>
    </rPh>
    <rPh sb="5" eb="6">
      <t>シキ</t>
    </rPh>
    <phoneticPr fontId="2"/>
  </si>
  <si>
    <t>D列 計算式</t>
    <rPh sb="1" eb="2">
      <t>レツ</t>
    </rPh>
    <rPh sb="3" eb="5">
      <t>ケイサン</t>
    </rPh>
    <rPh sb="5" eb="6">
      <t>シキ</t>
    </rPh>
    <phoneticPr fontId="2"/>
  </si>
  <si>
    <t>Ｆ: 1Yx2Yスワップレート</t>
    <phoneticPr fontId="2"/>
  </si>
  <si>
    <t>=H9</t>
    <phoneticPr fontId="2"/>
  </si>
  <si>
    <t>Ｘ: ATM</t>
    <phoneticPr fontId="2"/>
  </si>
  <si>
    <t>=(A6-A5)/360</t>
    <phoneticPr fontId="2"/>
  </si>
  <si>
    <t>=(A7-A6)/360</t>
    <phoneticPr fontId="1"/>
  </si>
  <si>
    <t>アニュイティ</t>
    <phoneticPr fontId="2"/>
  </si>
  <si>
    <t>=SumProduct
    (F6:F7,H6:H7)</t>
    <phoneticPr fontId="2"/>
  </si>
  <si>
    <t>1Yx2Yスワップ</t>
    <phoneticPr fontId="2"/>
  </si>
  <si>
    <t>=(H5-H7)/H8</t>
    <phoneticPr fontId="2"/>
  </si>
  <si>
    <t>=H14 (閏年の扱いに注意)</t>
    <rPh sb="6" eb="8">
      <t>ウルウドシ</t>
    </rPh>
    <rPh sb="9" eb="10">
      <t>アツカ</t>
    </rPh>
    <rPh sb="12" eb="14">
      <t>チュウイ</t>
    </rPh>
    <phoneticPr fontId="2"/>
  </si>
  <si>
    <t>B11: 年数計算</t>
    <rPh sb="5" eb="7">
      <t>ネンスウ</t>
    </rPh>
    <rPh sb="7" eb="9">
      <t>ケイサン</t>
    </rPh>
    <phoneticPr fontId="1"/>
  </si>
  <si>
    <r>
      <t>D</t>
    </r>
    <r>
      <rPr>
        <sz val="8"/>
        <rFont val="Arial Unicode MS"/>
        <family val="3"/>
        <charset val="128"/>
      </rPr>
      <t>T</t>
    </r>
    <r>
      <rPr>
        <sz val="11"/>
        <rFont val="Arial Unicode MS"/>
        <family val="3"/>
        <charset val="128"/>
      </rPr>
      <t xml:space="preserve"> : アニュイティ</t>
    </r>
    <phoneticPr fontId="3"/>
  </si>
  <si>
    <t>=H8</t>
    <phoneticPr fontId="2"/>
  </si>
  <si>
    <t>=G12/365</t>
    <phoneticPr fontId="2"/>
  </si>
  <si>
    <t>=G13/366</t>
    <phoneticPr fontId="2"/>
  </si>
  <si>
    <t>NPV(額面10milドル)</t>
    <rPh sb="4" eb="6">
      <t>ガクメン</t>
    </rPh>
    <phoneticPr fontId="2"/>
  </si>
  <si>
    <t>=B19*10^7</t>
    <phoneticPr fontId="2"/>
  </si>
  <si>
    <t>VCUB USD&lt;GO&gt;  &gt;&gt; Tenor view 2YR</t>
    <phoneticPr fontId="1"/>
  </si>
  <si>
    <t>TermSOFR Caplet</t>
    <phoneticPr fontId="2"/>
  </si>
  <si>
    <t>満期日 (fixinig日)</t>
    <rPh sb="0" eb="3">
      <t>マンキビ</t>
    </rPh>
    <rPh sb="12" eb="13">
      <t>ビ</t>
    </rPh>
    <phoneticPr fontId="1"/>
  </si>
  <si>
    <t>Ｆ: (atmFWD)</t>
    <phoneticPr fontId="2"/>
  </si>
  <si>
    <t>QLの計算結果(atmFWD列)</t>
    <rPh sb="2" eb="4">
      <t>ケイサン</t>
    </rPh>
    <rPh sb="4" eb="6">
      <t>ケッカ</t>
    </rPh>
    <rPh sb="14" eb="15">
      <t>レツ</t>
    </rPh>
    <phoneticPr fontId="2"/>
  </si>
  <si>
    <t xml:space="preserve">Ｘ: </t>
    <phoneticPr fontId="2"/>
  </si>
  <si>
    <t>利息期間(日数)</t>
    <rPh sb="0" eb="4">
      <t>リソクキカン</t>
    </rPh>
    <rPh sb="5" eb="7">
      <t>ニッスウ</t>
    </rPh>
    <phoneticPr fontId="1"/>
  </si>
  <si>
    <t>QLの計算結果(days列)</t>
    <rPh sb="2" eb="4">
      <t>ケイサン</t>
    </rPh>
    <rPh sb="4" eb="6">
      <t>ケッカ</t>
    </rPh>
    <rPh sb="12" eb="13">
      <t>レツ</t>
    </rPh>
    <phoneticPr fontId="2"/>
  </si>
  <si>
    <t>=B4-B3</t>
    <phoneticPr fontId="2"/>
  </si>
  <si>
    <t>QLの計算結果(letDF列)</t>
    <rPh sb="2" eb="4">
      <t>ケイサン</t>
    </rPh>
    <rPh sb="4" eb="6">
      <t>ケッカ</t>
    </rPh>
    <rPh sb="13" eb="14">
      <t>レツ</t>
    </rPh>
    <phoneticPr fontId="2"/>
  </si>
  <si>
    <t>=B7*B11^0.5 (またはstdDEV列)</t>
    <rPh sb="22" eb="23">
      <t>レツ</t>
    </rPh>
    <phoneticPr fontId="2"/>
  </si>
  <si>
    <t>オプションNPV</t>
    <phoneticPr fontId="2"/>
  </si>
  <si>
    <t>=B12*10^7*B8/360*B18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</si>
</sst>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#,##0.00000;[Red]\-#,##0.00000"/>
    <numFmt numFmtId="177" formatCode="0.0000%"/>
    <numFmt numFmtId="178" formatCode="#,##0.0000"/>
    <numFmt numFmtId="179" formatCode="0.0000"/>
    <numFmt numFmtId="180" formatCode="yyyy\-mm\-dd;@"/>
    <numFmt numFmtId="181" formatCode="yyyy/mm/dd"/>
    <numFmt numFmtId="182" formatCode="0.0000000"/>
    <numFmt numFmtId="183" formatCode="0.000%"/>
    <numFmt numFmtId="184" formatCode="#,##0_ "/>
    <numFmt numFmtId="185" formatCode="&quot;価&quot;&quot;格&quot;\ #,##0.00000;[Red]\-#,##0.00000"/>
    <numFmt numFmtId="186" formatCode="0.00000"/>
    <numFmt numFmtId="187" formatCode="mm/dd/yy;@"/>
    <numFmt numFmtId="188" formatCode="#,##0.0000000;[Red]\-#,##0.0000000"/>
    <numFmt numFmtId="189" formatCode="#,##0.000000;[Red]\-#,##0.000000"/>
    <numFmt numFmtId="190" formatCode="#,##0.0000;[Red]\-#,##0.0000"/>
    <numFmt numFmtId="191" formatCode="0.000000"/>
    <numFmt numFmtId="192" formatCode="#,##0.00_ "/>
  </numFmts>
  <fonts count="17">
    <font>
      <sz val="11"/>
      <color theme="1"/>
      <name val="Arial Unicode MS"/>
      <family val="2"/>
      <charset val="128"/>
    </font>
    <font>
      <sz val="6"/>
      <name val="Arial Unicode MS"/>
      <family val="2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Arial Unicode MS"/>
      <family val="2"/>
      <charset val="128"/>
    </font>
    <font>
      <sz val="11"/>
      <color theme="1"/>
      <name val="游ゴシック"/>
      <family val="2"/>
      <scheme val="minor"/>
    </font>
    <font>
      <sz val="11"/>
      <name val="Arial Unicode MS"/>
      <family val="3"/>
      <charset val="128"/>
    </font>
    <font>
      <sz val="9"/>
      <name val="Arial Unicode MS"/>
      <family val="3"/>
      <charset val="128"/>
    </font>
    <font>
      <b/>
      <sz val="11"/>
      <name val="Arial Unicode MS"/>
      <family val="3"/>
      <charset val="128"/>
    </font>
    <font>
      <sz val="11"/>
      <color theme="1"/>
      <name val="Arial Unicode MS"/>
      <family val="3"/>
      <charset val="128"/>
    </font>
    <font>
      <sz val="11"/>
      <color theme="1"/>
      <name val="游ゴシック"/>
      <family val="2"/>
      <charset val="128"/>
      <scheme val="minor"/>
    </font>
    <font>
      <sz val="8"/>
      <name val="Arial Unicode MS"/>
      <family val="3"/>
      <charset val="128"/>
    </font>
    <font>
      <sz val="6"/>
      <name val="游ゴシック"/>
      <family val="2"/>
      <charset val="128"/>
      <scheme val="minor"/>
    </font>
    <font>
      <sz val="10"/>
      <name val="Arial Unicode MS"/>
      <family val="3"/>
      <charset val="128"/>
    </font>
    <font>
      <sz val="10"/>
      <name val="Arial"/>
      <family val="2"/>
    </font>
    <font>
      <sz val="11"/>
      <color theme="0" tint="-0.499984740745262"/>
      <name val="Arial Unicode MS"/>
      <family val="3"/>
      <charset val="128"/>
    </font>
    <font>
      <sz val="7"/>
      <color rgb="FF000000"/>
      <name val="Consolas"/>
      <family val="3"/>
    </font>
  </fonts>
  <fills count="9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2">
    <xf numFmtId="0" fontId="0" fillId="0" borderId="0">
      <alignment vertical="center"/>
    </xf>
    <xf numFmtId="0" fontId="2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38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5" fillId="0" borderId="0"/>
    <xf numFmtId="0" fontId="10" fillId="0" borderId="0">
      <alignment vertical="center"/>
    </xf>
    <xf numFmtId="0" fontId="5" fillId="0" borderId="0"/>
    <xf numFmtId="9" fontId="10" fillId="0" borderId="0" applyFont="0" applyFill="0" applyBorder="0" applyAlignment="0" applyProtection="0">
      <alignment vertical="center"/>
    </xf>
    <xf numFmtId="0" fontId="14" fillId="0" borderId="0" applyNumberFormat="0"/>
    <xf numFmtId="0" fontId="10" fillId="0" borderId="0">
      <alignment vertical="center"/>
    </xf>
  </cellStyleXfs>
  <cellXfs count="92">
    <xf numFmtId="0" fontId="0" fillId="0" borderId="0" xfId="0">
      <alignment vertical="center"/>
    </xf>
    <xf numFmtId="0" fontId="6" fillId="0" borderId="0" xfId="1" applyFont="1">
      <alignment vertical="center"/>
    </xf>
    <xf numFmtId="0" fontId="6" fillId="0" borderId="0" xfId="1" applyFont="1" applyAlignment="1"/>
    <xf numFmtId="0" fontId="6" fillId="0" borderId="1" xfId="1" applyFont="1" applyBorder="1" applyAlignment="1">
      <alignment horizontal="center"/>
    </xf>
    <xf numFmtId="0" fontId="6" fillId="0" borderId="0" xfId="1" applyFont="1" applyAlignment="1">
      <alignment horizontal="left"/>
    </xf>
    <xf numFmtId="180" fontId="6" fillId="4" borderId="0" xfId="4" quotePrefix="1" applyNumberFormat="1" applyFont="1" applyFill="1" applyAlignment="1">
      <alignment horizontal="right" vertical="center"/>
    </xf>
    <xf numFmtId="176" fontId="6" fillId="3" borderId="0" xfId="2" applyNumberFormat="1" applyFont="1" applyFill="1" applyAlignment="1">
      <alignment vertical="center"/>
    </xf>
    <xf numFmtId="177" fontId="6" fillId="3" borderId="0" xfId="3" applyNumberFormat="1" applyFont="1" applyFill="1" applyAlignment="1">
      <alignment vertical="center"/>
    </xf>
    <xf numFmtId="0" fontId="8" fillId="0" borderId="0" xfId="1" applyFont="1" applyAlignment="1">
      <alignment horizontal="center"/>
    </xf>
    <xf numFmtId="176" fontId="9" fillId="0" borderId="0" xfId="2" applyNumberFormat="1" applyFont="1" applyAlignment="1">
      <alignment vertical="center"/>
    </xf>
    <xf numFmtId="0" fontId="6" fillId="0" borderId="0" xfId="1" quotePrefix="1" applyFont="1">
      <alignment vertical="center"/>
    </xf>
    <xf numFmtId="178" fontId="6" fillId="0" borderId="0" xfId="2" applyNumberFormat="1" applyFont="1" applyAlignment="1"/>
    <xf numFmtId="178" fontId="6" fillId="0" borderId="0" xfId="2" applyNumberFormat="1" applyFont="1" applyAlignment="1">
      <alignment vertical="center"/>
    </xf>
    <xf numFmtId="0" fontId="6" fillId="2" borderId="2" xfId="1" applyFont="1" applyFill="1" applyBorder="1" applyAlignment="1"/>
    <xf numFmtId="0" fontId="6" fillId="4" borderId="0" xfId="1" quotePrefix="1" applyFont="1" applyFill="1" applyAlignment="1">
      <alignment horizontal="center"/>
    </xf>
    <xf numFmtId="0" fontId="11" fillId="0" borderId="0" xfId="1" applyFont="1" applyAlignment="1"/>
    <xf numFmtId="0" fontId="11" fillId="0" borderId="0" xfId="1" quotePrefix="1" applyFont="1" applyAlignment="1"/>
    <xf numFmtId="0" fontId="11" fillId="0" borderId="0" xfId="1" applyFont="1">
      <alignment vertical="center"/>
    </xf>
    <xf numFmtId="0" fontId="11" fillId="0" borderId="0" xfId="1" quotePrefix="1" applyFont="1">
      <alignment vertical="center"/>
    </xf>
    <xf numFmtId="178" fontId="11" fillId="0" borderId="0" xfId="2" quotePrefix="1" applyNumberFormat="1" applyFont="1" applyAlignment="1"/>
    <xf numFmtId="0" fontId="11" fillId="0" borderId="1" xfId="1" applyFont="1" applyBorder="1" applyAlignment="1"/>
    <xf numFmtId="176" fontId="6" fillId="0" borderId="0" xfId="2" applyNumberFormat="1" applyFont="1" applyAlignment="1">
      <alignment vertical="center"/>
    </xf>
    <xf numFmtId="0" fontId="6" fillId="2" borderId="0" xfId="1" applyFont="1" applyFill="1">
      <alignment vertical="center"/>
    </xf>
    <xf numFmtId="0" fontId="9" fillId="0" borderId="0" xfId="8" applyFont="1" applyAlignment="1">
      <alignment horizontal="center"/>
    </xf>
    <xf numFmtId="0" fontId="9" fillId="0" borderId="0" xfId="8" quotePrefix="1" applyFont="1" applyAlignment="1">
      <alignment horizontal="center"/>
    </xf>
    <xf numFmtId="0" fontId="9" fillId="0" borderId="0" xfId="8" applyFont="1"/>
    <xf numFmtId="181" fontId="9" fillId="0" borderId="0" xfId="8" applyNumberFormat="1" applyFont="1"/>
    <xf numFmtId="182" fontId="9" fillId="0" borderId="0" xfId="8" applyNumberFormat="1" applyFont="1"/>
    <xf numFmtId="183" fontId="9" fillId="0" borderId="0" xfId="9" applyNumberFormat="1" applyFont="1" applyAlignment="1"/>
    <xf numFmtId="181" fontId="9" fillId="0" borderId="0" xfId="8" applyNumberFormat="1" applyFont="1" applyAlignment="1">
      <alignment vertical="top"/>
    </xf>
    <xf numFmtId="182" fontId="9" fillId="0" borderId="0" xfId="8" applyNumberFormat="1" applyFont="1" applyAlignment="1">
      <alignment vertical="top"/>
    </xf>
    <xf numFmtId="183" fontId="9" fillId="0" borderId="0" xfId="9" applyNumberFormat="1" applyFont="1" applyAlignment="1">
      <alignment vertical="top"/>
    </xf>
    <xf numFmtId="0" fontId="0" fillId="0" borderId="0" xfId="0" applyAlignment="1"/>
    <xf numFmtId="183" fontId="0" fillId="0" borderId="0" xfId="5" applyNumberFormat="1" applyFont="1">
      <alignment vertical="center"/>
    </xf>
    <xf numFmtId="177" fontId="0" fillId="0" borderId="0" xfId="5" applyNumberFormat="1" applyFont="1">
      <alignment vertical="center"/>
    </xf>
    <xf numFmtId="178" fontId="6" fillId="2" borderId="2" xfId="2" applyNumberFormat="1" applyFont="1" applyFill="1" applyBorder="1" applyAlignment="1"/>
    <xf numFmtId="178" fontId="6" fillId="2" borderId="0" xfId="1" applyNumberFormat="1" applyFont="1" applyFill="1">
      <alignment vertical="center"/>
    </xf>
    <xf numFmtId="0" fontId="7" fillId="0" borderId="0" xfId="1" applyFont="1" applyAlignment="1"/>
    <xf numFmtId="179" fontId="7" fillId="0" borderId="0" xfId="1" applyNumberFormat="1" applyFont="1">
      <alignment vertical="center"/>
    </xf>
    <xf numFmtId="0" fontId="6" fillId="5" borderId="1" xfId="1" applyFont="1" applyFill="1" applyBorder="1" applyAlignment="1">
      <alignment horizontal="left" vertical="center"/>
    </xf>
    <xf numFmtId="0" fontId="6" fillId="0" borderId="0" xfId="1" applyFont="1" applyAlignment="1">
      <alignment horizontal="left" vertical="top" wrapText="1"/>
    </xf>
    <xf numFmtId="184" fontId="6" fillId="6" borderId="0" xfId="4" applyNumberFormat="1" applyFont="1" applyFill="1">
      <alignment vertical="center"/>
    </xf>
    <xf numFmtId="0" fontId="13" fillId="0" borderId="0" xfId="1" quotePrefix="1" applyFont="1">
      <alignment vertical="center"/>
    </xf>
    <xf numFmtId="14" fontId="6" fillId="6" borderId="0" xfId="1" applyNumberFormat="1" applyFont="1" applyFill="1">
      <alignment vertical="center"/>
    </xf>
    <xf numFmtId="177" fontId="6" fillId="6" borderId="0" xfId="5" applyNumberFormat="1" applyFont="1" applyFill="1">
      <alignment vertical="center"/>
    </xf>
    <xf numFmtId="185" fontId="13" fillId="0" borderId="0" xfId="2" applyNumberFormat="1" applyFont="1" applyAlignment="1">
      <alignment horizontal="left" vertical="center"/>
    </xf>
    <xf numFmtId="177" fontId="6" fillId="6" borderId="0" xfId="3" applyNumberFormat="1" applyFont="1" applyFill="1">
      <alignment vertical="center"/>
    </xf>
    <xf numFmtId="176" fontId="6" fillId="0" borderId="0" xfId="2" applyNumberFormat="1" applyFont="1">
      <alignment vertical="center"/>
    </xf>
    <xf numFmtId="186" fontId="6" fillId="0" borderId="0" xfId="1" applyNumberFormat="1" applyFont="1">
      <alignment vertical="center"/>
    </xf>
    <xf numFmtId="0" fontId="6" fillId="0" borderId="1" xfId="1" applyFont="1" applyBorder="1">
      <alignment vertical="center"/>
    </xf>
    <xf numFmtId="177" fontId="6" fillId="0" borderId="1" xfId="5" applyNumberFormat="1" applyFont="1" applyBorder="1">
      <alignment vertical="center"/>
    </xf>
    <xf numFmtId="0" fontId="6" fillId="2" borderId="0" xfId="1" applyFont="1" applyFill="1" applyAlignment="1"/>
    <xf numFmtId="177" fontId="6" fillId="2" borderId="0" xfId="5" applyNumberFormat="1" applyFont="1" applyFill="1">
      <alignment vertical="center"/>
    </xf>
    <xf numFmtId="40" fontId="6" fillId="2" borderId="0" xfId="2" applyNumberFormat="1" applyFont="1" applyFill="1">
      <alignment vertical="center"/>
    </xf>
    <xf numFmtId="10" fontId="6" fillId="2" borderId="0" xfId="3" applyNumberFormat="1" applyFont="1" applyFill="1">
      <alignment vertical="center"/>
    </xf>
    <xf numFmtId="2" fontId="6" fillId="2" borderId="0" xfId="1" applyNumberFormat="1" applyFont="1" applyFill="1">
      <alignment vertical="center"/>
    </xf>
    <xf numFmtId="10" fontId="6" fillId="2" borderId="0" xfId="5" applyNumberFormat="1" applyFont="1" applyFill="1">
      <alignment vertical="center"/>
    </xf>
    <xf numFmtId="0" fontId="6" fillId="0" borderId="1" xfId="1" applyFont="1" applyBorder="1" applyAlignment="1">
      <alignment horizontal="center"/>
    </xf>
    <xf numFmtId="0" fontId="6" fillId="0" borderId="1" xfId="1" applyFont="1" applyBorder="1" applyAlignment="1">
      <alignment horizontal="left" vertical="top" wrapText="1"/>
    </xf>
    <xf numFmtId="0" fontId="7" fillId="5" borderId="1" xfId="1" applyFont="1" applyFill="1" applyBorder="1" applyAlignment="1">
      <alignment horizontal="left" vertical="center"/>
    </xf>
    <xf numFmtId="0" fontId="13" fillId="0" borderId="0" xfId="10" applyFont="1"/>
    <xf numFmtId="0" fontId="11" fillId="0" borderId="0" xfId="10" quotePrefix="1" applyFont="1" applyAlignment="1">
      <alignment horizontal="left"/>
    </xf>
    <xf numFmtId="0" fontId="13" fillId="7" borderId="1" xfId="10" applyFont="1" applyFill="1" applyBorder="1"/>
    <xf numFmtId="0" fontId="6" fillId="7" borderId="1" xfId="1" applyFont="1" applyFill="1" applyBorder="1" applyAlignment="1">
      <alignment vertical="top" wrapText="1"/>
    </xf>
    <xf numFmtId="0" fontId="13" fillId="0" borderId="0" xfId="10" applyFont="1" applyAlignment="1">
      <alignment horizontal="center"/>
    </xf>
    <xf numFmtId="0" fontId="13" fillId="0" borderId="0" xfId="10" applyFont="1" applyAlignment="1">
      <alignment horizontal="left"/>
    </xf>
    <xf numFmtId="0" fontId="11" fillId="0" borderId="1" xfId="10" applyFont="1" applyBorder="1" applyAlignment="1">
      <alignment horizontal="center"/>
    </xf>
    <xf numFmtId="0" fontId="13" fillId="0" borderId="1" xfId="10" applyFont="1" applyBorder="1" applyAlignment="1">
      <alignment horizontal="center"/>
    </xf>
    <xf numFmtId="187" fontId="13" fillId="0" borderId="0" xfId="10" applyNumberFormat="1" applyFont="1" applyAlignment="1">
      <alignment horizontal="center"/>
    </xf>
    <xf numFmtId="0" fontId="11" fillId="0" borderId="0" xfId="10" applyFont="1" applyAlignment="1">
      <alignment horizontal="center"/>
    </xf>
    <xf numFmtId="188" fontId="13" fillId="0" borderId="0" xfId="2" applyNumberFormat="1" applyFont="1" applyFill="1" applyBorder="1" applyAlignment="1">
      <alignment horizontal="center"/>
    </xf>
    <xf numFmtId="0" fontId="11" fillId="0" borderId="0" xfId="10" applyFont="1" applyAlignment="1">
      <alignment horizontal="left"/>
    </xf>
    <xf numFmtId="189" fontId="13" fillId="0" borderId="0" xfId="2" applyNumberFormat="1" applyFont="1" applyAlignment="1">
      <alignment horizontal="center"/>
    </xf>
    <xf numFmtId="188" fontId="13" fillId="0" borderId="0" xfId="2" applyNumberFormat="1" applyFont="1" applyBorder="1" applyAlignment="1">
      <alignment horizontal="center"/>
    </xf>
    <xf numFmtId="0" fontId="13" fillId="0" borderId="0" xfId="10" quotePrefix="1" applyFont="1" applyAlignment="1">
      <alignment horizontal="left"/>
    </xf>
    <xf numFmtId="0" fontId="11" fillId="0" borderId="0" xfId="10" quotePrefix="1" applyFont="1" applyAlignment="1">
      <alignment horizontal="center"/>
    </xf>
    <xf numFmtId="0" fontId="15" fillId="0" borderId="0" xfId="1" applyFont="1" applyAlignment="1">
      <alignment horizontal="left" vertical="center"/>
    </xf>
    <xf numFmtId="0" fontId="13" fillId="0" borderId="2" xfId="10" applyFont="1" applyBorder="1" applyAlignment="1">
      <alignment horizontal="right"/>
    </xf>
    <xf numFmtId="190" fontId="13" fillId="0" borderId="2" xfId="2" applyNumberFormat="1" applyFont="1" applyBorder="1" applyAlignment="1">
      <alignment horizontal="center"/>
    </xf>
    <xf numFmtId="188" fontId="11" fillId="0" borderId="2" xfId="10" quotePrefix="1" applyNumberFormat="1" applyFont="1" applyBorder="1" applyAlignment="1">
      <alignment horizontal="left" wrapText="1"/>
    </xf>
    <xf numFmtId="0" fontId="13" fillId="0" borderId="0" xfId="10" applyFont="1" applyAlignment="1">
      <alignment horizontal="right"/>
    </xf>
    <xf numFmtId="177" fontId="13" fillId="8" borderId="0" xfId="3" applyNumberFormat="1" applyFont="1" applyFill="1" applyBorder="1" applyAlignment="1">
      <alignment horizontal="center"/>
    </xf>
    <xf numFmtId="0" fontId="13" fillId="0" borderId="1" xfId="10" applyFont="1" applyBorder="1"/>
    <xf numFmtId="14" fontId="13" fillId="0" borderId="0" xfId="10" applyNumberFormat="1" applyFont="1" applyAlignment="1">
      <alignment horizontal="center"/>
    </xf>
    <xf numFmtId="14" fontId="13" fillId="0" borderId="1" xfId="10" applyNumberFormat="1" applyFont="1" applyBorder="1" applyAlignment="1">
      <alignment horizontal="center"/>
    </xf>
    <xf numFmtId="186" fontId="13" fillId="8" borderId="0" xfId="10" applyNumberFormat="1" applyFont="1" applyFill="1" applyAlignment="1">
      <alignment horizontal="center"/>
    </xf>
    <xf numFmtId="180" fontId="13" fillId="0" borderId="0" xfId="10" applyNumberFormat="1" applyFont="1" applyAlignment="1">
      <alignment horizontal="center"/>
    </xf>
    <xf numFmtId="191" fontId="16" fillId="0" borderId="0" xfId="0" applyNumberFormat="1" applyFont="1">
      <alignment vertical="center"/>
    </xf>
    <xf numFmtId="191" fontId="13" fillId="0" borderId="0" xfId="10" applyNumberFormat="1" applyFont="1"/>
    <xf numFmtId="0" fontId="9" fillId="0" borderId="0" xfId="11" applyFont="1">
      <alignment vertical="center"/>
    </xf>
    <xf numFmtId="14" fontId="9" fillId="0" borderId="0" xfId="11" applyNumberFormat="1" applyFont="1">
      <alignment vertical="center"/>
    </xf>
    <xf numFmtId="192" fontId="6" fillId="2" borderId="0" xfId="5" applyNumberFormat="1" applyFont="1" applyFill="1">
      <alignment vertical="center"/>
    </xf>
  </cellXfs>
  <cellStyles count="12">
    <cellStyle name="パーセント" xfId="5" builtinId="5"/>
    <cellStyle name="パーセント 2" xfId="3" xr:uid="{7674314B-11C4-41A5-B859-42343F300B86}"/>
    <cellStyle name="パーセント 3" xfId="9" xr:uid="{374877F2-4EB9-4E4C-B8D3-6E0A549D262C}"/>
    <cellStyle name="桁区切り" xfId="4" builtinId="6"/>
    <cellStyle name="桁区切り 2" xfId="2" xr:uid="{BDAE2540-214A-48E3-8A2A-7D2B9D788718}"/>
    <cellStyle name="標準" xfId="0" builtinId="0"/>
    <cellStyle name="標準 2" xfId="1" xr:uid="{53CA2028-0C5A-4D66-A8EA-20DCC6C761D7}"/>
    <cellStyle name="標準 2 2" xfId="8" xr:uid="{415A4CB9-0F7A-4F77-8C5A-30523EBF40F4}"/>
    <cellStyle name="標準 3" xfId="6" xr:uid="{A594CD0A-DA7A-433B-8A91-8FA2014B49BB}"/>
    <cellStyle name="標準 3 2" xfId="11" xr:uid="{2DC221CC-7FE4-4BC4-B65A-89194AC1A243}"/>
    <cellStyle name="標準 4" xfId="7" xr:uid="{4DBDDAA2-0E02-4DF5-9646-54B033516589}"/>
    <cellStyle name="標準_chap04" xfId="10" xr:uid="{6FC8F2BE-3801-4688-A520-09D2D3F96D8A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368300</xdr:colOff>
      <xdr:row>0</xdr:row>
      <xdr:rowOff>190500</xdr:rowOff>
    </xdr:from>
    <xdr:to>
      <xdr:col>10</xdr:col>
      <xdr:colOff>463145</xdr:colOff>
      <xdr:row>28</xdr:row>
      <xdr:rowOff>101600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08D0313-3D46-40C7-8F99-A748B4745BE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0" y="190500"/>
          <a:ext cx="4717645" cy="572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</xdr:colOff>
      <xdr:row>1</xdr:row>
      <xdr:rowOff>0</xdr:rowOff>
    </xdr:from>
    <xdr:to>
      <xdr:col>17</xdr:col>
      <xdr:colOff>319866</xdr:colOff>
      <xdr:row>14</xdr:row>
      <xdr:rowOff>101600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079B58C-4E6A-9102-3017-211EB44099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883651" y="209550"/>
          <a:ext cx="4282265" cy="282575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15</xdr:row>
      <xdr:rowOff>0</xdr:rowOff>
    </xdr:from>
    <xdr:to>
      <xdr:col>17</xdr:col>
      <xdr:colOff>342900</xdr:colOff>
      <xdr:row>28</xdr:row>
      <xdr:rowOff>31750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8EB1616F-6CB8-5D41-943E-656FEC13FC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3650" y="3143250"/>
          <a:ext cx="4305300" cy="27051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0</xdr:row>
      <xdr:rowOff>44450</xdr:rowOff>
    </xdr:from>
    <xdr:to>
      <xdr:col>6</xdr:col>
      <xdr:colOff>203200</xdr:colOff>
      <xdr:row>0</xdr:row>
      <xdr:rowOff>304800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7D4DFC62-B87B-71CC-FF33-AD16420A2E77}"/>
            </a:ext>
          </a:extLst>
        </xdr:cNvPr>
        <xdr:cNvSpPr txBox="1"/>
      </xdr:nvSpPr>
      <xdr:spPr>
        <a:xfrm>
          <a:off x="50800" y="44450"/>
          <a:ext cx="4679950" cy="260350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kumimoji="1" lang="ja-JP" altLang="en-US" sz="1000">
              <a:latin typeface="Arial" panose="020B0604020202020204" pitchFamily="34" charset="0"/>
              <a:cs typeface="Arial" panose="020B0604020202020204" pitchFamily="34" charset="0"/>
            </a:rPr>
            <a:t>計算式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C2=(B2-B3)/B3</a:t>
          </a:r>
          <a:r>
            <a:rPr kumimoji="1" lang="en-US" altLang="ja-JP" sz="1000" baseline="0">
              <a:latin typeface="Arial" panose="020B0604020202020204" pitchFamily="34" charset="0"/>
              <a:cs typeface="Arial" panose="020B0604020202020204" pitchFamily="34" charset="0"/>
            </a:rPr>
            <a:t>   </a:t>
          </a:r>
          <a:r>
            <a:rPr kumimoji="1" lang="en-US" altLang="ja-JP" sz="1000">
              <a:latin typeface="Arial" panose="020B0604020202020204" pitchFamily="34" charset="0"/>
              <a:cs typeface="Arial" panose="020B0604020202020204" pitchFamily="34" charset="0"/>
            </a:rPr>
            <a:t>D2=LN(B2/B3)    E2=STDEV(D2:D5)   F2=E2*250^0.5</a:t>
          </a:r>
          <a:endParaRPr kumimoji="1" lang="ja-JP" altLang="en-US" sz="10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104423</xdr:colOff>
      <xdr:row>1</xdr:row>
      <xdr:rowOff>2117</xdr:rowOff>
    </xdr:from>
    <xdr:to>
      <xdr:col>12</xdr:col>
      <xdr:colOff>17328</xdr:colOff>
      <xdr:row>18</xdr:row>
      <xdr:rowOff>103392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4C370608-47C9-410E-883C-8769922F68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9473" y="173567"/>
          <a:ext cx="5856505" cy="3689025"/>
        </a:xfrm>
        <a:prstGeom prst="rect">
          <a:avLst/>
        </a:prstGeom>
      </xdr:spPr>
    </xdr:pic>
    <xdr:clientData/>
  </xdr:twoCellAnchor>
  <xdr:twoCellAnchor editAs="oneCell">
    <xdr:from>
      <xdr:col>3</xdr:col>
      <xdr:colOff>45861</xdr:colOff>
      <xdr:row>20</xdr:row>
      <xdr:rowOff>21873</xdr:rowOff>
    </xdr:from>
    <xdr:to>
      <xdr:col>11</xdr:col>
      <xdr:colOff>621988</xdr:colOff>
      <xdr:row>38</xdr:row>
      <xdr:rowOff>67111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A9043911-9E12-433B-9711-B6C2BD45A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90911" y="4200173"/>
          <a:ext cx="5859327" cy="3817138"/>
        </a:xfrm>
        <a:prstGeom prst="rect">
          <a:avLst/>
        </a:prstGeom>
      </xdr:spPr>
    </xdr:pic>
    <xdr:clientData/>
  </xdr:twoCellAnchor>
  <xdr:twoCellAnchor editAs="oneCell">
    <xdr:from>
      <xdr:col>12</xdr:col>
      <xdr:colOff>84667</xdr:colOff>
      <xdr:row>0</xdr:row>
      <xdr:rowOff>162278</xdr:rowOff>
    </xdr:from>
    <xdr:to>
      <xdr:col>21</xdr:col>
      <xdr:colOff>394</xdr:colOff>
      <xdr:row>19</xdr:row>
      <xdr:rowOff>70912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1B643E13-39FB-4414-BD98-647D66008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73317" y="162278"/>
          <a:ext cx="5859327" cy="3877384"/>
        </a:xfrm>
        <a:prstGeom prst="rect">
          <a:avLst/>
        </a:prstGeom>
      </xdr:spPr>
    </xdr:pic>
    <xdr:clientData/>
  </xdr:twoCellAnchor>
  <xdr:twoCellAnchor editAs="oneCell">
    <xdr:from>
      <xdr:col>3</xdr:col>
      <xdr:colOff>21167</xdr:colOff>
      <xdr:row>38</xdr:row>
      <xdr:rowOff>155222</xdr:rowOff>
    </xdr:from>
    <xdr:to>
      <xdr:col>11</xdr:col>
      <xdr:colOff>595411</xdr:colOff>
      <xdr:row>59</xdr:row>
      <xdr:rowOff>122766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5A80B066-9D38-42F4-8FFA-3FC36FAE849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66217" y="8105422"/>
          <a:ext cx="5857444" cy="4368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98778</xdr:colOff>
      <xdr:row>20</xdr:row>
      <xdr:rowOff>26811</xdr:rowOff>
    </xdr:from>
    <xdr:to>
      <xdr:col>21</xdr:col>
      <xdr:colOff>11683</xdr:colOff>
      <xdr:row>38</xdr:row>
      <xdr:rowOff>100409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71FB05AC-1934-49E3-9146-16C2728EC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887428" y="4205111"/>
          <a:ext cx="5856505" cy="38454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63499</xdr:colOff>
      <xdr:row>44</xdr:row>
      <xdr:rowOff>55562</xdr:rowOff>
    </xdr:from>
    <xdr:to>
      <xdr:col>21</xdr:col>
      <xdr:colOff>364291</xdr:colOff>
      <xdr:row>59</xdr:row>
      <xdr:rowOff>178985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BB9A854-DA03-4323-8F36-C3A1D0078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48649" y="9237662"/>
          <a:ext cx="6688892" cy="3266673"/>
        </a:xfrm>
        <a:prstGeom prst="rect">
          <a:avLst/>
        </a:prstGeom>
      </xdr:spPr>
    </xdr:pic>
    <xdr:clientData/>
  </xdr:twoCellAnchor>
  <xdr:twoCellAnchor editAs="oneCell">
    <xdr:from>
      <xdr:col>10</xdr:col>
      <xdr:colOff>31749</xdr:colOff>
      <xdr:row>1</xdr:row>
      <xdr:rowOff>79375</xdr:rowOff>
    </xdr:from>
    <xdr:to>
      <xdr:col>21</xdr:col>
      <xdr:colOff>494445</xdr:colOff>
      <xdr:row>18</xdr:row>
      <xdr:rowOff>151940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B7053FE-7C08-47B6-9134-E5626F1AA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16899" y="288925"/>
          <a:ext cx="6850796" cy="3723815"/>
        </a:xfrm>
        <a:prstGeom prst="rect">
          <a:avLst/>
        </a:prstGeom>
      </xdr:spPr>
    </xdr:pic>
    <xdr:clientData/>
  </xdr:twoCellAnchor>
  <xdr:twoCellAnchor editAs="oneCell">
    <xdr:from>
      <xdr:col>10</xdr:col>
      <xdr:colOff>39688</xdr:colOff>
      <xdr:row>19</xdr:row>
      <xdr:rowOff>55562</xdr:rowOff>
    </xdr:from>
    <xdr:to>
      <xdr:col>21</xdr:col>
      <xdr:colOff>511908</xdr:colOff>
      <xdr:row>41</xdr:row>
      <xdr:rowOff>194693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7BB333-6629-4654-842C-0D4D14382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24838" y="4125912"/>
          <a:ext cx="6860320" cy="46222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6350</xdr:colOff>
      <xdr:row>10</xdr:row>
      <xdr:rowOff>196850</xdr:rowOff>
    </xdr:from>
    <xdr:to>
      <xdr:col>25</xdr:col>
      <xdr:colOff>81702</xdr:colOff>
      <xdr:row>29</xdr:row>
      <xdr:rowOff>139209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50311145-250B-4FFD-BB0D-2196A9B27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76050" y="2292350"/>
          <a:ext cx="6780952" cy="3923809"/>
        </a:xfrm>
        <a:prstGeom prst="rect">
          <a:avLst/>
        </a:prstGeom>
      </xdr:spPr>
    </xdr:pic>
    <xdr:clientData/>
  </xdr:twoCellAnchor>
  <xdr:twoCellAnchor editAs="oneCell">
    <xdr:from>
      <xdr:col>3</xdr:col>
      <xdr:colOff>101600</xdr:colOff>
      <xdr:row>0</xdr:row>
      <xdr:rowOff>0</xdr:rowOff>
    </xdr:from>
    <xdr:to>
      <xdr:col>13</xdr:col>
      <xdr:colOff>476250</xdr:colOff>
      <xdr:row>26</xdr:row>
      <xdr:rowOff>171450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4346C0A0-A61A-4BE8-8037-9735857B66B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41850" y="0"/>
          <a:ext cx="6794500" cy="561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0</xdr:row>
      <xdr:rowOff>0</xdr:rowOff>
    </xdr:from>
    <xdr:to>
      <xdr:col>33</xdr:col>
      <xdr:colOff>389028</xdr:colOff>
      <xdr:row>10</xdr:row>
      <xdr:rowOff>75929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D373B2E-F4C0-4EDB-A1B5-1B02DBB92C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569700" y="0"/>
          <a:ext cx="11971428" cy="217142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kaguraoka-old\ISPT&#26908;&#35342;tes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%20Folder/ExcelPC/Chapter1and2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p_siguma (5)"/>
      <sheetName val="cap_siguma (4)"/>
      <sheetName val="大和"/>
      <sheetName val="swaption_siguma"/>
      <sheetName val="USDN"/>
      <sheetName val="swaption"/>
      <sheetName val="cap_siguma＿ｆ) (2)"/>
      <sheetName val="cap_siguma (3)"/>
      <sheetName val="cap_siguma (2)"/>
      <sheetName val="Calc (2)"/>
      <sheetName val="cap_siguma"/>
      <sheetName val="TS"/>
      <sheetName val="USD_old"/>
      <sheetName val="D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pter1and2"/>
    </sheetNames>
    <definedNames>
      <definedName name="PartialBarrier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3A26A-9D6B-4D76-9AEE-434F72B94AE3}">
  <sheetPr codeName="Sheet11"/>
  <dimension ref="A1:C37"/>
  <sheetViews>
    <sheetView workbookViewId="0">
      <selection sqref="A1:B1"/>
    </sheetView>
  </sheetViews>
  <sheetFormatPr defaultRowHeight="16.5"/>
  <cols>
    <col min="1" max="1" width="21" style="1" bestFit="1" customWidth="1"/>
    <col min="2" max="2" width="10.1640625" style="1" bestFit="1" customWidth="1"/>
    <col min="3" max="3" width="16.08203125" style="1" customWidth="1"/>
    <col min="4" max="16384" width="8.6640625" style="1"/>
  </cols>
  <sheetData>
    <row r="1" spans="1:3">
      <c r="A1" s="57" t="s">
        <v>21</v>
      </c>
      <c r="B1" s="57"/>
      <c r="C1" s="20" t="s">
        <v>15</v>
      </c>
    </row>
    <row r="2" spans="1:3">
      <c r="A2" s="4" t="s">
        <v>50</v>
      </c>
      <c r="B2" s="14">
        <v>1</v>
      </c>
      <c r="C2" s="15"/>
    </row>
    <row r="3" spans="1:3">
      <c r="A3" s="1" t="s">
        <v>5</v>
      </c>
      <c r="B3" s="5" t="s">
        <v>10</v>
      </c>
      <c r="C3" s="15"/>
    </row>
    <row r="4" spans="1:3">
      <c r="A4" s="1" t="s">
        <v>6</v>
      </c>
      <c r="B4" s="5" t="s">
        <v>11</v>
      </c>
      <c r="C4" s="15"/>
    </row>
    <row r="5" spans="1:3">
      <c r="A5" s="1" t="s">
        <v>13</v>
      </c>
      <c r="B5" s="6">
        <f>107+6.75/32</f>
        <v>107.2109375</v>
      </c>
      <c r="C5" s="16" t="s">
        <v>18</v>
      </c>
    </row>
    <row r="6" spans="1:3">
      <c r="A6" s="1" t="s">
        <v>0</v>
      </c>
      <c r="B6" s="6">
        <v>107.5</v>
      </c>
      <c r="C6" s="15"/>
    </row>
    <row r="7" spans="1:3">
      <c r="A7" s="1" t="s">
        <v>3</v>
      </c>
      <c r="B7" s="7">
        <v>5.1999999999999998E-2</v>
      </c>
      <c r="C7" s="17"/>
    </row>
    <row r="8" spans="1:3">
      <c r="A8" s="1" t="s">
        <v>1</v>
      </c>
      <c r="B8" s="7">
        <v>0.05</v>
      </c>
      <c r="C8" s="17" t="s">
        <v>2</v>
      </c>
    </row>
    <row r="9" spans="1:3">
      <c r="A9" s="3" t="s">
        <v>8</v>
      </c>
      <c r="B9" s="8"/>
      <c r="C9" s="17"/>
    </row>
    <row r="10" spans="1:3">
      <c r="A10" s="1" t="s">
        <v>7</v>
      </c>
      <c r="B10" s="1">
        <f>B4-B3</f>
        <v>36</v>
      </c>
      <c r="C10" s="18" t="s">
        <v>14</v>
      </c>
    </row>
    <row r="11" spans="1:3">
      <c r="A11" s="1" t="s">
        <v>12</v>
      </c>
      <c r="B11" s="9">
        <f>B10/365</f>
        <v>9.8630136986301367E-2</v>
      </c>
      <c r="C11" s="18" t="s">
        <v>16</v>
      </c>
    </row>
    <row r="12" spans="1:3">
      <c r="A12" s="1" t="s">
        <v>22</v>
      </c>
      <c r="B12" s="21">
        <f>EXP(-B8*B11)</f>
        <v>0.99508063306636318</v>
      </c>
      <c r="C12" s="18" t="s">
        <v>17</v>
      </c>
    </row>
    <row r="13" spans="1:3">
      <c r="A13" s="1" t="s">
        <v>19</v>
      </c>
      <c r="B13" s="21">
        <f>B7*B11^0.5</f>
        <v>1.6330826384814666E-2</v>
      </c>
      <c r="C13" s="18" t="s">
        <v>20</v>
      </c>
    </row>
    <row r="14" spans="1:3">
      <c r="A14" s="3" t="s">
        <v>9</v>
      </c>
      <c r="C14" s="17"/>
    </row>
    <row r="15" spans="1:3">
      <c r="A15" s="2" t="s">
        <v>40</v>
      </c>
      <c r="B15" s="11">
        <f>B2*(LN(B5/B6)/B13+B13/2)</f>
        <v>-0.15671143714292773</v>
      </c>
      <c r="C15" s="19" t="s">
        <v>45</v>
      </c>
    </row>
    <row r="16" spans="1:3">
      <c r="A16" s="1" t="s">
        <v>41</v>
      </c>
      <c r="B16" s="12">
        <f>B2*(LN(B5/B6)/B13-B13/2)</f>
        <v>-0.17304226352774238</v>
      </c>
      <c r="C16" s="19" t="s">
        <v>46</v>
      </c>
    </row>
    <row r="17" spans="1:3">
      <c r="A17" s="1" t="s">
        <v>42</v>
      </c>
      <c r="B17" s="12">
        <f>NORMDIST(B15,0,1,TRUE)</f>
        <v>0.43773613646096438</v>
      </c>
      <c r="C17" s="18" t="s">
        <v>27</v>
      </c>
    </row>
    <row r="18" spans="1:3">
      <c r="A18" s="1" t="s">
        <v>43</v>
      </c>
      <c r="B18" s="12">
        <f>NORMDIST(B16,0,1,TRUE)</f>
        <v>0.4313091035974711</v>
      </c>
      <c r="C18" s="18" t="s">
        <v>28</v>
      </c>
    </row>
    <row r="19" spans="1:3">
      <c r="A19" s="1" t="s">
        <v>44</v>
      </c>
      <c r="B19" s="12">
        <f>NORMDIST(B15,0,1,0)</f>
        <v>0.39407352695007108</v>
      </c>
      <c r="C19" s="18" t="s">
        <v>29</v>
      </c>
    </row>
    <row r="20" spans="1:3">
      <c r="A20" s="1" t="s">
        <v>51</v>
      </c>
      <c r="B20" s="12">
        <f>B2*(B5*B17-B6*B18)</f>
        <v>0.56437293087977736</v>
      </c>
      <c r="C20" s="18" t="s">
        <v>52</v>
      </c>
    </row>
    <row r="21" spans="1:3">
      <c r="A21" s="13" t="s">
        <v>53</v>
      </c>
      <c r="B21" s="35">
        <f>B12*B20</f>
        <v>0.56159657334536772</v>
      </c>
      <c r="C21" s="18" t="s">
        <v>54</v>
      </c>
    </row>
    <row r="22" spans="1:3">
      <c r="A22" s="22" t="s">
        <v>23</v>
      </c>
      <c r="B22" s="36">
        <f>B2*B12*B17</f>
        <v>0.43558275178560035</v>
      </c>
      <c r="C22" s="18" t="s">
        <v>47</v>
      </c>
    </row>
    <row r="23" spans="1:3">
      <c r="A23" s="22" t="s">
        <v>24</v>
      </c>
      <c r="B23" s="36">
        <f>B12*B19/(B5*B13)</f>
        <v>0.22396918989345385</v>
      </c>
      <c r="C23" s="18" t="s">
        <v>30</v>
      </c>
    </row>
    <row r="24" spans="1:3" ht="12.75" customHeight="1">
      <c r="A24" s="22" t="s">
        <v>25</v>
      </c>
      <c r="B24" s="36">
        <f>B12*B5*B11^0.5*B19</f>
        <v>13.203207433567355</v>
      </c>
      <c r="C24" s="18" t="s">
        <v>33</v>
      </c>
    </row>
    <row r="25" spans="1:3">
      <c r="A25" s="22" t="s">
        <v>26</v>
      </c>
      <c r="B25" s="36">
        <f>-B12*SUM(B26:B28)/365</f>
        <v>-9.4587187756874063E-3</v>
      </c>
      <c r="C25" s="18" t="s">
        <v>32</v>
      </c>
    </row>
    <row r="26" spans="1:3">
      <c r="A26" s="37" t="s">
        <v>55</v>
      </c>
      <c r="B26" s="38">
        <f>B5*B19*B7/(2*B11^0.5)</f>
        <v>3.4977187437242105</v>
      </c>
      <c r="C26" s="18" t="s">
        <v>31</v>
      </c>
    </row>
    <row r="27" spans="1:3">
      <c r="A27" s="37" t="s">
        <v>56</v>
      </c>
      <c r="B27" s="38">
        <f>B2*-B8*B5*B17</f>
        <v>-2.3465050783803965</v>
      </c>
      <c r="C27" s="18" t="s">
        <v>48</v>
      </c>
    </row>
    <row r="28" spans="1:3">
      <c r="A28" s="37" t="s">
        <v>57</v>
      </c>
      <c r="B28" s="38">
        <f>B2*B8*B6*B18</f>
        <v>2.3182864318364071</v>
      </c>
      <c r="C28" s="18" t="s">
        <v>49</v>
      </c>
    </row>
    <row r="29" spans="1:3">
      <c r="A29" s="2"/>
      <c r="B29" s="10"/>
      <c r="C29" s="10"/>
    </row>
    <row r="30" spans="1:3">
      <c r="C30" s="10"/>
    </row>
    <row r="37" spans="2:2">
      <c r="B37" s="1" t="s">
        <v>4</v>
      </c>
    </row>
  </sheetData>
  <mergeCells count="1">
    <mergeCell ref="A1:B1"/>
  </mergeCells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53072-EFB5-46CD-ADAE-52474377D275}">
  <sheetPr codeName="Sheet2"/>
  <dimension ref="A1:F141"/>
  <sheetViews>
    <sheetView workbookViewId="0">
      <selection activeCell="A2" sqref="A2"/>
    </sheetView>
  </sheetViews>
  <sheetFormatPr defaultColWidth="9" defaultRowHeight="16.5"/>
  <cols>
    <col min="1" max="1" width="11.58203125" style="25" bestFit="1" customWidth="1"/>
    <col min="2" max="2" width="11.83203125" style="25" bestFit="1" customWidth="1"/>
    <col min="3" max="4" width="9" style="25"/>
    <col min="7" max="16384" width="9" style="25"/>
  </cols>
  <sheetData>
    <row r="1" spans="1:6" ht="42.5" customHeight="1">
      <c r="A1" s="23" t="s">
        <v>36</v>
      </c>
      <c r="B1" s="23" t="s">
        <v>37</v>
      </c>
      <c r="C1" s="24" t="s">
        <v>35</v>
      </c>
      <c r="D1" s="24" t="s">
        <v>34</v>
      </c>
      <c r="E1" s="32" t="s">
        <v>38</v>
      </c>
      <c r="F1" s="32" t="s">
        <v>39</v>
      </c>
    </row>
    <row r="2" spans="1:6">
      <c r="A2" s="26">
        <v>45128</v>
      </c>
      <c r="B2" s="27">
        <v>107.2578125</v>
      </c>
      <c r="C2" s="28">
        <f t="shared" ref="C2:C33" si="0">(B2-B3)/B3</f>
        <v>2.1856331050560979E-4</v>
      </c>
      <c r="D2" s="28">
        <f>LN(B2/B3)</f>
        <v>2.1853942902495685E-4</v>
      </c>
      <c r="E2" s="34">
        <f>STDEV(D2:D5)</f>
        <v>2.8550481329269349E-3</v>
      </c>
      <c r="F2" s="33">
        <f>E2*250^0.5</f>
        <v>4.5142274647301438E-2</v>
      </c>
    </row>
    <row r="3" spans="1:6">
      <c r="A3" s="26">
        <v>45127</v>
      </c>
      <c r="B3" s="27">
        <v>107.234375</v>
      </c>
      <c r="C3" s="28">
        <f t="shared" si="0"/>
        <v>-5.2181475576170457E-3</v>
      </c>
      <c r="D3" s="28">
        <f t="shared" ref="D3:D33" si="1">LN(B3/B4)</f>
        <v>-5.2318096374740523E-3</v>
      </c>
      <c r="E3" s="34">
        <f t="shared" ref="E3:E66" si="2">STDEV(D3:D6)</f>
        <v>3.0078801197599057E-3</v>
      </c>
      <c r="F3" s="33">
        <f t="shared" ref="F3:F66" si="3">E3*250^0.5</f>
        <v>4.7558760535906693E-2</v>
      </c>
    </row>
    <row r="4" spans="1:6">
      <c r="A4" s="26">
        <v>45126</v>
      </c>
      <c r="B4" s="27">
        <v>107.796875</v>
      </c>
      <c r="C4" s="28">
        <f t="shared" si="0"/>
        <v>1.0156703424260012E-3</v>
      </c>
      <c r="D4" s="28">
        <f t="shared" si="1"/>
        <v>1.0151548982884502E-3</v>
      </c>
      <c r="E4" s="34">
        <f t="shared" si="2"/>
        <v>2.4668037839050742E-3</v>
      </c>
      <c r="F4" s="33">
        <f t="shared" si="3"/>
        <v>3.9003592489309208E-2</v>
      </c>
    </row>
    <row r="5" spans="1:6">
      <c r="A5" s="26">
        <v>45125</v>
      </c>
      <c r="B5" s="27">
        <v>107.6875</v>
      </c>
      <c r="C5" s="28">
        <f t="shared" si="0"/>
        <v>0</v>
      </c>
      <c r="D5" s="28">
        <f t="shared" si="1"/>
        <v>0</v>
      </c>
      <c r="E5" s="34">
        <f t="shared" si="2"/>
        <v>3.9927467955654513E-3</v>
      </c>
      <c r="F5" s="33">
        <f t="shared" si="3"/>
        <v>6.3130869971627548E-2</v>
      </c>
    </row>
    <row r="6" spans="1:6">
      <c r="A6" s="29">
        <v>45124</v>
      </c>
      <c r="B6" s="30">
        <v>107.6875</v>
      </c>
      <c r="C6" s="31">
        <f t="shared" si="0"/>
        <v>1.0894037330234584E-3</v>
      </c>
      <c r="D6" s="31">
        <f t="shared" si="1"/>
        <v>1.0888107633930692E-3</v>
      </c>
      <c r="E6" s="34">
        <f t="shared" si="2"/>
        <v>4.9800733446528694E-3</v>
      </c>
      <c r="F6" s="33">
        <f t="shared" si="3"/>
        <v>7.8741873418978953E-2</v>
      </c>
    </row>
    <row r="7" spans="1:6">
      <c r="A7" s="26">
        <v>45121</v>
      </c>
      <c r="B7" s="27">
        <v>107.5703125</v>
      </c>
      <c r="C7" s="28">
        <f t="shared" si="0"/>
        <v>-4.1226674381599883E-3</v>
      </c>
      <c r="D7" s="28">
        <f t="shared" si="1"/>
        <v>-4.1311890608379826E-3</v>
      </c>
      <c r="E7" s="34">
        <f t="shared" si="2"/>
        <v>5.0905138364219001E-3</v>
      </c>
      <c r="F7" s="33">
        <f t="shared" si="3"/>
        <v>8.048809091847503E-2</v>
      </c>
    </row>
    <row r="8" spans="1:6">
      <c r="A8" s="26">
        <v>45120</v>
      </c>
      <c r="B8" s="27">
        <v>108.015625</v>
      </c>
      <c r="C8" s="28">
        <f t="shared" si="0"/>
        <v>5.6004073023492619E-3</v>
      </c>
      <c r="D8" s="28">
        <f t="shared" si="1"/>
        <v>5.5847833279765342E-3</v>
      </c>
      <c r="E8" s="34">
        <f t="shared" si="2"/>
        <v>2.955988462594818E-3</v>
      </c>
      <c r="F8" s="33">
        <f t="shared" si="3"/>
        <v>4.6738281394895331E-2</v>
      </c>
    </row>
    <row r="9" spans="1:6">
      <c r="A9" s="26">
        <v>45119</v>
      </c>
      <c r="B9" s="27">
        <v>107.4140625</v>
      </c>
      <c r="C9" s="28">
        <f t="shared" si="0"/>
        <v>6.8839253020871478E-3</v>
      </c>
      <c r="D9" s="28">
        <f t="shared" si="1"/>
        <v>6.8603392694283642E-3</v>
      </c>
      <c r="E9" s="34">
        <f t="shared" si="2"/>
        <v>2.9454652882575962E-3</v>
      </c>
      <c r="F9" s="33">
        <f t="shared" si="3"/>
        <v>4.657189539929206E-2</v>
      </c>
    </row>
    <row r="10" spans="1:6">
      <c r="A10" s="26">
        <v>45118</v>
      </c>
      <c r="B10" s="27">
        <v>106.6796875</v>
      </c>
      <c r="C10" s="28">
        <f t="shared" si="0"/>
        <v>7.3238611395927937E-5</v>
      </c>
      <c r="D10" s="28">
        <f t="shared" si="1"/>
        <v>7.3235929579806142E-5</v>
      </c>
      <c r="E10" s="34">
        <f t="shared" si="2"/>
        <v>3.3867358655652983E-3</v>
      </c>
      <c r="F10" s="33">
        <f t="shared" si="3"/>
        <v>5.3548995842840813E-2</v>
      </c>
    </row>
    <row r="11" spans="1:6">
      <c r="A11" s="26">
        <v>45117</v>
      </c>
      <c r="B11" s="27">
        <v>106.671875</v>
      </c>
      <c r="C11" s="28">
        <f t="shared" si="0"/>
        <v>3.6753895912966772E-3</v>
      </c>
      <c r="D11" s="28">
        <f t="shared" si="1"/>
        <v>3.6686518511395132E-3</v>
      </c>
      <c r="E11" s="34">
        <f t="shared" si="2"/>
        <v>3.6596687252305822E-3</v>
      </c>
      <c r="F11" s="33">
        <f t="shared" si="3"/>
        <v>5.7864443267067807E-2</v>
      </c>
    </row>
    <row r="12" spans="1:6">
      <c r="A12" s="26">
        <v>45114</v>
      </c>
      <c r="B12" s="27">
        <v>106.28125</v>
      </c>
      <c r="C12" s="28">
        <f t="shared" si="0"/>
        <v>1.5460502098210999E-3</v>
      </c>
      <c r="D12" s="28">
        <f t="shared" si="1"/>
        <v>1.544856304595243E-3</v>
      </c>
      <c r="E12" s="34">
        <f t="shared" si="2"/>
        <v>2.4718974625815987E-3</v>
      </c>
      <c r="F12" s="33">
        <f t="shared" si="3"/>
        <v>3.9084130620743458E-2</v>
      </c>
    </row>
    <row r="13" spans="1:6">
      <c r="A13" s="26">
        <v>45113</v>
      </c>
      <c r="B13" s="27">
        <v>106.1171875</v>
      </c>
      <c r="C13" s="28">
        <f t="shared" si="0"/>
        <v>-4.3248790499926699E-3</v>
      </c>
      <c r="D13" s="28">
        <f t="shared" si="1"/>
        <v>-4.3342583921739059E-3</v>
      </c>
      <c r="E13" s="34">
        <f t="shared" si="2"/>
        <v>1.7762315340219014E-3</v>
      </c>
      <c r="F13" s="33">
        <f t="shared" si="3"/>
        <v>2.8084686496620347E-2</v>
      </c>
    </row>
    <row r="14" spans="1:6">
      <c r="A14" s="26">
        <v>45112</v>
      </c>
      <c r="B14" s="27">
        <v>106.578125</v>
      </c>
      <c r="C14" s="28">
        <f t="shared" si="0"/>
        <v>-2.4861070488446913E-3</v>
      </c>
      <c r="D14" s="28">
        <f t="shared" si="1"/>
        <v>-2.4892025445272378E-3</v>
      </c>
      <c r="E14" s="34">
        <f t="shared" si="2"/>
        <v>2.9167146983642553E-3</v>
      </c>
      <c r="F14" s="33">
        <f t="shared" si="3"/>
        <v>4.6117308658610183E-2</v>
      </c>
    </row>
    <row r="15" spans="1:6">
      <c r="A15" s="26">
        <v>45110</v>
      </c>
      <c r="B15" s="27">
        <v>106.84375</v>
      </c>
      <c r="C15" s="28">
        <f t="shared" si="0"/>
        <v>-2.3344032681645753E-3</v>
      </c>
      <c r="D15" s="28">
        <f t="shared" si="1"/>
        <v>-2.337132235307556E-3</v>
      </c>
      <c r="E15" s="34">
        <f t="shared" si="2"/>
        <v>4.0467381909242541E-3</v>
      </c>
      <c r="F15" s="33">
        <f t="shared" si="3"/>
        <v>6.3984548888549847E-2</v>
      </c>
    </row>
    <row r="16" spans="1:6">
      <c r="A16" s="26">
        <v>45107</v>
      </c>
      <c r="B16" s="27">
        <v>107.09375</v>
      </c>
      <c r="C16" s="28">
        <f t="shared" si="0"/>
        <v>0</v>
      </c>
      <c r="D16" s="28">
        <f t="shared" si="1"/>
        <v>0</v>
      </c>
      <c r="E16" s="34">
        <f t="shared" si="2"/>
        <v>4.0994213661503078E-3</v>
      </c>
      <c r="F16" s="33">
        <f t="shared" si="3"/>
        <v>6.4817543028970276E-2</v>
      </c>
    </row>
    <row r="17" spans="1:6">
      <c r="A17" s="26">
        <v>45106</v>
      </c>
      <c r="B17" s="27">
        <v>107.09375</v>
      </c>
      <c r="C17" s="28">
        <f t="shared" si="0"/>
        <v>-6.9545059403071574E-3</v>
      </c>
      <c r="D17" s="28">
        <f t="shared" si="1"/>
        <v>-6.9788012233945327E-3</v>
      </c>
      <c r="E17" s="34">
        <f t="shared" si="2"/>
        <v>4.3113089859217538E-3</v>
      </c>
      <c r="F17" s="33">
        <f t="shared" si="3"/>
        <v>6.8167780461317759E-2</v>
      </c>
    </row>
    <row r="18" spans="1:6">
      <c r="A18" s="26">
        <v>45105</v>
      </c>
      <c r="B18" s="27">
        <v>107.84375</v>
      </c>
      <c r="C18" s="28">
        <f t="shared" si="0"/>
        <v>2.541942043721403E-3</v>
      </c>
      <c r="D18" s="28">
        <f t="shared" si="1"/>
        <v>2.5387167735216321E-3</v>
      </c>
      <c r="E18" s="34">
        <f t="shared" si="2"/>
        <v>2.5297199392454242E-3</v>
      </c>
      <c r="F18" s="33">
        <f t="shared" si="3"/>
        <v>3.9998384251791572E-2</v>
      </c>
    </row>
    <row r="19" spans="1:6">
      <c r="A19" s="26">
        <v>45104</v>
      </c>
      <c r="B19" s="27">
        <v>107.5703125</v>
      </c>
      <c r="C19" s="28">
        <f t="shared" si="0"/>
        <v>-3.0410542321338066E-3</v>
      </c>
      <c r="D19" s="28">
        <f t="shared" si="1"/>
        <v>-3.0456876335563246E-3</v>
      </c>
      <c r="E19" s="34">
        <f t="shared" si="2"/>
        <v>2.9012665220546205E-3</v>
      </c>
      <c r="F19" s="33">
        <f t="shared" si="3"/>
        <v>4.5873051544438687E-2</v>
      </c>
    </row>
    <row r="20" spans="1:6">
      <c r="A20" s="26">
        <v>45103</v>
      </c>
      <c r="B20" s="27">
        <v>107.8984375</v>
      </c>
      <c r="C20" s="28">
        <f t="shared" si="0"/>
        <v>1.1598405219282349E-3</v>
      </c>
      <c r="D20" s="28">
        <f t="shared" si="1"/>
        <v>1.1591684265421481E-3</v>
      </c>
      <c r="E20" s="34">
        <f t="shared" si="2"/>
        <v>2.5458504844526565E-3</v>
      </c>
      <c r="F20" s="33">
        <f t="shared" si="3"/>
        <v>4.0253430565567405E-2</v>
      </c>
    </row>
    <row r="21" spans="1:6">
      <c r="A21" s="26">
        <v>45100</v>
      </c>
      <c r="B21" s="27">
        <v>107.7734375</v>
      </c>
      <c r="C21" s="28">
        <f t="shared" si="0"/>
        <v>1.9610691458454388E-3</v>
      </c>
      <c r="D21" s="28">
        <f t="shared" si="1"/>
        <v>1.9591487600110467E-3</v>
      </c>
      <c r="E21" s="34">
        <f t="shared" si="2"/>
        <v>2.5968190930831031E-3</v>
      </c>
      <c r="F21" s="33">
        <f t="shared" si="3"/>
        <v>4.1059315027777037E-2</v>
      </c>
    </row>
    <row r="22" spans="1:6">
      <c r="A22" s="26">
        <v>45099</v>
      </c>
      <c r="B22" s="27">
        <v>107.5625</v>
      </c>
      <c r="C22" s="28">
        <f t="shared" si="0"/>
        <v>-3.7626628075253256E-3</v>
      </c>
      <c r="D22" s="28">
        <f t="shared" si="1"/>
        <v>-3.7697594302855699E-3</v>
      </c>
      <c r="E22" s="34">
        <f t="shared" si="2"/>
        <v>2.5646025113550859E-3</v>
      </c>
      <c r="F22" s="33">
        <f t="shared" si="3"/>
        <v>4.0549926144349553E-2</v>
      </c>
    </row>
    <row r="23" spans="1:6">
      <c r="A23" s="26">
        <v>45098</v>
      </c>
      <c r="B23" s="27">
        <v>107.96875</v>
      </c>
      <c r="C23" s="28">
        <f t="shared" si="0"/>
        <v>2.8951939779965256E-4</v>
      </c>
      <c r="D23" s="28">
        <f t="shared" si="1"/>
        <v>2.8947749514635014E-4</v>
      </c>
      <c r="E23" s="34">
        <f t="shared" si="2"/>
        <v>2.7651128019401602E-3</v>
      </c>
      <c r="F23" s="33">
        <f t="shared" si="3"/>
        <v>4.3720272207104803E-2</v>
      </c>
    </row>
    <row r="24" spans="1:6">
      <c r="A24" s="26">
        <v>45097</v>
      </c>
      <c r="B24" s="27">
        <v>107.9375</v>
      </c>
      <c r="C24" s="28">
        <f t="shared" si="0"/>
        <v>1.4496955639315744E-3</v>
      </c>
      <c r="D24" s="28">
        <f t="shared" si="1"/>
        <v>1.4486457697830265E-3</v>
      </c>
      <c r="E24" s="34">
        <f t="shared" si="2"/>
        <v>2.7695257601944617E-3</v>
      </c>
      <c r="F24" s="33">
        <f t="shared" si="3"/>
        <v>4.3790047203618974E-2</v>
      </c>
    </row>
    <row r="25" spans="1:6">
      <c r="A25" s="26">
        <v>45093</v>
      </c>
      <c r="B25" s="27">
        <v>107.78125</v>
      </c>
      <c r="C25" s="28">
        <f t="shared" si="0"/>
        <v>-3.1791907514450869E-3</v>
      </c>
      <c r="D25" s="28">
        <f t="shared" si="1"/>
        <v>-3.1842551149290736E-3</v>
      </c>
      <c r="E25" s="34">
        <f t="shared" si="2"/>
        <v>3.5877612377111763E-3</v>
      </c>
      <c r="F25" s="33">
        <f t="shared" si="3"/>
        <v>5.6727486060160537E-2</v>
      </c>
    </row>
    <row r="26" spans="1:6">
      <c r="A26" s="26">
        <v>45092</v>
      </c>
      <c r="B26" s="27">
        <v>108.125</v>
      </c>
      <c r="C26" s="28">
        <f t="shared" si="0"/>
        <v>3.4075255564416733E-3</v>
      </c>
      <c r="D26" s="28">
        <f t="shared" si="1"/>
        <v>3.4017330961406524E-3</v>
      </c>
      <c r="E26" s="34">
        <f t="shared" si="2"/>
        <v>3.3143646284363331E-3</v>
      </c>
      <c r="F26" s="33">
        <f t="shared" si="3"/>
        <v>5.2404706110782434E-2</v>
      </c>
    </row>
    <row r="27" spans="1:6">
      <c r="A27" s="26">
        <v>45091</v>
      </c>
      <c r="B27" s="27">
        <v>107.7578125</v>
      </c>
      <c r="C27" s="28">
        <f t="shared" si="0"/>
        <v>1.4502211587267058E-4</v>
      </c>
      <c r="D27" s="28">
        <f t="shared" si="1"/>
        <v>1.450116011822672E-4</v>
      </c>
      <c r="E27" s="34">
        <f t="shared" si="2"/>
        <v>2.4145218573290881E-3</v>
      </c>
      <c r="F27" s="33">
        <f t="shared" si="3"/>
        <v>3.8176942647100191E-2</v>
      </c>
    </row>
    <row r="28" spans="1:6">
      <c r="A28" s="26">
        <v>45090</v>
      </c>
      <c r="B28" s="27">
        <v>107.7421875</v>
      </c>
      <c r="C28" s="28">
        <f t="shared" si="0"/>
        <v>-4.619271021291952E-3</v>
      </c>
      <c r="D28" s="28">
        <f t="shared" si="1"/>
        <v>-4.6299728227411569E-3</v>
      </c>
      <c r="E28" s="34">
        <f t="shared" si="2"/>
        <v>3.182704715131665E-3</v>
      </c>
      <c r="F28" s="33">
        <f t="shared" si="3"/>
        <v>5.0322980097867148E-2</v>
      </c>
    </row>
    <row r="29" spans="1:6">
      <c r="A29" s="26">
        <v>45089</v>
      </c>
      <c r="B29" s="27">
        <v>108.2421875</v>
      </c>
      <c r="C29" s="28">
        <f t="shared" si="0"/>
        <v>2.8878781315428489E-4</v>
      </c>
      <c r="D29" s="28">
        <f t="shared" si="1"/>
        <v>2.8874612198022983E-4</v>
      </c>
      <c r="E29" s="34">
        <f t="shared" si="2"/>
        <v>2.5371564814389578E-3</v>
      </c>
      <c r="F29" s="33">
        <f t="shared" si="3"/>
        <v>4.0115966308029126E-2</v>
      </c>
    </row>
    <row r="30" spans="1:6">
      <c r="A30" s="26">
        <v>45086</v>
      </c>
      <c r="B30" s="27">
        <v>108.2109375</v>
      </c>
      <c r="C30" s="28">
        <f t="shared" si="0"/>
        <v>-2.9513389000863808E-3</v>
      </c>
      <c r="D30" s="28">
        <f t="shared" si="1"/>
        <v>-2.9557026888660139E-3</v>
      </c>
      <c r="E30" s="34">
        <f t="shared" si="2"/>
        <v>2.4550746730860264E-3</v>
      </c>
      <c r="F30" s="33">
        <f t="shared" si="3"/>
        <v>3.8818138963725643E-2</v>
      </c>
    </row>
    <row r="31" spans="1:6">
      <c r="A31" s="26">
        <v>45085</v>
      </c>
      <c r="B31" s="27">
        <v>108.53125</v>
      </c>
      <c r="C31" s="28">
        <f t="shared" si="0"/>
        <v>2.4534564872275943E-3</v>
      </c>
      <c r="D31" s="28">
        <f t="shared" si="1"/>
        <v>2.4504516766380709E-3</v>
      </c>
      <c r="E31" s="34">
        <f t="shared" si="2"/>
        <v>2.1496200965707164E-3</v>
      </c>
      <c r="F31" s="33">
        <f t="shared" si="3"/>
        <v>3.3988478046172853E-2</v>
      </c>
    </row>
    <row r="32" spans="1:6">
      <c r="A32" s="26">
        <v>45084</v>
      </c>
      <c r="B32" s="27">
        <v>108.265625</v>
      </c>
      <c r="C32" s="28">
        <f t="shared" si="0"/>
        <v>-2.5192543007269848E-3</v>
      </c>
      <c r="D32" s="28">
        <f t="shared" si="1"/>
        <v>-2.5224329615350523E-3</v>
      </c>
      <c r="E32" s="34">
        <f t="shared" si="2"/>
        <v>2.7724567061010617E-3</v>
      </c>
      <c r="F32" s="33">
        <f t="shared" si="3"/>
        <v>4.3836389527436986E-2</v>
      </c>
    </row>
    <row r="33" spans="1:6">
      <c r="A33" s="26">
        <v>45083</v>
      </c>
      <c r="B33" s="27">
        <v>108.5390625</v>
      </c>
      <c r="C33" s="28">
        <f t="shared" si="0"/>
        <v>-1.2221423436376707E-3</v>
      </c>
      <c r="D33" s="28">
        <f t="shared" si="1"/>
        <v>-1.2228897686269806E-3</v>
      </c>
      <c r="E33" s="34">
        <f t="shared" si="2"/>
        <v>3.4844298310770161E-3</v>
      </c>
      <c r="F33" s="33">
        <f t="shared" si="3"/>
        <v>5.5093673066195635E-2</v>
      </c>
    </row>
    <row r="34" spans="1:6">
      <c r="A34" s="26">
        <v>45082</v>
      </c>
      <c r="B34" s="27">
        <v>108.671875</v>
      </c>
      <c r="C34" s="28">
        <f t="shared" ref="C34:C65" si="4">(B34-B35)/B35</f>
        <v>4.3153049482163404E-4</v>
      </c>
      <c r="D34" s="28">
        <f t="shared" ref="D34:D65" si="5">LN(B34/B35)</f>
        <v>4.3143741231538031E-4</v>
      </c>
      <c r="E34" s="34">
        <f t="shared" si="2"/>
        <v>4.1208634273562613E-3</v>
      </c>
      <c r="F34" s="33">
        <f t="shared" si="3"/>
        <v>6.5156571784668035E-2</v>
      </c>
    </row>
    <row r="35" spans="1:6">
      <c r="A35" s="26">
        <v>45079</v>
      </c>
      <c r="B35" s="27">
        <v>108.625</v>
      </c>
      <c r="C35" s="28">
        <f t="shared" si="4"/>
        <v>-6.0762027307169923E-3</v>
      </c>
      <c r="D35" s="28">
        <f t="shared" si="5"/>
        <v>-6.094737971257245E-3</v>
      </c>
      <c r="E35" s="34">
        <f t="shared" si="2"/>
        <v>4.9254077165085007E-3</v>
      </c>
      <c r="F35" s="33">
        <f t="shared" si="3"/>
        <v>7.7877533945678909E-2</v>
      </c>
    </row>
    <row r="36" spans="1:6">
      <c r="A36" s="26">
        <v>45078</v>
      </c>
      <c r="B36" s="27">
        <v>109.2890625</v>
      </c>
      <c r="C36" s="28">
        <f t="shared" si="4"/>
        <v>1.9338203695745595E-3</v>
      </c>
      <c r="D36" s="28">
        <f t="shared" si="5"/>
        <v>1.9319529460837157E-3</v>
      </c>
      <c r="E36" s="34">
        <f t="shared" si="2"/>
        <v>3.2067307365095834E-3</v>
      </c>
      <c r="F36" s="33">
        <f t="shared" si="3"/>
        <v>5.0702864851197745E-2</v>
      </c>
    </row>
    <row r="37" spans="1:6">
      <c r="A37" s="26">
        <v>45077</v>
      </c>
      <c r="B37" s="27">
        <v>109.078125</v>
      </c>
      <c r="C37" s="28">
        <f t="shared" si="4"/>
        <v>3.1613737605977869E-3</v>
      </c>
      <c r="D37" s="28">
        <f t="shared" si="5"/>
        <v>3.1563871255513589E-3</v>
      </c>
      <c r="E37" s="34">
        <f t="shared" si="2"/>
        <v>5.2567044535086491E-3</v>
      </c>
      <c r="F37" s="33">
        <f t="shared" si="3"/>
        <v>8.3115795297190154E-2</v>
      </c>
    </row>
    <row r="38" spans="1:6">
      <c r="A38" s="26">
        <v>45076</v>
      </c>
      <c r="B38" s="27">
        <v>108.734375</v>
      </c>
      <c r="C38" s="28">
        <f t="shared" si="4"/>
        <v>5.1274644327291112E-3</v>
      </c>
      <c r="D38" s="28">
        <f t="shared" si="5"/>
        <v>5.1143637500813723E-3</v>
      </c>
      <c r="E38" s="34">
        <f t="shared" si="2"/>
        <v>4.7743727390101801E-3</v>
      </c>
      <c r="F38" s="33">
        <f t="shared" si="3"/>
        <v>7.5489461269444044E-2</v>
      </c>
    </row>
    <row r="39" spans="1:6">
      <c r="A39" s="26">
        <v>45072</v>
      </c>
      <c r="B39" s="27">
        <v>108.1796875</v>
      </c>
      <c r="C39" s="28">
        <f t="shared" si="4"/>
        <v>-2.4493912542324042E-3</v>
      </c>
      <c r="D39" s="28">
        <f t="shared" si="5"/>
        <v>-2.452395920395335E-3</v>
      </c>
      <c r="E39" s="34">
        <f t="shared" si="2"/>
        <v>2.968163877274989E-3</v>
      </c>
      <c r="F39" s="33">
        <f t="shared" si="3"/>
        <v>4.6930791604127282E-2</v>
      </c>
    </row>
    <row r="40" spans="1:6">
      <c r="A40" s="26">
        <v>45071</v>
      </c>
      <c r="B40" s="27">
        <v>108.4453125</v>
      </c>
      <c r="C40" s="28">
        <f t="shared" si="4"/>
        <v>-6.3707945597709379E-3</v>
      </c>
      <c r="D40" s="28">
        <f t="shared" si="5"/>
        <v>-6.3911746758982457E-3</v>
      </c>
      <c r="E40" s="34">
        <f t="shared" si="2"/>
        <v>3.0972488570660101E-3</v>
      </c>
      <c r="F40" s="33">
        <f t="shared" si="3"/>
        <v>4.8971804343409447E-2</v>
      </c>
    </row>
    <row r="41" spans="1:6">
      <c r="A41" s="26">
        <v>45070</v>
      </c>
      <c r="B41" s="27">
        <v>109.140625</v>
      </c>
      <c r="C41" s="28">
        <f t="shared" si="4"/>
        <v>-1.2868172719473834E-3</v>
      </c>
      <c r="D41" s="28">
        <f t="shared" si="5"/>
        <v>-1.2876459322589257E-3</v>
      </c>
      <c r="E41" s="34">
        <f t="shared" si="2"/>
        <v>1.287691902445532E-3</v>
      </c>
      <c r="F41" s="33">
        <f t="shared" si="3"/>
        <v>2.0360196681416129E-2</v>
      </c>
    </row>
    <row r="42" spans="1:6">
      <c r="A42" s="26">
        <v>45069</v>
      </c>
      <c r="B42" s="27">
        <v>109.28125</v>
      </c>
      <c r="C42" s="28">
        <f t="shared" si="4"/>
        <v>6.4382287717290219E-4</v>
      </c>
      <c r="D42" s="28">
        <f t="shared" si="5"/>
        <v>6.4361571213783302E-4</v>
      </c>
      <c r="E42" s="34">
        <f t="shared" si="2"/>
        <v>2.3277742218213542E-3</v>
      </c>
      <c r="F42" s="33">
        <f t="shared" si="3"/>
        <v>3.6805342097907506E-2</v>
      </c>
    </row>
    <row r="43" spans="1:6">
      <c r="A43" s="26">
        <v>45068</v>
      </c>
      <c r="B43" s="27">
        <v>109.2109375</v>
      </c>
      <c r="C43" s="28">
        <f t="shared" si="4"/>
        <v>-5.7195967684278259E-4</v>
      </c>
      <c r="D43" s="28">
        <f t="shared" si="5"/>
        <v>-5.7212330817538388E-4</v>
      </c>
      <c r="E43" s="34">
        <f t="shared" si="2"/>
        <v>1.6989581826777672E-3</v>
      </c>
      <c r="F43" s="33">
        <f t="shared" si="3"/>
        <v>2.6862887533210859E-2</v>
      </c>
    </row>
    <row r="44" spans="1:6">
      <c r="A44" s="26">
        <v>45065</v>
      </c>
      <c r="B44" s="27">
        <v>109.2734375</v>
      </c>
      <c r="C44" s="28">
        <f t="shared" si="4"/>
        <v>-2.4249340275301332E-3</v>
      </c>
      <c r="D44" s="28">
        <f t="shared" si="5"/>
        <v>-2.4278789418275756E-3</v>
      </c>
      <c r="E44" s="34">
        <f t="shared" si="2"/>
        <v>1.1129676745902483E-3</v>
      </c>
      <c r="F44" s="33">
        <f t="shared" si="3"/>
        <v>1.7597564069231464E-2</v>
      </c>
    </row>
    <row r="45" spans="1:6">
      <c r="A45" s="26">
        <v>45064</v>
      </c>
      <c r="B45" s="27">
        <v>109.5390625</v>
      </c>
      <c r="C45" s="28">
        <f t="shared" si="4"/>
        <v>-4.6851707247817136E-3</v>
      </c>
      <c r="D45" s="28">
        <f t="shared" si="5"/>
        <v>-4.6961805391752716E-3</v>
      </c>
      <c r="E45" s="34">
        <f t="shared" si="2"/>
        <v>1.7401516059234725E-3</v>
      </c>
      <c r="F45" s="33">
        <f t="shared" si="3"/>
        <v>2.7514212743589631E-2</v>
      </c>
    </row>
    <row r="46" spans="1:6">
      <c r="A46" s="26">
        <v>45063</v>
      </c>
      <c r="B46" s="27">
        <v>110.0546875</v>
      </c>
      <c r="C46" s="28">
        <f t="shared" si="4"/>
        <v>-2.9726095265057684E-3</v>
      </c>
      <c r="D46" s="28">
        <f t="shared" si="5"/>
        <v>-2.9770365055009984E-3</v>
      </c>
      <c r="E46" s="34">
        <f t="shared" si="2"/>
        <v>1.4327232994106433E-3</v>
      </c>
      <c r="F46" s="33">
        <f t="shared" si="3"/>
        <v>2.2653344414645046E-2</v>
      </c>
    </row>
    <row r="47" spans="1:6">
      <c r="A47" s="26">
        <v>45062</v>
      </c>
      <c r="B47" s="27">
        <v>110.3828125</v>
      </c>
      <c r="C47" s="28">
        <f t="shared" si="4"/>
        <v>-2.2597274203799166E-3</v>
      </c>
      <c r="D47" s="28">
        <f t="shared" si="5"/>
        <v>-2.2622844572509795E-3</v>
      </c>
      <c r="E47" s="34">
        <f t="shared" si="2"/>
        <v>1.8131368912429713E-3</v>
      </c>
      <c r="F47" s="33">
        <f t="shared" si="3"/>
        <v>2.866821143002396E-2</v>
      </c>
    </row>
    <row r="48" spans="1:6">
      <c r="A48" s="26">
        <v>45061</v>
      </c>
      <c r="B48" s="27">
        <v>110.6328125</v>
      </c>
      <c r="C48" s="28">
        <f t="shared" si="4"/>
        <v>-4.9407114624505926E-4</v>
      </c>
      <c r="D48" s="28">
        <f t="shared" si="5"/>
        <v>-4.9419323961075016E-4</v>
      </c>
      <c r="E48" s="34">
        <f t="shared" si="2"/>
        <v>3.7215969275863764E-3</v>
      </c>
      <c r="F48" s="33">
        <f t="shared" si="3"/>
        <v>5.8843614121288378E-2</v>
      </c>
    </row>
    <row r="49" spans="1:6">
      <c r="A49" s="26">
        <v>45058</v>
      </c>
      <c r="B49" s="27">
        <v>110.6875</v>
      </c>
      <c r="C49" s="28">
        <f t="shared" si="4"/>
        <v>-3.8669760247486465E-3</v>
      </c>
      <c r="D49" s="28">
        <f t="shared" si="5"/>
        <v>-3.8744721075585223E-3</v>
      </c>
      <c r="E49" s="34">
        <f t="shared" si="2"/>
        <v>3.6938580120202788E-3</v>
      </c>
      <c r="F49" s="33">
        <f t="shared" si="3"/>
        <v>5.840502335622854E-2</v>
      </c>
    </row>
    <row r="50" spans="1:6">
      <c r="A50" s="26">
        <v>45057</v>
      </c>
      <c r="B50" s="27">
        <v>111.1171875</v>
      </c>
      <c r="C50" s="28">
        <f t="shared" si="4"/>
        <v>1.4063708599957808E-4</v>
      </c>
      <c r="D50" s="28">
        <f t="shared" si="5"/>
        <v>1.4062719753167328E-4</v>
      </c>
      <c r="E50" s="34">
        <f t="shared" si="2"/>
        <v>3.5888808819606942E-3</v>
      </c>
      <c r="F50" s="33">
        <f t="shared" si="3"/>
        <v>5.6745189190148468E-2</v>
      </c>
    </row>
    <row r="51" spans="1:6">
      <c r="A51" s="26">
        <v>45056</v>
      </c>
      <c r="B51" s="27">
        <v>111.1015625</v>
      </c>
      <c r="C51" s="28">
        <f t="shared" si="4"/>
        <v>5.1597398925643202E-3</v>
      </c>
      <c r="D51" s="28">
        <f t="shared" si="5"/>
        <v>5.1464740473249962E-3</v>
      </c>
      <c r="E51" s="34">
        <f t="shared" si="2"/>
        <v>4.9434411874293305E-3</v>
      </c>
      <c r="F51" s="33">
        <f t="shared" si="3"/>
        <v>7.8162668156820089E-2</v>
      </c>
    </row>
    <row r="52" spans="1:6">
      <c r="A52" s="26">
        <v>45055</v>
      </c>
      <c r="B52" s="27">
        <v>110.53125</v>
      </c>
      <c r="C52" s="28">
        <f t="shared" si="4"/>
        <v>1.4138272303124559E-4</v>
      </c>
      <c r="D52" s="28">
        <f t="shared" si="5"/>
        <v>1.4137272943596453E-4</v>
      </c>
      <c r="E52" s="34">
        <f t="shared" si="2"/>
        <v>5.3573175875223557E-3</v>
      </c>
      <c r="F52" s="33">
        <f t="shared" si="3"/>
        <v>8.4706628627245512E-2</v>
      </c>
    </row>
    <row r="53" spans="1:6">
      <c r="A53" s="26">
        <v>45054</v>
      </c>
      <c r="B53" s="27">
        <v>110.515625</v>
      </c>
      <c r="C53" s="28">
        <f t="shared" si="4"/>
        <v>-3.592308234133972E-3</v>
      </c>
      <c r="D53" s="28">
        <f t="shared" si="5"/>
        <v>-3.5987760676386735E-3</v>
      </c>
      <c r="E53" s="34">
        <f t="shared" si="2"/>
        <v>5.6159478596685963E-3</v>
      </c>
      <c r="F53" s="33">
        <f t="shared" si="3"/>
        <v>8.8795932286502136E-2</v>
      </c>
    </row>
    <row r="54" spans="1:6">
      <c r="A54" s="26">
        <v>45051</v>
      </c>
      <c r="B54" s="27">
        <v>110.9140625</v>
      </c>
      <c r="C54" s="28">
        <f t="shared" si="4"/>
        <v>-6.2298754024919505E-3</v>
      </c>
      <c r="D54" s="28">
        <f t="shared" si="5"/>
        <v>-6.2493620513438481E-3</v>
      </c>
      <c r="E54" s="34">
        <f t="shared" si="2"/>
        <v>5.9959333485266973E-3</v>
      </c>
      <c r="F54" s="33">
        <f t="shared" si="3"/>
        <v>9.4804030399522801E-2</v>
      </c>
    </row>
    <row r="55" spans="1:6">
      <c r="A55" s="26">
        <v>45050</v>
      </c>
      <c r="B55" s="27">
        <v>111.609375</v>
      </c>
      <c r="C55" s="28">
        <f t="shared" si="4"/>
        <v>6.1271920557785763E-3</v>
      </c>
      <c r="D55" s="28">
        <f t="shared" si="5"/>
        <v>6.1084971405601374E-3</v>
      </c>
      <c r="E55" s="34">
        <f t="shared" si="2"/>
        <v>4.8669132689102487E-3</v>
      </c>
      <c r="F55" s="33">
        <f t="shared" si="3"/>
        <v>7.6952655521259697E-2</v>
      </c>
    </row>
    <row r="56" spans="1:6">
      <c r="A56" s="26">
        <v>45049</v>
      </c>
      <c r="B56" s="27">
        <v>110.9296875</v>
      </c>
      <c r="C56" s="28">
        <f t="shared" si="4"/>
        <v>2.4002823861630782E-3</v>
      </c>
      <c r="D56" s="28">
        <f t="shared" si="5"/>
        <v>2.397406309740749E-3</v>
      </c>
      <c r="E56" s="34">
        <f t="shared" si="2"/>
        <v>4.3781164026091886E-3</v>
      </c>
      <c r="F56" s="33">
        <f t="shared" si="3"/>
        <v>6.9224098467938935E-2</v>
      </c>
    </row>
    <row r="57" spans="1:6">
      <c r="A57" s="26">
        <v>45048</v>
      </c>
      <c r="B57" s="27">
        <v>110.6640625</v>
      </c>
      <c r="C57" s="28">
        <f t="shared" si="4"/>
        <v>6.8235126874689033E-3</v>
      </c>
      <c r="D57" s="28">
        <f t="shared" si="5"/>
        <v>6.8003378874037356E-3</v>
      </c>
      <c r="E57" s="34">
        <f t="shared" si="2"/>
        <v>5.7360681239944219E-3</v>
      </c>
      <c r="F57" s="33">
        <f t="shared" si="3"/>
        <v>9.0695200428557526E-2</v>
      </c>
    </row>
    <row r="58" spans="1:6">
      <c r="A58" s="26">
        <v>45047</v>
      </c>
      <c r="B58" s="27">
        <v>109.9140625</v>
      </c>
      <c r="C58" s="28">
        <f t="shared" si="4"/>
        <v>-3.8235502372017277E-3</v>
      </c>
      <c r="D58" s="28">
        <f t="shared" si="5"/>
        <v>-3.8308786918505675E-3</v>
      </c>
      <c r="E58" s="34">
        <f t="shared" si="2"/>
        <v>3.5264534580308855E-3</v>
      </c>
      <c r="F58" s="33">
        <f t="shared" si="3"/>
        <v>5.5758124949772989E-2</v>
      </c>
    </row>
    <row r="59" spans="1:6">
      <c r="A59" s="26">
        <v>45044</v>
      </c>
      <c r="B59" s="27">
        <v>110.3359375</v>
      </c>
      <c r="C59" s="28">
        <f t="shared" si="4"/>
        <v>2.5555476680627527E-3</v>
      </c>
      <c r="D59" s="28">
        <f t="shared" si="5"/>
        <v>2.5522878087569797E-3</v>
      </c>
      <c r="E59" s="34">
        <f t="shared" si="2"/>
        <v>5.3633003629762069E-3</v>
      </c>
      <c r="F59" s="33">
        <f t="shared" si="3"/>
        <v>8.4801224613063095E-2</v>
      </c>
    </row>
    <row r="60" spans="1:6">
      <c r="A60" s="26">
        <v>45043</v>
      </c>
      <c r="B60" s="27">
        <v>110.0546875</v>
      </c>
      <c r="C60" s="28">
        <f t="shared" si="4"/>
        <v>-5.5767330227304811E-3</v>
      </c>
      <c r="D60" s="28">
        <f t="shared" si="5"/>
        <v>-5.5923410532610178E-3</v>
      </c>
      <c r="E60" s="34">
        <f t="shared" si="2"/>
        <v>5.3556104968189256E-3</v>
      </c>
      <c r="F60" s="33">
        <f t="shared" si="3"/>
        <v>8.4679637153268816E-2</v>
      </c>
    </row>
    <row r="61" spans="1:6">
      <c r="A61" s="26">
        <v>45042</v>
      </c>
      <c r="B61" s="27">
        <v>110.671875</v>
      </c>
      <c r="C61" s="28">
        <f t="shared" si="4"/>
        <v>-1.4098406880022557E-3</v>
      </c>
      <c r="D61" s="28">
        <f t="shared" si="5"/>
        <v>-1.4108354484640914E-3</v>
      </c>
      <c r="E61" s="34">
        <f t="shared" si="2"/>
        <v>3.8205725548799024E-3</v>
      </c>
      <c r="F61" s="33">
        <f t="shared" si="3"/>
        <v>6.0408556196745719E-2</v>
      </c>
    </row>
    <row r="62" spans="1:6">
      <c r="A62" s="26">
        <v>45041</v>
      </c>
      <c r="B62" s="27">
        <v>110.828125</v>
      </c>
      <c r="C62" s="28">
        <f t="shared" si="4"/>
        <v>6.9562748438387282E-3</v>
      </c>
      <c r="D62" s="28">
        <f t="shared" si="5"/>
        <v>6.9321915859900255E-3</v>
      </c>
      <c r="E62" s="34">
        <f t="shared" si="2"/>
        <v>3.1840220479637327E-3</v>
      </c>
      <c r="F62" s="33">
        <f t="shared" si="3"/>
        <v>5.0343808958796421E-2</v>
      </c>
    </row>
    <row r="63" spans="1:6">
      <c r="A63" s="26">
        <v>45040</v>
      </c>
      <c r="B63" s="27">
        <v>110.0625</v>
      </c>
      <c r="C63" s="28">
        <f t="shared" si="4"/>
        <v>2.4905714082402333E-3</v>
      </c>
      <c r="D63" s="28">
        <f t="shared" si="5"/>
        <v>2.487475075296982E-3</v>
      </c>
      <c r="E63" s="34">
        <f t="shared" si="2"/>
        <v>2.6577118791999204E-3</v>
      </c>
      <c r="F63" s="33">
        <f t="shared" si="3"/>
        <v>4.2022114513790156E-2</v>
      </c>
    </row>
    <row r="64" spans="1:6">
      <c r="A64" s="26">
        <v>45037</v>
      </c>
      <c r="B64" s="27">
        <v>109.7890625</v>
      </c>
      <c r="C64" s="28">
        <f t="shared" si="4"/>
        <v>-7.8213879408418657E-4</v>
      </c>
      <c r="D64" s="28">
        <f t="shared" si="5"/>
        <v>-7.8244482421320981E-4</v>
      </c>
      <c r="E64" s="34">
        <f t="shared" si="2"/>
        <v>2.4229675602643473E-3</v>
      </c>
      <c r="F64" s="33">
        <f t="shared" si="3"/>
        <v>3.8310480935683136E-2</v>
      </c>
    </row>
    <row r="65" spans="1:6">
      <c r="A65" s="26">
        <v>45036</v>
      </c>
      <c r="B65" s="27">
        <v>109.875</v>
      </c>
      <c r="C65" s="28">
        <f t="shared" si="4"/>
        <v>3.6394776279169341E-3</v>
      </c>
      <c r="D65" s="28">
        <f t="shared" si="5"/>
        <v>3.6328707547405308E-3</v>
      </c>
      <c r="E65" s="34">
        <f t="shared" si="2"/>
        <v>3.0748436619140555E-3</v>
      </c>
      <c r="F65" s="33">
        <f t="shared" si="3"/>
        <v>4.861754710290575E-2</v>
      </c>
    </row>
    <row r="66" spans="1:6">
      <c r="A66" s="26">
        <v>45035</v>
      </c>
      <c r="B66" s="27">
        <v>109.4765625</v>
      </c>
      <c r="C66" s="28">
        <f t="shared" ref="C66:C97" si="6">(B66-B67)/B67</f>
        <v>-1.9941599601168009E-3</v>
      </c>
      <c r="D66" s="28">
        <f t="shared" ref="D66:D97" si="7">LN(B66/B67)</f>
        <v>-1.9961509444244799E-3</v>
      </c>
      <c r="E66" s="34">
        <f t="shared" si="2"/>
        <v>2.1917381629688723E-3</v>
      </c>
      <c r="F66" s="33">
        <f t="shared" si="3"/>
        <v>3.4654423148474736E-2</v>
      </c>
    </row>
    <row r="67" spans="1:6">
      <c r="A67" s="26">
        <v>45034</v>
      </c>
      <c r="B67" s="27">
        <v>109.6953125</v>
      </c>
      <c r="C67" s="28">
        <f t="shared" si="6"/>
        <v>5.7008480011401692E-4</v>
      </c>
      <c r="D67" s="28">
        <f t="shared" si="7"/>
        <v>5.6992236350650283E-4</v>
      </c>
      <c r="E67" s="34">
        <f t="shared" ref="E67:E130" si="8">STDEV(D67:D70)</f>
        <v>2.2482043298179349E-3</v>
      </c>
      <c r="F67" s="33">
        <f t="shared" ref="F67:F130" si="9">E67*250^0.5</f>
        <v>3.5547231638385392E-2</v>
      </c>
    </row>
    <row r="68" spans="1:6">
      <c r="A68" s="26">
        <v>45033</v>
      </c>
      <c r="B68" s="27">
        <v>109.6328125</v>
      </c>
      <c r="C68" s="28">
        <f t="shared" si="6"/>
        <v>-3.3380681818181816E-3</v>
      </c>
      <c r="D68" s="28">
        <f t="shared" si="7"/>
        <v>-3.3436519608976397E-3</v>
      </c>
      <c r="E68" s="34">
        <f t="shared" si="8"/>
        <v>3.4267849383592536E-3</v>
      </c>
      <c r="F68" s="33">
        <f t="shared" si="9"/>
        <v>5.4182227283874722E-2</v>
      </c>
    </row>
    <row r="69" spans="1:6">
      <c r="A69" s="26">
        <v>45030</v>
      </c>
      <c r="B69" s="27">
        <v>110</v>
      </c>
      <c r="C69" s="28">
        <f t="shared" si="6"/>
        <v>-4.5248868778280547E-3</v>
      </c>
      <c r="D69" s="28">
        <f t="shared" si="7"/>
        <v>-4.5351551653912622E-3</v>
      </c>
      <c r="E69" s="34">
        <f t="shared" si="8"/>
        <v>3.2113203776902642E-3</v>
      </c>
      <c r="F69" s="33">
        <f t="shared" si="9"/>
        <v>5.077543345006702E-2</v>
      </c>
    </row>
    <row r="70" spans="1:6">
      <c r="A70" s="26">
        <v>45029</v>
      </c>
      <c r="B70" s="27">
        <v>110.5</v>
      </c>
      <c r="C70" s="28">
        <f t="shared" si="6"/>
        <v>-1.3415236884840782E-3</v>
      </c>
      <c r="D70" s="28">
        <f t="shared" si="7"/>
        <v>-1.3424243369717418E-3</v>
      </c>
      <c r="E70" s="34">
        <f t="shared" si="8"/>
        <v>2.3344192350469085E-3</v>
      </c>
      <c r="F70" s="33">
        <f t="shared" si="9"/>
        <v>3.6910408982280977E-2</v>
      </c>
    </row>
    <row r="71" spans="1:6">
      <c r="A71" s="26">
        <v>45028</v>
      </c>
      <c r="B71" s="27">
        <v>110.6484375</v>
      </c>
      <c r="C71" s="28">
        <f t="shared" si="6"/>
        <v>3.2584826804561875E-3</v>
      </c>
      <c r="D71" s="28">
        <f t="shared" si="7"/>
        <v>3.2531853301968755E-3</v>
      </c>
      <c r="E71" s="34">
        <f t="shared" si="8"/>
        <v>3.4671193034114017E-3</v>
      </c>
      <c r="F71" s="33">
        <f t="shared" si="9"/>
        <v>5.4819969591582141E-2</v>
      </c>
    </row>
    <row r="72" spans="1:6">
      <c r="A72" s="26">
        <v>45027</v>
      </c>
      <c r="B72" s="27">
        <v>110.2890625</v>
      </c>
      <c r="C72" s="28">
        <f t="shared" si="6"/>
        <v>-1.4853586080067903E-3</v>
      </c>
      <c r="D72" s="28">
        <f t="shared" si="7"/>
        <v>-1.4864628466997479E-3</v>
      </c>
      <c r="E72" s="34">
        <f t="shared" si="8"/>
        <v>2.0370843699527475E-3</v>
      </c>
      <c r="F72" s="33">
        <f t="shared" si="9"/>
        <v>3.2209131974898754E-2</v>
      </c>
    </row>
    <row r="73" spans="1:6">
      <c r="A73" s="26">
        <v>45026</v>
      </c>
      <c r="B73" s="27">
        <v>110.453125</v>
      </c>
      <c r="C73" s="28">
        <f t="shared" si="6"/>
        <v>-1.4126289023873428E-3</v>
      </c>
      <c r="D73" s="28">
        <f t="shared" si="7"/>
        <v>-1.4136276032352118E-3</v>
      </c>
      <c r="E73" s="34">
        <f t="shared" si="8"/>
        <v>3.0166991077043548E-3</v>
      </c>
      <c r="F73" s="33">
        <f t="shared" si="9"/>
        <v>4.7698200978716826E-2</v>
      </c>
    </row>
    <row r="74" spans="1:6">
      <c r="A74" s="26">
        <v>45023</v>
      </c>
      <c r="B74" s="27">
        <v>110.609375</v>
      </c>
      <c r="C74" s="28">
        <f t="shared" si="6"/>
        <v>-5.1995503091624507E-3</v>
      </c>
      <c r="D74" s="28">
        <f t="shared" si="7"/>
        <v>-5.2131150115364809E-3</v>
      </c>
      <c r="E74" s="34">
        <f t="shared" si="8"/>
        <v>4.6142832401074975E-3</v>
      </c>
      <c r="F74" s="33">
        <f t="shared" si="9"/>
        <v>7.2958224039406522E-2</v>
      </c>
    </row>
    <row r="75" spans="1:6">
      <c r="A75" s="26">
        <v>45022</v>
      </c>
      <c r="B75" s="27">
        <v>111.1875</v>
      </c>
      <c r="C75" s="28">
        <f t="shared" si="6"/>
        <v>-7.021485746383935E-4</v>
      </c>
      <c r="D75" s="28">
        <f t="shared" si="7"/>
        <v>-7.0239519639895295E-4</v>
      </c>
      <c r="E75" s="34">
        <f t="shared" si="8"/>
        <v>2.6913057199742137E-3</v>
      </c>
      <c r="F75" s="33">
        <f t="shared" si="9"/>
        <v>4.2553279774789156E-2</v>
      </c>
    </row>
    <row r="76" spans="1:6">
      <c r="A76" s="26">
        <v>45021</v>
      </c>
      <c r="B76" s="27">
        <v>111.265625</v>
      </c>
      <c r="C76" s="28">
        <f t="shared" si="6"/>
        <v>2.1108922037714607E-3</v>
      </c>
      <c r="D76" s="28">
        <f t="shared" si="7"/>
        <v>2.1086674011522684E-3</v>
      </c>
      <c r="E76" s="34">
        <f t="shared" si="8"/>
        <v>1.7161017625874756E-3</v>
      </c>
      <c r="F76" s="33">
        <f t="shared" si="9"/>
        <v>2.7133951332029768E-2</v>
      </c>
    </row>
    <row r="77" spans="1:6">
      <c r="A77" s="26">
        <v>45020</v>
      </c>
      <c r="B77" s="27">
        <v>111.03125</v>
      </c>
      <c r="C77" s="28">
        <f t="shared" si="6"/>
        <v>5.7320784091713251E-3</v>
      </c>
      <c r="D77" s="28">
        <f t="shared" si="7"/>
        <v>5.7157125581714253E-3</v>
      </c>
      <c r="E77" s="34">
        <f t="shared" si="8"/>
        <v>2.2743205494619406E-3</v>
      </c>
      <c r="F77" s="33">
        <f t="shared" si="9"/>
        <v>3.596016532812684E-2</v>
      </c>
    </row>
    <row r="78" spans="1:6">
      <c r="A78" s="26">
        <v>45019</v>
      </c>
      <c r="B78" s="27">
        <v>110.3984375</v>
      </c>
      <c r="C78" s="28">
        <f t="shared" si="6"/>
        <v>3.5508841701583694E-3</v>
      </c>
      <c r="D78" s="28">
        <f t="shared" si="7"/>
        <v>3.544594665434535E-3</v>
      </c>
      <c r="E78" s="34">
        <f t="shared" si="8"/>
        <v>1.8757858847418679E-3</v>
      </c>
      <c r="F78" s="33">
        <f t="shared" si="9"/>
        <v>2.9658778992891936E-2</v>
      </c>
    </row>
    <row r="79" spans="1:6">
      <c r="A79" s="26">
        <v>45016</v>
      </c>
      <c r="B79" s="27">
        <v>110.0078125</v>
      </c>
      <c r="C79" s="28">
        <f t="shared" si="6"/>
        <v>2.06376316538571E-3</v>
      </c>
      <c r="D79" s="28">
        <f t="shared" si="7"/>
        <v>2.0616365315939775E-3</v>
      </c>
      <c r="E79" s="34">
        <f t="shared" si="8"/>
        <v>2.0522533464586413E-3</v>
      </c>
      <c r="F79" s="33">
        <f t="shared" si="9"/>
        <v>3.2448974552559788E-2</v>
      </c>
    </row>
    <row r="80" spans="1:6">
      <c r="A80" s="26">
        <v>45015</v>
      </c>
      <c r="B80" s="27">
        <v>109.78125</v>
      </c>
      <c r="C80" s="28">
        <f t="shared" si="6"/>
        <v>3.5594788922901688E-4</v>
      </c>
      <c r="D80" s="28">
        <f t="shared" si="7"/>
        <v>3.5588455480779139E-4</v>
      </c>
      <c r="E80" s="34">
        <f t="shared" si="8"/>
        <v>3.5746124573780768E-3</v>
      </c>
      <c r="F80" s="33">
        <f t="shared" si="9"/>
        <v>5.6519585588631426E-2</v>
      </c>
    </row>
    <row r="81" spans="1:6">
      <c r="A81" s="26">
        <v>45014</v>
      </c>
      <c r="B81" s="27">
        <v>109.7421875</v>
      </c>
      <c r="C81" s="28">
        <f t="shared" si="6"/>
        <v>-7.1138934338763602E-4</v>
      </c>
      <c r="D81" s="28">
        <f t="shared" si="7"/>
        <v>-7.1164250085607153E-4</v>
      </c>
      <c r="E81" s="34">
        <f t="shared" si="8"/>
        <v>3.5335429578489345E-3</v>
      </c>
      <c r="F81" s="33">
        <f t="shared" si="9"/>
        <v>5.587021978425491E-2</v>
      </c>
    </row>
    <row r="82" spans="1:6">
      <c r="A82" s="26">
        <v>45013</v>
      </c>
      <c r="B82" s="27">
        <v>109.8203125</v>
      </c>
      <c r="C82" s="28">
        <f t="shared" si="6"/>
        <v>-2.8374831524437824E-3</v>
      </c>
      <c r="D82" s="28">
        <f t="shared" si="7"/>
        <v>-2.8415164391595513E-3</v>
      </c>
      <c r="E82" s="34">
        <f t="shared" si="8"/>
        <v>6.0334383532183429E-3</v>
      </c>
      <c r="F82" s="33">
        <f t="shared" si="9"/>
        <v>9.5397036591927303E-2</v>
      </c>
    </row>
    <row r="83" spans="1:6">
      <c r="A83" s="26">
        <v>45012</v>
      </c>
      <c r="B83" s="27">
        <v>110.1328125</v>
      </c>
      <c r="C83" s="28">
        <f t="shared" si="6"/>
        <v>-7.6728143038152889E-3</v>
      </c>
      <c r="D83" s="28">
        <f t="shared" si="7"/>
        <v>-7.7024017868298541E-3</v>
      </c>
      <c r="E83" s="34">
        <f t="shared" si="8"/>
        <v>7.0286153325180454E-3</v>
      </c>
      <c r="F83" s="33">
        <f t="shared" si="9"/>
        <v>0.1111321662396938</v>
      </c>
    </row>
    <row r="84" spans="1:6">
      <c r="A84" s="26">
        <v>45009</v>
      </c>
      <c r="B84" s="27">
        <v>110.984375</v>
      </c>
      <c r="C84" s="28">
        <f t="shared" si="6"/>
        <v>2.1122298106033936E-4</v>
      </c>
      <c r="D84" s="28">
        <f t="shared" si="7"/>
        <v>2.1120067662713058E-4</v>
      </c>
      <c r="E84" s="34">
        <f t="shared" si="8"/>
        <v>6.831836147467997E-3</v>
      </c>
      <c r="F84" s="33">
        <f t="shared" si="9"/>
        <v>0.10802081413534426</v>
      </c>
    </row>
    <row r="85" spans="1:6">
      <c r="A85" s="26">
        <v>45008</v>
      </c>
      <c r="B85" s="27">
        <v>110.9609375</v>
      </c>
      <c r="C85" s="28">
        <f t="shared" si="6"/>
        <v>6.7337680748511481E-3</v>
      </c>
      <c r="D85" s="28">
        <f t="shared" si="7"/>
        <v>6.7111975251854406E-3</v>
      </c>
      <c r="E85" s="34">
        <f t="shared" si="8"/>
        <v>7.6111473871926299E-3</v>
      </c>
      <c r="F85" s="33">
        <f t="shared" si="9"/>
        <v>0.12034280675384092</v>
      </c>
    </row>
    <row r="86" spans="1:6">
      <c r="A86" s="26">
        <v>45007</v>
      </c>
      <c r="B86" s="27">
        <v>110.21875</v>
      </c>
      <c r="C86" s="28">
        <f t="shared" si="6"/>
        <v>7.4264495858326193E-3</v>
      </c>
      <c r="D86" s="28">
        <f t="shared" si="7"/>
        <v>7.3990092813864157E-3</v>
      </c>
      <c r="E86" s="34">
        <f t="shared" si="8"/>
        <v>9.0802059614386484E-3</v>
      </c>
      <c r="F86" s="33">
        <f t="shared" si="9"/>
        <v>0.14357066230792589</v>
      </c>
    </row>
    <row r="87" spans="1:6">
      <c r="A87" s="26">
        <v>45006</v>
      </c>
      <c r="B87" s="27">
        <v>109.40625</v>
      </c>
      <c r="C87" s="28">
        <f t="shared" si="6"/>
        <v>-7.2309655465759249E-3</v>
      </c>
      <c r="D87" s="28">
        <f t="shared" si="7"/>
        <v>-7.2572356935681655E-3</v>
      </c>
      <c r="E87" s="34">
        <f t="shared" si="8"/>
        <v>8.9223431278808146E-3</v>
      </c>
      <c r="F87" s="33">
        <f t="shared" si="9"/>
        <v>0.14107463174827181</v>
      </c>
    </row>
    <row r="88" spans="1:6">
      <c r="A88" s="26">
        <v>45005</v>
      </c>
      <c r="B88" s="27">
        <v>110.203125</v>
      </c>
      <c r="C88" s="28">
        <f t="shared" si="6"/>
        <v>-4.7272983842517463E-3</v>
      </c>
      <c r="D88" s="28">
        <f t="shared" si="7"/>
        <v>-4.738507398780914E-3</v>
      </c>
      <c r="E88" s="34">
        <f t="shared" si="8"/>
        <v>9.4531149982573295E-3</v>
      </c>
      <c r="F88" s="33">
        <f t="shared" si="9"/>
        <v>0.149466871889959</v>
      </c>
    </row>
    <row r="89" spans="1:6">
      <c r="A89" s="26">
        <v>45002</v>
      </c>
      <c r="B89" s="27">
        <v>110.7265625</v>
      </c>
      <c r="C89" s="28">
        <f t="shared" si="6"/>
        <v>1.1417969028759009E-2</v>
      </c>
      <c r="D89" s="28">
        <f t="shared" si="7"/>
        <v>1.1353275996687685E-2</v>
      </c>
      <c r="E89" s="34">
        <f t="shared" si="8"/>
        <v>9.6810303110215507E-3</v>
      </c>
      <c r="F89" s="33">
        <f t="shared" si="9"/>
        <v>0.15307052939978194</v>
      </c>
    </row>
    <row r="90" spans="1:6">
      <c r="A90" s="26">
        <v>45001</v>
      </c>
      <c r="B90" s="27">
        <v>109.4765625</v>
      </c>
      <c r="C90" s="28">
        <f t="shared" si="6"/>
        <v>-7.0153061224489796E-3</v>
      </c>
      <c r="D90" s="28">
        <f t="shared" si="7"/>
        <v>-7.0400290763547868E-3</v>
      </c>
      <c r="E90" s="34">
        <f t="shared" si="8"/>
        <v>9.9471673347089409E-3</v>
      </c>
      <c r="F90" s="33">
        <f t="shared" si="9"/>
        <v>0.15727852522253361</v>
      </c>
    </row>
    <row r="91" spans="1:6">
      <c r="A91" s="26">
        <v>45000</v>
      </c>
      <c r="B91" s="27">
        <v>110.25</v>
      </c>
      <c r="C91" s="28">
        <f t="shared" si="6"/>
        <v>9.3698590944853739E-3</v>
      </c>
      <c r="D91" s="28">
        <f t="shared" si="7"/>
        <v>9.3262342587478626E-3</v>
      </c>
      <c r="E91" s="34">
        <f t="shared" si="8"/>
        <v>8.3150861165342937E-3</v>
      </c>
      <c r="F91" s="33">
        <f t="shared" si="9"/>
        <v>0.13147305534346321</v>
      </c>
    </row>
    <row r="92" spans="1:6">
      <c r="A92" s="26">
        <v>44999</v>
      </c>
      <c r="B92" s="27">
        <v>109.2265625</v>
      </c>
      <c r="C92" s="28">
        <f t="shared" si="6"/>
        <v>-5.61877667140825E-3</v>
      </c>
      <c r="D92" s="28">
        <f t="shared" si="7"/>
        <v>-5.6346213768312522E-3</v>
      </c>
      <c r="E92" s="34">
        <f t="shared" si="8"/>
        <v>8.133832218635945E-3</v>
      </c>
      <c r="F92" s="33">
        <f t="shared" si="9"/>
        <v>0.12860717958275125</v>
      </c>
    </row>
    <row r="93" spans="1:6">
      <c r="A93" s="26">
        <v>44998</v>
      </c>
      <c r="B93" s="27">
        <v>109.84375</v>
      </c>
      <c r="C93" s="28">
        <f t="shared" si="6"/>
        <v>1.2239020878329733E-2</v>
      </c>
      <c r="D93" s="28">
        <f t="shared" si="7"/>
        <v>1.2164729616266556E-2</v>
      </c>
      <c r="E93" s="34">
        <f t="shared" si="8"/>
        <v>6.1079622574312471E-3</v>
      </c>
      <c r="F93" s="33">
        <f t="shared" si="9"/>
        <v>9.6575362979132273E-2</v>
      </c>
    </row>
    <row r="94" spans="1:6">
      <c r="A94" s="26">
        <v>44995</v>
      </c>
      <c r="B94" s="27">
        <v>108.515625</v>
      </c>
      <c r="C94" s="28">
        <f t="shared" si="6"/>
        <v>1.1064201484932305E-2</v>
      </c>
      <c r="D94" s="28">
        <f t="shared" si="7"/>
        <v>1.1003440974562484E-2</v>
      </c>
      <c r="E94" s="34">
        <f t="shared" si="8"/>
        <v>6.0972985977724818E-3</v>
      </c>
      <c r="F94" s="33">
        <f t="shared" si="9"/>
        <v>9.6406755715559511E-2</v>
      </c>
    </row>
    <row r="95" spans="1:6">
      <c r="A95" s="26">
        <v>44994</v>
      </c>
      <c r="B95" s="27">
        <v>107.328125</v>
      </c>
      <c r="C95" s="28">
        <f t="shared" si="6"/>
        <v>5.4156908665105386E-3</v>
      </c>
      <c r="D95" s="28">
        <f t="shared" si="7"/>
        <v>5.4010787454758912E-3</v>
      </c>
      <c r="E95" s="34">
        <f t="shared" si="8"/>
        <v>3.3932203636336416E-3</v>
      </c>
      <c r="F95" s="33">
        <f t="shared" si="9"/>
        <v>5.3651524759735447E-2</v>
      </c>
    </row>
    <row r="96" spans="1:6">
      <c r="A96" s="26">
        <v>44993</v>
      </c>
      <c r="B96" s="27">
        <v>106.75</v>
      </c>
      <c r="C96" s="28">
        <f t="shared" si="6"/>
        <v>-1.1695906432748538E-3</v>
      </c>
      <c r="D96" s="28">
        <f t="shared" si="7"/>
        <v>-1.1702751481903206E-3</v>
      </c>
      <c r="E96" s="34">
        <f t="shared" si="8"/>
        <v>2.0308082225852357E-3</v>
      </c>
      <c r="F96" s="33">
        <f t="shared" si="9"/>
        <v>3.2109897371837719E-2</v>
      </c>
    </row>
    <row r="97" spans="1:6">
      <c r="A97" s="26">
        <v>44992</v>
      </c>
      <c r="B97" s="27">
        <v>106.875</v>
      </c>
      <c r="C97" s="28">
        <f t="shared" si="6"/>
        <v>-1.969796454366382E-3</v>
      </c>
      <c r="D97" s="28">
        <f t="shared" si="7"/>
        <v>-1.9717390548397024E-3</v>
      </c>
      <c r="E97" s="34">
        <f t="shared" si="8"/>
        <v>2.2622426140679569E-3</v>
      </c>
      <c r="F97" s="33">
        <f t="shared" si="9"/>
        <v>3.5769196401740082E-2</v>
      </c>
    </row>
    <row r="98" spans="1:6">
      <c r="A98" s="26">
        <v>44991</v>
      </c>
      <c r="B98" s="27">
        <v>107.0859375</v>
      </c>
      <c r="C98" s="28">
        <f t="shared" ref="C98:C129" si="10">(B98-B99)/B99</f>
        <v>-8.0186616124799535E-4</v>
      </c>
      <c r="D98" s="28">
        <f t="shared" ref="D98:D129" si="11">LN(B98/B99)</f>
        <v>-8.0218782788549995E-4</v>
      </c>
      <c r="E98" s="34">
        <f t="shared" si="8"/>
        <v>2.7757682772440472E-3</v>
      </c>
      <c r="F98" s="33">
        <f t="shared" si="9"/>
        <v>4.388875006466459E-2</v>
      </c>
    </row>
    <row r="99" spans="1:6">
      <c r="A99" s="26">
        <v>44988</v>
      </c>
      <c r="B99" s="27">
        <v>107.171875</v>
      </c>
      <c r="C99" s="28">
        <f t="shared" si="10"/>
        <v>2.6311942698435901E-3</v>
      </c>
      <c r="D99" s="28">
        <f t="shared" si="11"/>
        <v>2.6277387383233809E-3</v>
      </c>
      <c r="E99" s="34">
        <f t="shared" si="8"/>
        <v>2.824691020524931E-3</v>
      </c>
      <c r="F99" s="33">
        <f t="shared" si="9"/>
        <v>4.4662286555421052E-2</v>
      </c>
    </row>
    <row r="100" spans="1:6">
      <c r="A100" s="26">
        <v>44987</v>
      </c>
      <c r="B100" s="27">
        <v>106.890625</v>
      </c>
      <c r="C100" s="28">
        <f t="shared" si="10"/>
        <v>-2.3333819454571972E-3</v>
      </c>
      <c r="D100" s="28">
        <f t="shared" si="11"/>
        <v>-2.3361085233664183E-3</v>
      </c>
      <c r="E100" s="34">
        <f t="shared" si="8"/>
        <v>2.4399388329749538E-3</v>
      </c>
      <c r="F100" s="33">
        <f t="shared" si="9"/>
        <v>3.8578820318470014E-2</v>
      </c>
    </row>
    <row r="101" spans="1:6">
      <c r="A101" s="26">
        <v>44986</v>
      </c>
      <c r="B101" s="27">
        <v>107.140625</v>
      </c>
      <c r="C101" s="28">
        <f t="shared" si="10"/>
        <v>-3.849785719474105E-3</v>
      </c>
      <c r="D101" s="28">
        <f t="shared" si="11"/>
        <v>-3.8572152186334826E-3</v>
      </c>
      <c r="E101" s="34">
        <f t="shared" si="8"/>
        <v>3.0190923011671439E-3</v>
      </c>
      <c r="F101" s="33">
        <f t="shared" si="9"/>
        <v>4.7736040689836015E-2</v>
      </c>
    </row>
    <row r="102" spans="1:6">
      <c r="A102" s="26">
        <v>44985</v>
      </c>
      <c r="B102" s="27">
        <v>107.5546875</v>
      </c>
      <c r="C102" s="28">
        <f t="shared" si="10"/>
        <v>-7.2632190586868097E-5</v>
      </c>
      <c r="D102" s="28">
        <f t="shared" si="11"/>
        <v>-7.2634828432124816E-5</v>
      </c>
      <c r="E102" s="34">
        <f t="shared" si="8"/>
        <v>2.8636922676361647E-3</v>
      </c>
      <c r="F102" s="33">
        <f t="shared" si="9"/>
        <v>4.5278950417713855E-2</v>
      </c>
    </row>
    <row r="103" spans="1:6">
      <c r="A103" s="26">
        <v>44984</v>
      </c>
      <c r="B103" s="27">
        <v>107.5625</v>
      </c>
      <c r="C103" s="28">
        <f t="shared" si="10"/>
        <v>1.6733357584576209E-3</v>
      </c>
      <c r="D103" s="28">
        <f t="shared" si="11"/>
        <v>1.6719372920291557E-3</v>
      </c>
      <c r="E103" s="34">
        <f t="shared" si="8"/>
        <v>2.9380628789380772E-3</v>
      </c>
      <c r="F103" s="33">
        <f t="shared" si="9"/>
        <v>4.6454853031179376E-2</v>
      </c>
    </row>
    <row r="104" spans="1:6">
      <c r="A104" s="26">
        <v>44981</v>
      </c>
      <c r="B104" s="27">
        <v>107.3828125</v>
      </c>
      <c r="C104" s="28">
        <f t="shared" si="10"/>
        <v>-4.6346585560141937E-3</v>
      </c>
      <c r="D104" s="28">
        <f t="shared" si="11"/>
        <v>-4.6454318860050395E-3</v>
      </c>
      <c r="E104" s="34">
        <f t="shared" si="8"/>
        <v>2.9301694989811544E-3</v>
      </c>
      <c r="F104" s="33">
        <f t="shared" si="9"/>
        <v>4.6330047735674389E-2</v>
      </c>
    </row>
    <row r="105" spans="1:6">
      <c r="A105" s="26">
        <v>44980</v>
      </c>
      <c r="B105" s="27">
        <v>107.8828125</v>
      </c>
      <c r="C105" s="28">
        <f t="shared" si="10"/>
        <v>1.0874293170943889E-3</v>
      </c>
      <c r="D105" s="28">
        <f t="shared" si="11"/>
        <v>1.0868384941145695E-3</v>
      </c>
      <c r="E105" s="34">
        <f t="shared" si="8"/>
        <v>2.1588389665703322E-3</v>
      </c>
      <c r="F105" s="33">
        <f t="shared" si="9"/>
        <v>3.4134241179431757E-2</v>
      </c>
    </row>
    <row r="106" spans="1:6">
      <c r="A106" s="26">
        <v>44979</v>
      </c>
      <c r="B106" s="27">
        <v>107.765625</v>
      </c>
      <c r="C106" s="28">
        <f t="shared" si="10"/>
        <v>7.9808459696727857E-4</v>
      </c>
      <c r="D106" s="28">
        <f t="shared" si="11"/>
        <v>7.9776629679771064E-4</v>
      </c>
      <c r="E106" s="34">
        <f t="shared" si="8"/>
        <v>1.9725541920617142E-3</v>
      </c>
      <c r="F106" s="33">
        <f t="shared" si="9"/>
        <v>3.1188820275141228E-2</v>
      </c>
    </row>
    <row r="107" spans="1:6">
      <c r="A107" s="26">
        <v>44978</v>
      </c>
      <c r="B107" s="27">
        <v>107.6796875</v>
      </c>
      <c r="C107" s="28">
        <f t="shared" si="10"/>
        <v>-3.4704648976935869E-3</v>
      </c>
      <c r="D107" s="28">
        <f t="shared" si="11"/>
        <v>-3.4765009302690263E-3</v>
      </c>
      <c r="E107" s="34">
        <f t="shared" si="8"/>
        <v>1.7363228645842844E-3</v>
      </c>
      <c r="F107" s="33">
        <f t="shared" si="9"/>
        <v>2.7453675027572243E-2</v>
      </c>
    </row>
    <row r="108" spans="1:6">
      <c r="A108" s="26">
        <v>44974</v>
      </c>
      <c r="B108" s="27">
        <v>108.0546875</v>
      </c>
      <c r="C108" s="28">
        <f t="shared" si="10"/>
        <v>5.7874556897923751E-4</v>
      </c>
      <c r="D108" s="28">
        <f t="shared" si="11"/>
        <v>5.7857816035060264E-4</v>
      </c>
      <c r="E108" s="34">
        <f t="shared" si="8"/>
        <v>1.7940238602182565E-3</v>
      </c>
      <c r="F108" s="33">
        <f t="shared" si="9"/>
        <v>2.8366007874886159E-2</v>
      </c>
    </row>
    <row r="109" spans="1:6">
      <c r="A109" s="26">
        <v>44973</v>
      </c>
      <c r="B109" s="27">
        <v>107.9921875</v>
      </c>
      <c r="C109" s="28">
        <f t="shared" si="10"/>
        <v>-3.6158518947063931E-4</v>
      </c>
      <c r="D109" s="28">
        <f t="shared" si="11"/>
        <v>-3.6165057715784694E-4</v>
      </c>
      <c r="E109" s="34">
        <f t="shared" si="8"/>
        <v>1.4994087739976633E-3</v>
      </c>
      <c r="F109" s="33">
        <f t="shared" si="9"/>
        <v>2.3707734347366345E-2</v>
      </c>
    </row>
    <row r="110" spans="1:6">
      <c r="A110" s="26">
        <v>44972</v>
      </c>
      <c r="B110" s="27">
        <v>108.03125</v>
      </c>
      <c r="C110" s="28">
        <f t="shared" si="10"/>
        <v>-1.30001444460494E-3</v>
      </c>
      <c r="D110" s="28">
        <f t="shared" si="11"/>
        <v>-1.3008601964555604E-3</v>
      </c>
      <c r="E110" s="34">
        <f t="shared" si="8"/>
        <v>1.3169878220520247E-3</v>
      </c>
      <c r="F110" s="33">
        <f t="shared" si="9"/>
        <v>2.0823405841944632E-2</v>
      </c>
    </row>
    <row r="111" spans="1:6">
      <c r="A111" s="26">
        <v>44971</v>
      </c>
      <c r="B111" s="27">
        <v>108.171875</v>
      </c>
      <c r="C111" s="28">
        <f t="shared" si="10"/>
        <v>-3.5981577432354635E-3</v>
      </c>
      <c r="D111" s="28">
        <f t="shared" si="11"/>
        <v>-3.6046466829701344E-3</v>
      </c>
      <c r="E111" s="34">
        <f t="shared" si="8"/>
        <v>1.3777857969469814E-3</v>
      </c>
      <c r="F111" s="33">
        <f t="shared" si="9"/>
        <v>2.1784706230913629E-2</v>
      </c>
    </row>
    <row r="112" spans="1:6">
      <c r="A112" s="26">
        <v>44970</v>
      </c>
      <c r="B112" s="27">
        <v>108.5625</v>
      </c>
      <c r="C112" s="28">
        <f t="shared" si="10"/>
        <v>-5.0348845572897936E-4</v>
      </c>
      <c r="D112" s="28">
        <f t="shared" si="11"/>
        <v>-5.036152486024842E-4</v>
      </c>
      <c r="E112" s="34">
        <f t="shared" si="8"/>
        <v>1.7067692748732695E-3</v>
      </c>
      <c r="F112" s="33">
        <f t="shared" si="9"/>
        <v>2.6986391744967621E-2</v>
      </c>
    </row>
    <row r="113" spans="1:6">
      <c r="A113" s="26">
        <v>44967</v>
      </c>
      <c r="B113" s="27">
        <v>108.6171875</v>
      </c>
      <c r="C113" s="28">
        <f t="shared" si="10"/>
        <v>-1.6515869596438317E-3</v>
      </c>
      <c r="D113" s="28">
        <f t="shared" si="11"/>
        <v>-1.6529523329487361E-3</v>
      </c>
      <c r="E113" s="34">
        <f t="shared" si="8"/>
        <v>1.6738084882823804E-3</v>
      </c>
      <c r="F113" s="33">
        <f t="shared" si="9"/>
        <v>2.6465235949477889E-2</v>
      </c>
    </row>
    <row r="114" spans="1:6">
      <c r="A114" s="26">
        <v>44966</v>
      </c>
      <c r="B114" s="27">
        <v>108.796875</v>
      </c>
      <c r="C114" s="28">
        <f t="shared" si="10"/>
        <v>-2.9354907997422497E-3</v>
      </c>
      <c r="D114" s="28">
        <f t="shared" si="11"/>
        <v>-2.9398078032792439E-3</v>
      </c>
      <c r="E114" s="34">
        <f t="shared" si="8"/>
        <v>3.1589659218453281E-3</v>
      </c>
      <c r="F114" s="33">
        <f t="shared" si="9"/>
        <v>4.9947636819423456E-2</v>
      </c>
    </row>
    <row r="115" spans="1:6">
      <c r="A115" s="26">
        <v>44965</v>
      </c>
      <c r="B115" s="27">
        <v>109.1171875</v>
      </c>
      <c r="C115" s="28">
        <f t="shared" si="10"/>
        <v>1.0751146788990826E-3</v>
      </c>
      <c r="D115" s="28">
        <f t="shared" si="11"/>
        <v>1.0745371570103641E-3</v>
      </c>
      <c r="E115" s="34">
        <f t="shared" si="8"/>
        <v>4.3258104471111747E-3</v>
      </c>
      <c r="F115" s="33">
        <f t="shared" si="9"/>
        <v>6.8397068695113278E-2</v>
      </c>
    </row>
    <row r="116" spans="1:6">
      <c r="A116" s="26">
        <v>44964</v>
      </c>
      <c r="B116" s="27">
        <v>109</v>
      </c>
      <c r="C116" s="28">
        <f t="shared" si="10"/>
        <v>-1.2169804567256067E-3</v>
      </c>
      <c r="D116" s="28">
        <f t="shared" si="11"/>
        <v>-1.2177215787900046E-3</v>
      </c>
      <c r="E116" s="34">
        <f t="shared" si="8"/>
        <v>4.1926413849609004E-3</v>
      </c>
      <c r="F116" s="33">
        <f t="shared" si="9"/>
        <v>6.6291480943796346E-2</v>
      </c>
    </row>
    <row r="117" spans="1:6">
      <c r="A117" s="26">
        <v>44963</v>
      </c>
      <c r="B117" s="27">
        <v>109.1328125</v>
      </c>
      <c r="C117" s="28">
        <f t="shared" si="10"/>
        <v>-6.4015932854399318E-3</v>
      </c>
      <c r="D117" s="28">
        <f t="shared" si="11"/>
        <v>-6.4221713523564426E-3</v>
      </c>
      <c r="E117" s="34">
        <f t="shared" si="8"/>
        <v>6.5852304420096416E-3</v>
      </c>
      <c r="F117" s="33">
        <f t="shared" si="9"/>
        <v>0.10412163556913916</v>
      </c>
    </row>
    <row r="118" spans="1:6">
      <c r="A118" s="26">
        <v>44960</v>
      </c>
      <c r="B118" s="27">
        <v>109.8359375</v>
      </c>
      <c r="C118" s="28">
        <f t="shared" si="10"/>
        <v>-8.1134471567659086E-3</v>
      </c>
      <c r="D118" s="28">
        <f t="shared" si="11"/>
        <v>-8.1465402902938799E-3</v>
      </c>
      <c r="E118" s="34">
        <f t="shared" si="8"/>
        <v>5.9948978369758496E-3</v>
      </c>
      <c r="F118" s="33">
        <f t="shared" si="9"/>
        <v>9.4787657524302335E-2</v>
      </c>
    </row>
    <row r="119" spans="1:6">
      <c r="A119" s="26">
        <v>44959</v>
      </c>
      <c r="B119" s="27">
        <v>110.734375</v>
      </c>
      <c r="C119" s="28">
        <f t="shared" si="10"/>
        <v>7.0601524992939852E-4</v>
      </c>
      <c r="D119" s="28">
        <f t="shared" si="11"/>
        <v>7.0576613840697504E-4</v>
      </c>
      <c r="E119" s="34">
        <f t="shared" si="8"/>
        <v>3.6326497578518325E-3</v>
      </c>
      <c r="F119" s="33">
        <f t="shared" si="9"/>
        <v>5.7437235882354609E-2</v>
      </c>
    </row>
    <row r="120" spans="1:6">
      <c r="A120" s="26">
        <v>44958</v>
      </c>
      <c r="B120" s="27">
        <v>110.65625</v>
      </c>
      <c r="C120" s="28">
        <f t="shared" si="10"/>
        <v>6.1088222758914614E-3</v>
      </c>
      <c r="D120" s="28">
        <f t="shared" si="11"/>
        <v>6.0902390637173568E-3</v>
      </c>
      <c r="E120" s="34">
        <f t="shared" si="8"/>
        <v>3.9200907425562788E-3</v>
      </c>
      <c r="F120" s="33">
        <f t="shared" si="9"/>
        <v>6.198207690509297E-2</v>
      </c>
    </row>
    <row r="121" spans="1:6">
      <c r="A121" s="26">
        <v>44957</v>
      </c>
      <c r="B121" s="27">
        <v>109.984375</v>
      </c>
      <c r="C121" s="28">
        <f t="shared" si="10"/>
        <v>1.99288256227758E-3</v>
      </c>
      <c r="D121" s="28">
        <f t="shared" si="11"/>
        <v>1.9908994061849854E-3</v>
      </c>
      <c r="E121" s="34">
        <f t="shared" si="8"/>
        <v>2.0649017695789753E-3</v>
      </c>
      <c r="F121" s="33">
        <f t="shared" si="9"/>
        <v>3.2648963681908741E-2</v>
      </c>
    </row>
    <row r="122" spans="1:6">
      <c r="A122" s="26">
        <v>44956</v>
      </c>
      <c r="B122" s="27">
        <v>109.765625</v>
      </c>
      <c r="C122" s="28">
        <f t="shared" si="10"/>
        <v>-2.6973310618966496E-3</v>
      </c>
      <c r="D122" s="28">
        <f t="shared" si="11"/>
        <v>-2.7009754141502185E-3</v>
      </c>
      <c r="E122" s="34">
        <f t="shared" si="8"/>
        <v>1.5890437917384539E-3</v>
      </c>
      <c r="F122" s="33">
        <f t="shared" si="9"/>
        <v>2.5124988418218839E-2</v>
      </c>
    </row>
    <row r="123" spans="1:6">
      <c r="A123" s="26">
        <v>44953</v>
      </c>
      <c r="B123" s="27">
        <v>110.0625</v>
      </c>
      <c r="C123" s="28">
        <f t="shared" si="10"/>
        <v>-1.3468490820160205E-3</v>
      </c>
      <c r="D123" s="28">
        <f t="shared" si="11"/>
        <v>-1.3477568984602353E-3</v>
      </c>
      <c r="E123" s="34">
        <f t="shared" si="8"/>
        <v>1.7576608853753055E-3</v>
      </c>
      <c r="F123" s="33">
        <f t="shared" si="9"/>
        <v>2.7791058759870514E-2</v>
      </c>
    </row>
    <row r="124" spans="1:6">
      <c r="A124" s="26">
        <v>44952</v>
      </c>
      <c r="B124" s="27">
        <v>110.2109375</v>
      </c>
      <c r="C124" s="28">
        <f t="shared" si="10"/>
        <v>-1.9102872506013867E-3</v>
      </c>
      <c r="D124" s="28">
        <f t="shared" si="11"/>
        <v>-1.9121141762972881E-3</v>
      </c>
      <c r="E124" s="34">
        <f t="shared" si="8"/>
        <v>2.1257487786496706E-3</v>
      </c>
      <c r="F124" s="33">
        <f t="shared" si="9"/>
        <v>3.3611039369270353E-2</v>
      </c>
    </row>
    <row r="125" spans="1:6">
      <c r="A125" s="26">
        <v>44951</v>
      </c>
      <c r="B125" s="27">
        <v>110.421875</v>
      </c>
      <c r="C125" s="28">
        <f t="shared" si="10"/>
        <v>9.9150141643059497E-4</v>
      </c>
      <c r="D125" s="28">
        <f t="shared" si="11"/>
        <v>9.9101020356652395E-4</v>
      </c>
      <c r="E125" s="34">
        <f t="shared" si="8"/>
        <v>2.5725034048523941E-3</v>
      </c>
      <c r="F125" s="33">
        <f t="shared" si="9"/>
        <v>4.0674850239359087E-2</v>
      </c>
    </row>
    <row r="126" spans="1:6">
      <c r="A126" s="26">
        <v>44950</v>
      </c>
      <c r="B126" s="27">
        <v>110.3125</v>
      </c>
      <c r="C126" s="28">
        <f t="shared" si="10"/>
        <v>1.70261066969353E-3</v>
      </c>
      <c r="D126" s="28">
        <f t="shared" si="11"/>
        <v>1.7011628712723657E-3</v>
      </c>
      <c r="E126" s="34">
        <f t="shared" si="8"/>
        <v>2.3094380212582231E-3</v>
      </c>
      <c r="F126" s="33">
        <f t="shared" si="9"/>
        <v>3.6515421310841727E-2</v>
      </c>
    </row>
    <row r="127" spans="1:6">
      <c r="A127" s="26">
        <v>44949</v>
      </c>
      <c r="B127" s="27">
        <v>110.125</v>
      </c>
      <c r="C127" s="28">
        <f t="shared" si="10"/>
        <v>-2.6179862732611616E-3</v>
      </c>
      <c r="D127" s="28">
        <f t="shared" si="11"/>
        <v>-2.6214191921900458E-3</v>
      </c>
      <c r="E127" s="34">
        <f t="shared" si="8"/>
        <v>5.1047866659422866E-3</v>
      </c>
      <c r="F127" s="33">
        <f t="shared" si="9"/>
        <v>8.071376416817358E-2</v>
      </c>
    </row>
    <row r="128" spans="1:6">
      <c r="A128" s="26">
        <v>44946</v>
      </c>
      <c r="B128" s="27">
        <v>110.4140625</v>
      </c>
      <c r="C128" s="28">
        <f t="shared" si="10"/>
        <v>-3.4550839091806516E-3</v>
      </c>
      <c r="D128" s="28">
        <f t="shared" si="11"/>
        <v>-3.4610664957912432E-3</v>
      </c>
      <c r="E128" s="34">
        <f t="shared" si="8"/>
        <v>4.8631242475735319E-3</v>
      </c>
      <c r="F128" s="33">
        <f t="shared" si="9"/>
        <v>7.6892745833624696E-2</v>
      </c>
    </row>
    <row r="129" spans="1:6">
      <c r="A129" s="26">
        <v>44945</v>
      </c>
      <c r="B129" s="27">
        <v>110.796875</v>
      </c>
      <c r="C129" s="28">
        <f t="shared" si="10"/>
        <v>-2.3916713562183453E-3</v>
      </c>
      <c r="D129" s="28">
        <f t="shared" si="11"/>
        <v>-2.3945359705452376E-3</v>
      </c>
      <c r="E129" s="34">
        <f t="shared" si="8"/>
        <v>4.7698946841696057E-3</v>
      </c>
      <c r="F129" s="33">
        <f t="shared" si="9"/>
        <v>7.5418657005527259E-2</v>
      </c>
    </row>
    <row r="130" spans="1:6">
      <c r="A130" s="26">
        <v>44944</v>
      </c>
      <c r="B130" s="27">
        <v>111.0625</v>
      </c>
      <c r="C130" s="28">
        <f t="shared" ref="C130:C140" si="12">(B130-B131)/B131</f>
        <v>7.3696145124716554E-3</v>
      </c>
      <c r="D130" s="28">
        <f t="shared" ref="D130:D140" si="13">LN(B130/B131)</f>
        <v>7.3425915879148217E-3</v>
      </c>
      <c r="E130" s="34">
        <f t="shared" si="8"/>
        <v>4.6713352855153193E-3</v>
      </c>
      <c r="F130" s="33">
        <f t="shared" si="9"/>
        <v>7.3860296082706861E-2</v>
      </c>
    </row>
    <row r="131" spans="1:6">
      <c r="A131" s="26">
        <v>44943</v>
      </c>
      <c r="B131" s="27">
        <v>110.25</v>
      </c>
      <c r="C131" s="28">
        <f t="shared" si="12"/>
        <v>7.80086518686618E-4</v>
      </c>
      <c r="D131" s="28">
        <f t="shared" si="13"/>
        <v>7.7978240934246685E-4</v>
      </c>
      <c r="E131" s="34">
        <f t="shared" ref="E131:E137" si="14">STDEV(D131:D134)</f>
        <v>3.5424753206050488E-3</v>
      </c>
      <c r="F131" s="33">
        <f t="shared" ref="F131:F137" si="15">E131*250^0.5</f>
        <v>5.6011452840235815E-2</v>
      </c>
    </row>
    <row r="132" spans="1:6">
      <c r="A132" s="26">
        <v>44939</v>
      </c>
      <c r="B132" s="27">
        <v>110.1640625</v>
      </c>
      <c r="C132" s="28">
        <f t="shared" si="12"/>
        <v>-3.1106398020501946E-3</v>
      </c>
      <c r="D132" s="28">
        <f t="shared" si="13"/>
        <v>-3.1154878984374231E-3</v>
      </c>
      <c r="E132" s="34">
        <f t="shared" si="14"/>
        <v>4.253424816824657E-3</v>
      </c>
      <c r="F132" s="33">
        <f t="shared" si="15"/>
        <v>6.725255138725196E-2</v>
      </c>
    </row>
    <row r="133" spans="1:6">
      <c r="A133" s="26">
        <v>44938</v>
      </c>
      <c r="B133" s="27">
        <v>110.5078125</v>
      </c>
      <c r="C133" s="28">
        <f t="shared" si="12"/>
        <v>5.2590434226423141E-3</v>
      </c>
      <c r="D133" s="28">
        <f t="shared" si="13"/>
        <v>5.2452629474118127E-3</v>
      </c>
      <c r="E133" s="34">
        <f t="shared" si="14"/>
        <v>3.5987518941555472E-3</v>
      </c>
      <c r="F133" s="33">
        <f t="shared" si="15"/>
        <v>5.6901263596883633E-2</v>
      </c>
    </row>
    <row r="134" spans="1:6">
      <c r="A134" s="26">
        <v>44937</v>
      </c>
      <c r="B134" s="27">
        <v>109.9296875</v>
      </c>
      <c r="C134" s="28">
        <f t="shared" si="12"/>
        <v>2.850830304326135E-3</v>
      </c>
      <c r="D134" s="28">
        <f t="shared" si="13"/>
        <v>2.846774394259872E-3</v>
      </c>
      <c r="E134" s="34">
        <f t="shared" si="14"/>
        <v>4.8172641061442504E-3</v>
      </c>
      <c r="F134" s="33">
        <f t="shared" si="15"/>
        <v>7.6167633329954798E-2</v>
      </c>
    </row>
    <row r="135" spans="1:6">
      <c r="A135" s="26">
        <v>44936</v>
      </c>
      <c r="B135" s="27">
        <v>109.6171875</v>
      </c>
      <c r="C135" s="28">
        <f t="shared" si="12"/>
        <v>-3.1261101243339252E-3</v>
      </c>
      <c r="D135" s="28">
        <f t="shared" si="13"/>
        <v>-3.131006613895251E-3</v>
      </c>
      <c r="E135" s="34">
        <f t="shared" si="14"/>
        <v>5.3099006045374863E-3</v>
      </c>
      <c r="F135" s="33">
        <f t="shared" si="15"/>
        <v>8.3956900297217321E-2</v>
      </c>
    </row>
    <row r="136" spans="1:6">
      <c r="A136" s="26">
        <v>44935</v>
      </c>
      <c r="B136" s="27">
        <v>109.9609375</v>
      </c>
      <c r="C136" s="28">
        <f t="shared" si="12"/>
        <v>3.1359133347587487E-3</v>
      </c>
      <c r="D136" s="28">
        <f t="shared" si="13"/>
        <v>3.1310066138953022E-3</v>
      </c>
      <c r="E136" s="34">
        <f t="shared" si="14"/>
        <v>4.1899484597346546E-3</v>
      </c>
      <c r="F136" s="33">
        <f t="shared" si="15"/>
        <v>6.6248902057379044E-2</v>
      </c>
    </row>
    <row r="137" spans="1:6">
      <c r="A137" s="26">
        <v>44932</v>
      </c>
      <c r="B137" s="27">
        <v>109.6171875</v>
      </c>
      <c r="C137" s="28">
        <f t="shared" si="12"/>
        <v>8.6987778576563621E-3</v>
      </c>
      <c r="D137" s="28">
        <f t="shared" si="13"/>
        <v>8.6611614765073272E-3</v>
      </c>
      <c r="E137" s="34">
        <f t="shared" si="14"/>
        <v>4.3816313306580231E-3</v>
      </c>
      <c r="F137" s="33">
        <f t="shared" si="15"/>
        <v>6.9279674360168575E-2</v>
      </c>
    </row>
    <row r="138" spans="1:6">
      <c r="A138" s="26">
        <v>44931</v>
      </c>
      <c r="B138" s="27">
        <v>108.671875</v>
      </c>
      <c r="C138" s="28">
        <f t="shared" si="12"/>
        <v>-1.5790984783232845E-3</v>
      </c>
      <c r="D138" s="28">
        <f t="shared" si="13"/>
        <v>-1.5803465684032009E-3</v>
      </c>
    </row>
    <row r="139" spans="1:6">
      <c r="A139" s="26">
        <v>44930</v>
      </c>
      <c r="B139" s="27">
        <v>108.84375</v>
      </c>
      <c r="C139" s="28">
        <f t="shared" si="12"/>
        <v>3.0237580993520518E-3</v>
      </c>
      <c r="D139" s="28">
        <f t="shared" si="13"/>
        <v>3.0191957375022655E-3</v>
      </c>
    </row>
    <row r="140" spans="1:6">
      <c r="A140" s="26">
        <v>44929</v>
      </c>
      <c r="B140" s="27">
        <v>108.515625</v>
      </c>
      <c r="C140" s="28">
        <f t="shared" si="12"/>
        <v>7.9256430578571939E-4</v>
      </c>
      <c r="D140" s="28">
        <f t="shared" si="13"/>
        <v>7.9225039254971212E-4</v>
      </c>
    </row>
    <row r="141" spans="1:6">
      <c r="A141" s="26">
        <v>44925</v>
      </c>
      <c r="B141" s="27">
        <v>108.4296875</v>
      </c>
      <c r="D141" s="28"/>
    </row>
  </sheetData>
  <phoneticPr fontId="1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ABB6E-5DA9-44BB-B801-1D8E3FE69F68}">
  <sheetPr codeName="Sheet3"/>
  <dimension ref="A1:D42"/>
  <sheetViews>
    <sheetView zoomScaleNormal="100" workbookViewId="0">
      <selection activeCell="B20" sqref="B20"/>
    </sheetView>
  </sheetViews>
  <sheetFormatPr defaultRowHeight="16.5"/>
  <cols>
    <col min="1" max="1" width="25.1640625" style="1" customWidth="1"/>
    <col min="2" max="2" width="10.1640625" style="1" bestFit="1" customWidth="1"/>
    <col min="3" max="3" width="28.25" style="1" bestFit="1" customWidth="1"/>
    <col min="4" max="16384" width="8.6640625" style="1"/>
  </cols>
  <sheetData>
    <row r="1" spans="1:3" ht="13.5" customHeight="1">
      <c r="A1" s="58" t="s">
        <v>58</v>
      </c>
      <c r="B1" s="58"/>
      <c r="C1" s="39" t="s">
        <v>59</v>
      </c>
    </row>
    <row r="2" spans="1:3" ht="17.5" customHeight="1">
      <c r="A2" s="40" t="s">
        <v>60</v>
      </c>
      <c r="B2" s="41">
        <v>-1</v>
      </c>
      <c r="C2" s="42"/>
    </row>
    <row r="3" spans="1:3" ht="17.5" customHeight="1">
      <c r="A3" s="40" t="s">
        <v>61</v>
      </c>
      <c r="B3" s="43">
        <v>45195</v>
      </c>
      <c r="C3" s="42"/>
    </row>
    <row r="4" spans="1:3">
      <c r="A4" s="1" t="s">
        <v>62</v>
      </c>
      <c r="B4" s="43">
        <v>45275</v>
      </c>
      <c r="C4" s="42"/>
    </row>
    <row r="5" spans="1:3">
      <c r="A5" s="1" t="s">
        <v>63</v>
      </c>
      <c r="B5" s="44">
        <f>(100-C5)/100</f>
        <v>5.459999999999994E-2</v>
      </c>
      <c r="C5" s="45">
        <v>94.54</v>
      </c>
    </row>
    <row r="6" spans="1:3">
      <c r="A6" s="1" t="s">
        <v>64</v>
      </c>
      <c r="B6" s="44">
        <f>(100-C6)/100</f>
        <v>5.5E-2</v>
      </c>
      <c r="C6" s="45">
        <v>94.5</v>
      </c>
    </row>
    <row r="7" spans="1:3">
      <c r="A7" s="1" t="s">
        <v>65</v>
      </c>
      <c r="B7" s="44">
        <v>5.0000000000000001E-3</v>
      </c>
      <c r="C7" s="42"/>
    </row>
    <row r="8" spans="1:3">
      <c r="A8" s="1" t="s">
        <v>66</v>
      </c>
      <c r="B8" s="46">
        <v>5.3999999999999999E-2</v>
      </c>
      <c r="C8" s="42" t="s">
        <v>67</v>
      </c>
    </row>
    <row r="9" spans="1:3">
      <c r="A9" s="3" t="s">
        <v>8</v>
      </c>
      <c r="C9" s="42"/>
    </row>
    <row r="10" spans="1:3">
      <c r="A10" s="1" t="s">
        <v>68</v>
      </c>
      <c r="B10" s="1">
        <f>B4-B3</f>
        <v>80</v>
      </c>
      <c r="C10" s="42"/>
    </row>
    <row r="11" spans="1:3">
      <c r="A11" s="1" t="s">
        <v>12</v>
      </c>
      <c r="B11" s="47">
        <f>B10/365</f>
        <v>0.21917808219178081</v>
      </c>
      <c r="C11" s="42" t="s">
        <v>69</v>
      </c>
    </row>
    <row r="12" spans="1:3">
      <c r="A12" s="1" t="s">
        <v>22</v>
      </c>
      <c r="B12" s="47">
        <f>1/(1+B8*B10/360)</f>
        <v>0.98814229249011853</v>
      </c>
      <c r="C12" s="42" t="s">
        <v>70</v>
      </c>
    </row>
    <row r="13" spans="1:3">
      <c r="A13" s="1" t="s">
        <v>71</v>
      </c>
      <c r="B13" s="48">
        <f>(B7*B11^0.5)</f>
        <v>2.3408229439226113E-3</v>
      </c>
      <c r="C13" s="42" t="s">
        <v>72</v>
      </c>
    </row>
    <row r="14" spans="1:3">
      <c r="A14" s="3" t="s">
        <v>9</v>
      </c>
      <c r="C14" s="42"/>
    </row>
    <row r="15" spans="1:3">
      <c r="A15" s="2" t="s">
        <v>73</v>
      </c>
      <c r="B15" s="48">
        <f>B2*(B5-B6)/B13</f>
        <v>0.17088007490637627</v>
      </c>
      <c r="C15" s="42" t="s">
        <v>74</v>
      </c>
    </row>
    <row r="16" spans="1:3">
      <c r="A16" s="1" t="s">
        <v>75</v>
      </c>
      <c r="B16" s="48">
        <f>NORMSDIST(B15)</f>
        <v>0.56784096793149308</v>
      </c>
      <c r="C16" s="42" t="s">
        <v>76</v>
      </c>
    </row>
    <row r="17" spans="1:3">
      <c r="A17" s="1" t="s">
        <v>77</v>
      </c>
      <c r="B17" s="48">
        <f>NORMDIST(B15,0,1,FALSE)</f>
        <v>0.39316003620179363</v>
      </c>
      <c r="C17" s="42" t="s">
        <v>78</v>
      </c>
    </row>
    <row r="18" spans="1:3">
      <c r="A18" s="49" t="s">
        <v>79</v>
      </c>
      <c r="B18" s="50">
        <f>B13*(B15*B16+B17)</f>
        <v>1.1474544205472344E-3</v>
      </c>
      <c r="C18" s="42" t="s">
        <v>80</v>
      </c>
    </row>
    <row r="19" spans="1:3">
      <c r="A19" s="51" t="s">
        <v>81</v>
      </c>
      <c r="B19" s="52">
        <f>B12*B18</f>
        <v>1.1338482416474649E-3</v>
      </c>
      <c r="C19" s="42" t="s">
        <v>82</v>
      </c>
    </row>
    <row r="20" spans="1:3">
      <c r="A20" s="22" t="s">
        <v>83</v>
      </c>
      <c r="B20" s="53">
        <f>2500*B19*100</f>
        <v>283.46206041186622</v>
      </c>
      <c r="C20" s="42" t="s">
        <v>84</v>
      </c>
    </row>
    <row r="21" spans="1:3">
      <c r="A21" s="22" t="s">
        <v>85</v>
      </c>
      <c r="B21" s="54">
        <f>B2*B12*B16</f>
        <v>-0.56110767582163346</v>
      </c>
      <c r="C21" s="42" t="s">
        <v>86</v>
      </c>
    </row>
    <row r="22" spans="1:3">
      <c r="A22" s="22" t="s">
        <v>24</v>
      </c>
      <c r="B22" s="55">
        <f>B12*B17/B13</f>
        <v>165.96644376567693</v>
      </c>
      <c r="C22" s="42" t="s">
        <v>87</v>
      </c>
    </row>
    <row r="23" spans="1:3">
      <c r="A23" s="22" t="s">
        <v>25</v>
      </c>
      <c r="B23" s="56">
        <f>B12*B11^0.5*B17</f>
        <v>0.18188103426375551</v>
      </c>
      <c r="C23" s="42" t="s">
        <v>88</v>
      </c>
    </row>
    <row r="24" spans="1:3">
      <c r="A24" s="22" t="s">
        <v>26</v>
      </c>
      <c r="B24" s="56">
        <f>B8*B19-0.5*B7*B17*B12/B11^0.5</f>
        <v>-2.0133527420219985E-3</v>
      </c>
      <c r="C24" s="42" t="s">
        <v>89</v>
      </c>
    </row>
    <row r="42" spans="4:4">
      <c r="D42"/>
    </row>
  </sheetData>
  <mergeCells count="1">
    <mergeCell ref="A1:B1"/>
  </mergeCells>
  <phoneticPr fontId="1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E27E6-E9C2-48CB-BF21-6D03AF162EBE}">
  <sheetPr codeName="Sheet15"/>
  <dimension ref="A1:O44"/>
  <sheetViews>
    <sheetView zoomScaleNormal="100" workbookViewId="0">
      <selection activeCell="B10" sqref="B10"/>
    </sheetView>
  </sheetViews>
  <sheetFormatPr defaultColWidth="7.33203125" defaultRowHeight="16.5"/>
  <cols>
    <col min="1" max="1" width="22.1640625" style="1" bestFit="1" customWidth="1"/>
    <col min="2" max="2" width="10.1640625" style="1" bestFit="1" customWidth="1"/>
    <col min="3" max="3" width="19.9140625" style="1" bestFit="1" customWidth="1"/>
    <col min="4" max="4" width="2" style="60" customWidth="1"/>
    <col min="5" max="5" width="8.58203125" style="60" customWidth="1"/>
    <col min="6" max="6" width="8.4140625" style="60" bestFit="1" customWidth="1"/>
    <col min="7" max="8" width="8.83203125" style="60" customWidth="1"/>
    <col min="9" max="9" width="11.08203125" style="60" bestFit="1" customWidth="1"/>
    <col min="10" max="10" width="7.4140625" style="60" bestFit="1" customWidth="1"/>
    <col min="11" max="11" width="9.75" style="60" bestFit="1" customWidth="1"/>
    <col min="12" max="12" width="8.08203125" style="60" bestFit="1" customWidth="1"/>
    <col min="13" max="16384" width="7.33203125" style="60"/>
  </cols>
  <sheetData>
    <row r="1" spans="1:11" ht="16.5" customHeight="1">
      <c r="A1" s="58" t="s">
        <v>90</v>
      </c>
      <c r="B1" s="58"/>
      <c r="C1" s="59" t="s">
        <v>59</v>
      </c>
      <c r="K1" s="60" t="s">
        <v>91</v>
      </c>
    </row>
    <row r="2" spans="1:11" ht="16.5" customHeight="1">
      <c r="A2" s="40" t="s">
        <v>60</v>
      </c>
      <c r="B2" s="41">
        <v>1</v>
      </c>
      <c r="C2" s="61"/>
      <c r="E2" s="62" t="s">
        <v>92</v>
      </c>
      <c r="F2" s="63"/>
      <c r="G2" s="63"/>
      <c r="H2" s="63"/>
      <c r="I2" s="63"/>
    </row>
    <row r="3" spans="1:11">
      <c r="A3" s="40" t="s">
        <v>61</v>
      </c>
      <c r="B3" s="43">
        <v>45195</v>
      </c>
      <c r="C3" s="61"/>
      <c r="E3" s="64" t="s">
        <v>93</v>
      </c>
      <c r="F3" s="65" t="s">
        <v>94</v>
      </c>
      <c r="G3" s="65"/>
      <c r="H3" s="64" t="s">
        <v>95</v>
      </c>
      <c r="I3" s="64"/>
    </row>
    <row r="4" spans="1:11">
      <c r="A4" s="1" t="s">
        <v>62</v>
      </c>
      <c r="B4" s="43">
        <v>45561</v>
      </c>
      <c r="C4" s="61"/>
      <c r="E4" s="66" t="s">
        <v>96</v>
      </c>
      <c r="F4" s="67" t="s">
        <v>97</v>
      </c>
      <c r="G4" s="66" t="s">
        <v>98</v>
      </c>
      <c r="H4" s="66" t="s">
        <v>96</v>
      </c>
      <c r="I4" s="66" t="s">
        <v>99</v>
      </c>
    </row>
    <row r="5" spans="1:11">
      <c r="A5" s="1" t="s">
        <v>100</v>
      </c>
      <c r="B5" s="44">
        <f>H9</f>
        <v>4.2498191801040572E-2</v>
      </c>
      <c r="C5" s="61" t="s">
        <v>101</v>
      </c>
      <c r="E5" s="68">
        <v>45565</v>
      </c>
      <c r="F5" s="64"/>
      <c r="G5" s="69"/>
      <c r="H5" s="70">
        <v>0.94694604203368204</v>
      </c>
      <c r="I5" s="71"/>
    </row>
    <row r="6" spans="1:11">
      <c r="A6" s="1" t="s">
        <v>102</v>
      </c>
      <c r="B6" s="44">
        <f>H9</f>
        <v>4.2498191801040572E-2</v>
      </c>
      <c r="C6" s="61" t="s">
        <v>101</v>
      </c>
      <c r="E6" s="68">
        <v>45930</v>
      </c>
      <c r="F6" s="72">
        <f>(E6-E5)/360</f>
        <v>1.0138888888888888</v>
      </c>
      <c r="G6" s="61" t="s">
        <v>103</v>
      </c>
      <c r="H6" s="73">
        <v>0.90533677344257701</v>
      </c>
      <c r="I6" s="74"/>
    </row>
    <row r="7" spans="1:11">
      <c r="A7" s="1" t="s">
        <v>65</v>
      </c>
      <c r="B7" s="44">
        <v>1.3471E-2</v>
      </c>
      <c r="C7" s="61"/>
      <c r="E7" s="68">
        <v>46295</v>
      </c>
      <c r="F7" s="72">
        <f>(E7-E6)/360</f>
        <v>1.0138888888888888</v>
      </c>
      <c r="G7" s="75" t="s">
        <v>104</v>
      </c>
      <c r="H7" s="73">
        <v>0.87043097214528098</v>
      </c>
      <c r="I7" s="64"/>
    </row>
    <row r="8" spans="1:11" ht="23.5">
      <c r="A8" s="76" t="s">
        <v>66</v>
      </c>
      <c r="B8" s="42"/>
      <c r="C8" s="61"/>
      <c r="E8" s="64"/>
      <c r="F8" s="64"/>
      <c r="G8" s="77" t="s">
        <v>105</v>
      </c>
      <c r="H8" s="78">
        <f>SUMPRODUCT(F6:F7,H6:H7)</f>
        <v>1.8004311864988003</v>
      </c>
      <c r="I8" s="79" t="s">
        <v>106</v>
      </c>
    </row>
    <row r="9" spans="1:11">
      <c r="A9" s="3" t="s">
        <v>8</v>
      </c>
      <c r="C9" s="61"/>
      <c r="G9" s="80" t="s">
        <v>107</v>
      </c>
      <c r="H9" s="81">
        <f>(H5-H7)/H8</f>
        <v>4.2498191801040572E-2</v>
      </c>
      <c r="I9" s="61" t="s">
        <v>108</v>
      </c>
    </row>
    <row r="10" spans="1:11">
      <c r="A10" s="1" t="s">
        <v>68</v>
      </c>
      <c r="B10" s="1">
        <f>B4-B3</f>
        <v>366</v>
      </c>
      <c r="C10" s="61"/>
    </row>
    <row r="11" spans="1:11">
      <c r="A11" s="1" t="s">
        <v>12</v>
      </c>
      <c r="B11" s="47">
        <f>H14</f>
        <v>1.0007261022531626</v>
      </c>
      <c r="C11" s="61" t="s">
        <v>109</v>
      </c>
      <c r="E11" s="62" t="s">
        <v>110</v>
      </c>
      <c r="F11" s="62"/>
      <c r="G11" s="62"/>
      <c r="H11" s="62"/>
      <c r="I11" s="82"/>
    </row>
    <row r="12" spans="1:11">
      <c r="A12" s="1" t="s">
        <v>111</v>
      </c>
      <c r="B12" s="47">
        <f>H8</f>
        <v>1.8004311864988003</v>
      </c>
      <c r="C12" s="61" t="s">
        <v>112</v>
      </c>
      <c r="E12" s="83">
        <v>45195</v>
      </c>
      <c r="F12" s="83">
        <v>45292</v>
      </c>
      <c r="G12" s="64">
        <f>F12-E12</f>
        <v>97</v>
      </c>
      <c r="H12" s="60">
        <f>G12/365</f>
        <v>0.26575342465753427</v>
      </c>
      <c r="I12" s="61" t="s">
        <v>113</v>
      </c>
    </row>
    <row r="13" spans="1:11">
      <c r="A13" s="1" t="s">
        <v>71</v>
      </c>
      <c r="B13" s="48">
        <f>(B7*B11^0.5)</f>
        <v>1.3475889774268215E-2</v>
      </c>
      <c r="C13" s="61" t="s">
        <v>72</v>
      </c>
      <c r="E13" s="84">
        <v>45292</v>
      </c>
      <c r="F13" s="84">
        <v>45561</v>
      </c>
      <c r="G13" s="67">
        <f>F13-E13</f>
        <v>269</v>
      </c>
      <c r="H13" s="82">
        <f>G13/366</f>
        <v>0.73497267759562845</v>
      </c>
      <c r="I13" s="61" t="s">
        <v>114</v>
      </c>
    </row>
    <row r="14" spans="1:11">
      <c r="A14" s="3" t="s">
        <v>9</v>
      </c>
      <c r="C14" s="61"/>
      <c r="H14" s="85">
        <f>H13+H12</f>
        <v>1.0007261022531626</v>
      </c>
    </row>
    <row r="15" spans="1:11">
      <c r="A15" s="2" t="s">
        <v>73</v>
      </c>
      <c r="B15" s="48">
        <f>B2*(B5-B6)/B13</f>
        <v>0</v>
      </c>
      <c r="C15" s="61" t="s">
        <v>74</v>
      </c>
    </row>
    <row r="16" spans="1:11">
      <c r="A16" s="1" t="s">
        <v>75</v>
      </c>
      <c r="B16" s="48">
        <f>NORMSDIST(B15)</f>
        <v>0.5</v>
      </c>
      <c r="C16" s="61" t="s">
        <v>76</v>
      </c>
    </row>
    <row r="17" spans="1:15">
      <c r="A17" s="1" t="s">
        <v>77</v>
      </c>
      <c r="B17" s="48">
        <f>NORMDIST(B15,0,1,FALSE)</f>
        <v>0.3989422804014327</v>
      </c>
      <c r="C17" s="61" t="s">
        <v>78</v>
      </c>
    </row>
    <row r="18" spans="1:15">
      <c r="A18" s="49" t="s">
        <v>79</v>
      </c>
      <c r="B18" s="50">
        <f>B13*(B15*B16+B17)</f>
        <v>5.3761021969849099E-3</v>
      </c>
      <c r="C18" s="61" t="s">
        <v>80</v>
      </c>
    </row>
    <row r="19" spans="1:15">
      <c r="A19" s="51" t="s">
        <v>81</v>
      </c>
      <c r="B19" s="52">
        <f>B12*B18</f>
        <v>9.679302057256348E-3</v>
      </c>
      <c r="C19" s="61" t="s">
        <v>82</v>
      </c>
    </row>
    <row r="20" spans="1:15">
      <c r="A20" s="22" t="s">
        <v>115</v>
      </c>
      <c r="B20" s="53">
        <f>B19*10^7</f>
        <v>96793.020572563473</v>
      </c>
      <c r="C20" s="61" t="s">
        <v>116</v>
      </c>
    </row>
    <row r="21" spans="1:15" ht="14">
      <c r="A21" s="60"/>
      <c r="B21" s="60"/>
      <c r="C21" s="60"/>
    </row>
    <row r="22" spans="1:15" ht="14">
      <c r="A22" s="60"/>
      <c r="B22" s="60"/>
      <c r="C22" s="60"/>
    </row>
    <row r="23" spans="1:15" ht="14">
      <c r="A23" s="60"/>
      <c r="B23" s="60"/>
      <c r="C23" s="60"/>
    </row>
    <row r="24" spans="1:15" ht="14">
      <c r="A24" s="60"/>
      <c r="B24" s="60"/>
      <c r="C24" s="60"/>
    </row>
    <row r="30" spans="1:15">
      <c r="J30" s="68"/>
      <c r="K30" s="86"/>
      <c r="L30" s="68"/>
      <c r="N30" s="68"/>
      <c r="O30" s="87"/>
    </row>
    <row r="31" spans="1:15">
      <c r="J31" s="87"/>
      <c r="K31" s="88"/>
      <c r="L31" s="88"/>
      <c r="N31" s="86"/>
      <c r="O31" s="88"/>
    </row>
    <row r="32" spans="1:15">
      <c r="N32" s="68"/>
      <c r="O32" s="88"/>
    </row>
    <row r="44" spans="11:11">
      <c r="K44" s="60" t="s">
        <v>117</v>
      </c>
    </row>
  </sheetData>
  <mergeCells count="2">
    <mergeCell ref="A1:B1"/>
    <mergeCell ref="F3:G3"/>
  </mergeCells>
  <phoneticPr fontId="1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E567-5335-444C-A407-5EB69EDE9329}">
  <sheetPr codeName="Sheet6"/>
  <dimension ref="A1:L30"/>
  <sheetViews>
    <sheetView tabSelected="1" zoomScaleNormal="100" workbookViewId="0">
      <selection activeCell="B19" sqref="B19"/>
    </sheetView>
  </sheetViews>
  <sheetFormatPr defaultColWidth="8" defaultRowHeight="16.5"/>
  <cols>
    <col min="1" max="1" width="25.1640625" style="1" customWidth="1"/>
    <col min="2" max="2" width="13.58203125" style="1" bestFit="1" customWidth="1"/>
    <col min="3" max="3" width="20.83203125" style="1" bestFit="1" customWidth="1"/>
    <col min="4" max="4" width="8" style="89"/>
    <col min="5" max="5" width="8.58203125" style="89" bestFit="1" customWidth="1"/>
    <col min="6" max="7" width="9.1640625" style="89" bestFit="1" customWidth="1"/>
    <col min="8" max="10" width="8" style="89"/>
    <col min="11" max="11" width="9.33203125" style="89" bestFit="1" customWidth="1"/>
    <col min="12" max="16384" width="8" style="89"/>
  </cols>
  <sheetData>
    <row r="1" spans="1:4">
      <c r="A1" s="58" t="s">
        <v>118</v>
      </c>
      <c r="B1" s="58"/>
      <c r="C1" s="39" t="s">
        <v>59</v>
      </c>
      <c r="D1"/>
    </row>
    <row r="2" spans="1:4">
      <c r="A2" s="40" t="s">
        <v>60</v>
      </c>
      <c r="B2" s="41">
        <v>1</v>
      </c>
      <c r="C2" s="61"/>
    </row>
    <row r="3" spans="1:4">
      <c r="A3" s="40" t="s">
        <v>61</v>
      </c>
      <c r="B3" s="43">
        <v>45195</v>
      </c>
      <c r="C3" s="61"/>
    </row>
    <row r="4" spans="1:4">
      <c r="A4" s="1" t="s">
        <v>119</v>
      </c>
      <c r="B4" s="43">
        <v>45469</v>
      </c>
      <c r="C4" s="61"/>
    </row>
    <row r="5" spans="1:4">
      <c r="A5" s="1" t="s">
        <v>120</v>
      </c>
      <c r="B5" s="44">
        <v>5.1658599999999999E-2</v>
      </c>
      <c r="C5" s="61" t="s">
        <v>121</v>
      </c>
    </row>
    <row r="6" spans="1:4">
      <c r="A6" s="1" t="s">
        <v>122</v>
      </c>
      <c r="B6" s="44">
        <v>0.05</v>
      </c>
      <c r="C6" s="61"/>
    </row>
    <row r="7" spans="1:4">
      <c r="A7" s="1" t="s">
        <v>65</v>
      </c>
      <c r="B7" s="44">
        <v>8.8000000000000005E-3</v>
      </c>
      <c r="C7" s="61"/>
    </row>
    <row r="8" spans="1:4">
      <c r="A8" s="90" t="s">
        <v>123</v>
      </c>
      <c r="B8" s="41">
        <v>94</v>
      </c>
      <c r="C8" s="61" t="s">
        <v>124</v>
      </c>
    </row>
    <row r="9" spans="1:4">
      <c r="A9" s="3" t="s">
        <v>8</v>
      </c>
      <c r="C9" s="61"/>
    </row>
    <row r="10" spans="1:4">
      <c r="A10" s="1" t="s">
        <v>68</v>
      </c>
      <c r="B10" s="1">
        <f>B4-B3</f>
        <v>274</v>
      </c>
      <c r="C10" s="61" t="s">
        <v>125</v>
      </c>
    </row>
    <row r="11" spans="1:4">
      <c r="A11" s="1" t="s">
        <v>12</v>
      </c>
      <c r="B11" s="47">
        <f>B10/365</f>
        <v>0.75068493150684934</v>
      </c>
      <c r="C11" s="61" t="s">
        <v>69</v>
      </c>
    </row>
    <row r="12" spans="1:4">
      <c r="A12" s="1" t="s">
        <v>22</v>
      </c>
      <c r="B12" s="47">
        <v>0.94694599999999995</v>
      </c>
      <c r="C12" s="61" t="s">
        <v>126</v>
      </c>
    </row>
    <row r="13" spans="1:4">
      <c r="A13" s="1" t="s">
        <v>71</v>
      </c>
      <c r="B13" s="48">
        <f>B7*B11^0.5</f>
        <v>7.624502678594219E-3</v>
      </c>
      <c r="C13" s="61" t="s">
        <v>127</v>
      </c>
    </row>
    <row r="14" spans="1:4">
      <c r="A14" s="3" t="s">
        <v>9</v>
      </c>
      <c r="C14" s="61"/>
    </row>
    <row r="15" spans="1:4">
      <c r="A15" s="2" t="s">
        <v>73</v>
      </c>
      <c r="B15" s="48">
        <f>B2*(B5-B6)/B13</f>
        <v>0.21753549968006614</v>
      </c>
      <c r="C15" s="61" t="s">
        <v>74</v>
      </c>
    </row>
    <row r="16" spans="1:4">
      <c r="A16" s="1" t="s">
        <v>75</v>
      </c>
      <c r="B16" s="48">
        <f>NORMSDIST(B15)</f>
        <v>0.58610447771881158</v>
      </c>
      <c r="C16" s="61" t="s">
        <v>76</v>
      </c>
    </row>
    <row r="17" spans="1:12">
      <c r="A17" s="1" t="s">
        <v>77</v>
      </c>
      <c r="B17" s="48">
        <f>NORMDIST(B15,0,1,FALSE)</f>
        <v>0.38961376371967293</v>
      </c>
      <c r="C17" s="61" t="s">
        <v>78</v>
      </c>
    </row>
    <row r="18" spans="1:12">
      <c r="A18" s="49" t="s">
        <v>79</v>
      </c>
      <c r="B18" s="50">
        <f>B13*(B15*B16+B17)</f>
        <v>3.9427240718422404E-3</v>
      </c>
      <c r="C18" s="61" t="s">
        <v>80</v>
      </c>
    </row>
    <row r="19" spans="1:12">
      <c r="A19" s="51" t="s">
        <v>128</v>
      </c>
      <c r="B19" s="91">
        <f>B12*10^7*B8/360*B18</f>
        <v>9748.7055044406625</v>
      </c>
      <c r="C19" s="61" t="s">
        <v>129</v>
      </c>
    </row>
    <row r="20" spans="1:12">
      <c r="C20" s="90"/>
    </row>
    <row r="21" spans="1:12">
      <c r="A21" s="89"/>
      <c r="B21" s="89"/>
      <c r="C21" s="89"/>
    </row>
    <row r="22" spans="1:12">
      <c r="A22" s="89"/>
      <c r="B22" s="89"/>
      <c r="C22" s="89"/>
    </row>
    <row r="23" spans="1:12">
      <c r="A23" s="89"/>
      <c r="B23" s="89"/>
      <c r="C23" s="89"/>
    </row>
    <row r="24" spans="1:12">
      <c r="A24" s="89"/>
      <c r="B24" s="89"/>
      <c r="C24" s="89"/>
    </row>
    <row r="25" spans="1:12">
      <c r="A25" s="89"/>
      <c r="B25" s="89"/>
      <c r="C25" s="89"/>
    </row>
    <row r="26" spans="1:12">
      <c r="A26" s="89"/>
      <c r="B26" s="89"/>
      <c r="C26" s="89"/>
    </row>
    <row r="30" spans="1:12">
      <c r="L30"/>
    </row>
  </sheetData>
  <mergeCells count="1">
    <mergeCell ref="A1:B1"/>
  </mergeCells>
  <phoneticPr fontId="1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6.1</vt:lpstr>
      <vt:lpstr>6.2</vt:lpstr>
      <vt:lpstr>7.4</vt:lpstr>
      <vt:lpstr>7.7</vt:lpstr>
      <vt:lpstr>7.12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 O</cp:lastModifiedBy>
  <dcterms:created xsi:type="dcterms:W3CDTF">2022-05-24T11:24:28Z</dcterms:created>
  <dcterms:modified xsi:type="dcterms:W3CDTF">2024-01-06T02:17:00Z</dcterms:modified>
</cp:coreProperties>
</file>