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itas\Desktop\Last War\Overall\"/>
    </mc:Choice>
  </mc:AlternateContent>
  <xr:revisionPtr revIDLastSave="0" documentId="13_ncr:1_{C989DAB1-CE83-46C3-A7E9-D411DEB0E7C4}" xr6:coauthVersionLast="45" xr6:coauthVersionMax="45" xr10:uidLastSave="{00000000-0000-0000-0000-000000000000}"/>
  <bookViews>
    <workbookView xWindow="-28920" yWindow="-120" windowWidth="29040" windowHeight="15840" firstSheet="4" activeTab="11" xr2:uid="{082234C1-43FA-4CD1-86E8-1A99C001D5E8}"/>
  </bookViews>
  <sheets>
    <sheet name="Konstruktion" sheetId="1" r:id="rId1"/>
    <sheet name="Forschung" sheetId="3" r:id="rId2"/>
    <sheet name="Rohstoffe" sheetId="5" r:id="rId3"/>
    <sheet name="Lagerkapazität" sheetId="2" r:id="rId4"/>
    <sheet name="Bankkapazität" sheetId="13" r:id="rId5"/>
    <sheet name="Tagesproduktion" sheetId="10" r:id="rId6"/>
    <sheet name="Frühwarnradius" sheetId="4" r:id="rId7"/>
    <sheet name="Tarnreichweite" sheetId="8" r:id="rId8"/>
    <sheet name="Flugzeitrechner" sheetId="11" r:id="rId9"/>
    <sheet name="Geheimdienstzentrum" sheetId="14" r:id="rId10"/>
    <sheet name="KS-Simulator" sheetId="9" r:id="rId11"/>
    <sheet name="Releasenotes" sheetId="12" r:id="rId12"/>
  </sheets>
  <externalReferences>
    <externalReference r:id="rId13"/>
  </externalReferences>
  <definedNames>
    <definedName name="Antrieb">[1]Komponenten!$C$5:$Y$14</definedName>
    <definedName name="Forschung">[1]Forschungen!$B$6:$C$31</definedName>
    <definedName name="Rassen">[1]Rassen!$A$2:$A$5</definedName>
    <definedName name="Rumpf">[1]Komponenten!$C$2:$M$4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4" i="5" l="1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S4" i="14" l="1"/>
  <c r="W32" i="14"/>
  <c r="W31" i="14"/>
  <c r="W30" i="14"/>
  <c r="W29" i="14"/>
  <c r="W28" i="14"/>
  <c r="W27" i="14"/>
  <c r="W26" i="14"/>
  <c r="W25" i="14"/>
  <c r="W24" i="14"/>
  <c r="W23" i="14"/>
  <c r="W22" i="14"/>
  <c r="W21" i="14"/>
  <c r="W20" i="14"/>
  <c r="W19" i="14"/>
  <c r="W18" i="14"/>
  <c r="W17" i="14"/>
  <c r="W16" i="14"/>
  <c r="W15" i="14"/>
  <c r="W14" i="14"/>
  <c r="W13" i="14"/>
  <c r="W12" i="14"/>
  <c r="W11" i="14"/>
  <c r="W10" i="14"/>
  <c r="W9" i="14"/>
  <c r="W8" i="14"/>
  <c r="W7" i="14"/>
  <c r="W6" i="14"/>
  <c r="W5" i="14"/>
  <c r="W4" i="14"/>
  <c r="W3" i="14"/>
  <c r="W33" i="14" s="1"/>
  <c r="S29" i="14"/>
  <c r="S28" i="14"/>
  <c r="S27" i="14"/>
  <c r="S26" i="14"/>
  <c r="S25" i="14"/>
  <c r="S24" i="14"/>
  <c r="S23" i="14"/>
  <c r="S22" i="14"/>
  <c r="S21" i="14"/>
  <c r="S20" i="14"/>
  <c r="S19" i="14"/>
  <c r="S18" i="14"/>
  <c r="S17" i="14"/>
  <c r="S16" i="14"/>
  <c r="S15" i="14"/>
  <c r="S14" i="14"/>
  <c r="S13" i="14"/>
  <c r="S12" i="14"/>
  <c r="S11" i="14"/>
  <c r="S10" i="14"/>
  <c r="S9" i="14"/>
  <c r="S8" i="14"/>
  <c r="S7" i="14"/>
  <c r="S6" i="14"/>
  <c r="S5" i="14"/>
  <c r="S3" i="14"/>
  <c r="S30" i="14" l="1"/>
  <c r="N8" i="14" s="1"/>
  <c r="H10" i="14" s="1"/>
  <c r="O6" i="14"/>
  <c r="K11" i="14" s="1"/>
  <c r="F9" i="14" l="1"/>
  <c r="E4" i="14"/>
  <c r="H11" i="14"/>
  <c r="G6" i="14"/>
  <c r="F8" i="14"/>
  <c r="F10" i="14"/>
  <c r="F11" i="14"/>
  <c r="E10" i="14"/>
  <c r="H6" i="14"/>
  <c r="H4" i="14"/>
  <c r="D6" i="14"/>
  <c r="F5" i="14"/>
  <c r="E11" i="14"/>
  <c r="H9" i="14"/>
  <c r="E8" i="14"/>
  <c r="D3" i="14"/>
  <c r="G9" i="14"/>
  <c r="G4" i="14"/>
  <c r="G11" i="14"/>
  <c r="D5" i="14"/>
  <c r="D11" i="14"/>
  <c r="I7" i="14"/>
  <c r="F6" i="14"/>
  <c r="G10" i="14"/>
  <c r="D8" i="14"/>
  <c r="E5" i="14"/>
  <c r="E3" i="14"/>
  <c r="D9" i="14"/>
  <c r="F3" i="14"/>
  <c r="E9" i="14"/>
  <c r="D10" i="14"/>
  <c r="K9" i="14"/>
  <c r="K6" i="14"/>
  <c r="K10" i="14"/>
  <c r="K4" i="14"/>
  <c r="K8" i="14"/>
  <c r="K5" i="14"/>
  <c r="K3" i="14"/>
  <c r="K7" i="14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D10" i="9"/>
  <c r="D5" i="9"/>
  <c r="H22" i="11"/>
  <c r="K20" i="3" l="1"/>
  <c r="H27" i="3" l="1"/>
  <c r="G27" i="3"/>
  <c r="D27" i="3"/>
  <c r="H20" i="3"/>
  <c r="F20" i="3"/>
  <c r="X8" i="1" l="1"/>
  <c r="G15" i="3"/>
  <c r="F15" i="3"/>
  <c r="H9" i="11" l="1"/>
  <c r="H21" i="11" s="1"/>
  <c r="D4" i="11"/>
  <c r="H20" i="11" l="1"/>
  <c r="H19" i="11"/>
  <c r="H13" i="11"/>
  <c r="H11" i="11"/>
  <c r="H12" i="11"/>
  <c r="K11" i="1"/>
  <c r="H14" i="11" l="1"/>
  <c r="D10" i="11" l="1"/>
  <c r="D9" i="11"/>
  <c r="D8" i="11"/>
  <c r="D7" i="11"/>
  <c r="D6" i="11"/>
  <c r="D5" i="11"/>
  <c r="D21" i="11"/>
  <c r="D20" i="11"/>
  <c r="D19" i="11"/>
  <c r="D18" i="11"/>
  <c r="D17" i="11"/>
  <c r="D16" i="11"/>
  <c r="D15" i="11"/>
  <c r="D14" i="11"/>
  <c r="D13" i="11"/>
  <c r="D12" i="11"/>
  <c r="D11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C104" i="11" l="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E5" i="11"/>
  <c r="E4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O10" i="10" l="1"/>
  <c r="N10" i="10"/>
  <c r="L10" i="10"/>
  <c r="J10" i="10"/>
  <c r="H10" i="10"/>
  <c r="F10" i="10"/>
  <c r="D10" i="10"/>
  <c r="O9" i="10"/>
  <c r="N9" i="10"/>
  <c r="L9" i="10"/>
  <c r="J9" i="10"/>
  <c r="H9" i="10"/>
  <c r="F9" i="10"/>
  <c r="D9" i="10"/>
  <c r="O8" i="10"/>
  <c r="N8" i="10"/>
  <c r="L8" i="10"/>
  <c r="J8" i="10"/>
  <c r="H8" i="10"/>
  <c r="F8" i="10"/>
  <c r="D8" i="10"/>
  <c r="O7" i="10"/>
  <c r="N7" i="10"/>
  <c r="L7" i="10"/>
  <c r="J7" i="10"/>
  <c r="H7" i="10"/>
  <c r="F7" i="10"/>
  <c r="D7" i="10"/>
  <c r="O6" i="10"/>
  <c r="N6" i="10"/>
  <c r="L6" i="10"/>
  <c r="J6" i="10"/>
  <c r="H6" i="10"/>
  <c r="F6" i="10"/>
  <c r="D6" i="10"/>
  <c r="O5" i="10"/>
  <c r="N5" i="10"/>
  <c r="L5" i="10"/>
  <c r="J5" i="10"/>
  <c r="H5" i="10"/>
  <c r="F5" i="10"/>
  <c r="D5" i="10"/>
  <c r="P5" i="10" l="1"/>
  <c r="P9" i="10"/>
  <c r="P8" i="10"/>
  <c r="P7" i="10"/>
  <c r="P6" i="10"/>
  <c r="P10" i="10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25" i="8"/>
  <c r="D24" i="8"/>
  <c r="D23" i="8"/>
  <c r="D22" i="8"/>
  <c r="D21" i="8"/>
  <c r="D20" i="8"/>
  <c r="D19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8" i="8"/>
  <c r="D17" i="8"/>
  <c r="D16" i="8"/>
  <c r="D15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14" i="8"/>
  <c r="D13" i="8"/>
  <c r="D12" i="8"/>
  <c r="D11" i="8"/>
  <c r="D10" i="8"/>
  <c r="D9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D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4"/>
  <c r="D6" i="4"/>
  <c r="E6" i="4"/>
  <c r="D9" i="4"/>
  <c r="D10" i="4"/>
  <c r="D11" i="4"/>
  <c r="D12" i="4"/>
  <c r="D13" i="4"/>
  <c r="D14" i="4"/>
  <c r="D15" i="4"/>
  <c r="D16" i="4"/>
  <c r="D8" i="4"/>
  <c r="D7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K6" i="5" l="1"/>
  <c r="K12" i="5" s="1"/>
  <c r="K9" i="5"/>
  <c r="D11" i="5" l="1"/>
  <c r="K15" i="5"/>
  <c r="D5" i="5"/>
  <c r="D8" i="5"/>
  <c r="D9" i="5"/>
  <c r="D6" i="5"/>
  <c r="D10" i="5"/>
  <c r="D7" i="5"/>
  <c r="K14" i="5"/>
  <c r="K13" i="5"/>
  <c r="K11" i="5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K37" i="3"/>
  <c r="K35" i="3"/>
  <c r="K34" i="3"/>
  <c r="K33" i="3"/>
  <c r="K32" i="3"/>
  <c r="K30" i="3"/>
  <c r="K29" i="3"/>
  <c r="K28" i="3"/>
  <c r="K27" i="3"/>
  <c r="K26" i="3"/>
  <c r="K25" i="3"/>
  <c r="K24" i="3"/>
  <c r="K23" i="3"/>
  <c r="K22" i="3"/>
  <c r="K21" i="3"/>
  <c r="K19" i="3"/>
  <c r="K18" i="3"/>
  <c r="K17" i="3"/>
  <c r="K16" i="3"/>
  <c r="K15" i="3"/>
  <c r="K14" i="3"/>
  <c r="K12" i="3"/>
  <c r="K11" i="3"/>
  <c r="K10" i="3"/>
  <c r="K9" i="3"/>
  <c r="K8" i="3"/>
  <c r="K7" i="3"/>
  <c r="K6" i="3"/>
  <c r="K5" i="3"/>
  <c r="H37" i="3"/>
  <c r="I35" i="3"/>
  <c r="H35" i="3"/>
  <c r="G35" i="3"/>
  <c r="F35" i="3"/>
  <c r="E35" i="3"/>
  <c r="H34" i="3"/>
  <c r="G34" i="3"/>
  <c r="F34" i="3"/>
  <c r="E34" i="3"/>
  <c r="H33" i="3"/>
  <c r="F33" i="3"/>
  <c r="H32" i="3"/>
  <c r="G32" i="3"/>
  <c r="E32" i="3"/>
  <c r="F30" i="3"/>
  <c r="E30" i="3"/>
  <c r="D30" i="3"/>
  <c r="I29" i="3"/>
  <c r="H29" i="3"/>
  <c r="G29" i="3"/>
  <c r="D29" i="3"/>
  <c r="F28" i="3"/>
  <c r="D28" i="3"/>
  <c r="F26" i="3"/>
  <c r="E26" i="3"/>
  <c r="D26" i="3"/>
  <c r="E25" i="3"/>
  <c r="D25" i="3"/>
  <c r="H24" i="3"/>
  <c r="F24" i="3"/>
  <c r="E23" i="3"/>
  <c r="D23" i="3"/>
  <c r="E22" i="3"/>
  <c r="D22" i="3"/>
  <c r="H21" i="3"/>
  <c r="G21" i="3"/>
  <c r="F19" i="3"/>
  <c r="D19" i="3"/>
  <c r="F18" i="3"/>
  <c r="D18" i="3"/>
  <c r="E17" i="3"/>
  <c r="D17" i="3"/>
  <c r="I12" i="3"/>
  <c r="T12" i="3" s="1"/>
  <c r="F12" i="3"/>
  <c r="E11" i="3"/>
  <c r="D11" i="3"/>
  <c r="E10" i="3"/>
  <c r="D10" i="3"/>
  <c r="F6" i="3"/>
  <c r="E6" i="3"/>
  <c r="F5" i="3"/>
  <c r="E5" i="3"/>
  <c r="I37" i="3"/>
  <c r="G37" i="3"/>
  <c r="F37" i="3"/>
  <c r="E37" i="3"/>
  <c r="D37" i="3"/>
  <c r="E16" i="3"/>
  <c r="D16" i="3"/>
  <c r="H14" i="3"/>
  <c r="F14" i="3"/>
  <c r="H9" i="3"/>
  <c r="E8" i="3"/>
  <c r="D8" i="3"/>
  <c r="F7" i="3"/>
  <c r="E7" i="3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P8" i="3" l="1"/>
  <c r="Q5" i="3"/>
  <c r="P30" i="3"/>
  <c r="S20" i="3"/>
  <c r="P26" i="3"/>
  <c r="R29" i="3"/>
  <c r="Q34" i="3"/>
  <c r="S37" i="3"/>
  <c r="P7" i="3"/>
  <c r="P16" i="3"/>
  <c r="P6" i="3"/>
  <c r="O17" i="3"/>
  <c r="R21" i="3"/>
  <c r="O25" i="3"/>
  <c r="S29" i="3"/>
  <c r="Q33" i="3"/>
  <c r="R35" i="3"/>
  <c r="T37" i="3"/>
  <c r="P11" i="3"/>
  <c r="Q19" i="3"/>
  <c r="S21" i="3"/>
  <c r="P23" i="3"/>
  <c r="P25" i="3"/>
  <c r="O27" i="3"/>
  <c r="Q28" i="3"/>
  <c r="T29" i="3"/>
  <c r="P32" i="3"/>
  <c r="S33" i="3"/>
  <c r="S34" i="3"/>
  <c r="S35" i="3"/>
  <c r="C30" i="2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S40" i="1"/>
  <c r="R35" i="1"/>
  <c r="S27" i="1"/>
  <c r="S25" i="1"/>
  <c r="R24" i="1"/>
  <c r="Q17" i="1"/>
  <c r="T12" i="1"/>
  <c r="T11" i="1"/>
  <c r="T10" i="1"/>
  <c r="S8" i="1"/>
  <c r="Q7" i="1"/>
  <c r="R6" i="1"/>
  <c r="R5" i="1"/>
  <c r="S12" i="3"/>
  <c r="S8" i="3"/>
  <c r="S30" i="3"/>
  <c r="S26" i="3"/>
  <c r="S22" i="3"/>
  <c r="S18" i="3"/>
  <c r="R10" i="3"/>
  <c r="R6" i="3"/>
  <c r="R28" i="3"/>
  <c r="R24" i="3"/>
  <c r="R20" i="3"/>
  <c r="R16" i="3"/>
  <c r="Q8" i="3"/>
  <c r="Q22" i="3"/>
  <c r="Q32" i="3"/>
  <c r="P28" i="3"/>
  <c r="P24" i="3"/>
  <c r="P20" i="3"/>
  <c r="O12" i="3"/>
  <c r="O14" i="3"/>
  <c r="O32" i="3"/>
  <c r="T39" i="1"/>
  <c r="T13" i="1"/>
  <c r="R40" i="1"/>
  <c r="S41" i="1"/>
  <c r="R41" i="1"/>
  <c r="R39" i="1"/>
  <c r="T38" i="1"/>
  <c r="R13" i="1"/>
  <c r="T31" i="1"/>
  <c r="R36" i="1"/>
  <c r="S35" i="1"/>
  <c r="R34" i="1"/>
  <c r="S30" i="1"/>
  <c r="Q29" i="1"/>
  <c r="T25" i="1"/>
  <c r="S24" i="1"/>
  <c r="Q22" i="1"/>
  <c r="Q21" i="1"/>
  <c r="Q20" i="1"/>
  <c r="Q19" i="1"/>
  <c r="S17" i="1"/>
  <c r="R15" i="1"/>
  <c r="T8" i="1"/>
  <c r="T7" i="1"/>
  <c r="S6" i="1"/>
  <c r="S5" i="1"/>
  <c r="S5" i="3"/>
  <c r="S23" i="3"/>
  <c r="S19" i="3"/>
  <c r="S15" i="3"/>
  <c r="R11" i="3"/>
  <c r="R7" i="3"/>
  <c r="R25" i="3"/>
  <c r="R17" i="3"/>
  <c r="Q9" i="3"/>
  <c r="S36" i="1"/>
  <c r="T30" i="1"/>
  <c r="R28" i="1"/>
  <c r="T24" i="1"/>
  <c r="S21" i="1"/>
  <c r="S19" i="1"/>
  <c r="T15" i="1"/>
  <c r="R12" i="1"/>
  <c r="T6" i="1"/>
  <c r="S10" i="3"/>
  <c r="S28" i="3"/>
  <c r="R8" i="3"/>
  <c r="R26" i="3"/>
  <c r="R18" i="3"/>
  <c r="Q25" i="3"/>
  <c r="P29" i="3"/>
  <c r="P18" i="3"/>
  <c r="O6" i="3"/>
  <c r="O21" i="3"/>
  <c r="O33" i="3"/>
  <c r="O20" i="3"/>
  <c r="S29" i="1"/>
  <c r="S22" i="1"/>
  <c r="S6" i="3"/>
  <c r="R12" i="3"/>
  <c r="R22" i="3"/>
  <c r="Q10" i="3"/>
  <c r="Q23" i="3"/>
  <c r="P21" i="3"/>
  <c r="O9" i="3"/>
  <c r="O35" i="3"/>
  <c r="S28" i="1"/>
  <c r="T21" i="1"/>
  <c r="T19" i="1"/>
  <c r="S12" i="1"/>
  <c r="R10" i="1"/>
  <c r="Q21" i="3"/>
  <c r="P14" i="3"/>
  <c r="O34" i="3"/>
  <c r="S13" i="1"/>
  <c r="T29" i="1"/>
  <c r="R27" i="1"/>
  <c r="T20" i="1"/>
  <c r="S18" i="1"/>
  <c r="T14" i="1"/>
  <c r="S11" i="1"/>
  <c r="Q8" i="1"/>
  <c r="S7" i="3"/>
  <c r="S25" i="3"/>
  <c r="S17" i="3"/>
  <c r="R5" i="3"/>
  <c r="R23" i="3"/>
  <c r="Q11" i="3"/>
  <c r="Q29" i="3"/>
  <c r="P12" i="3"/>
  <c r="P27" i="3"/>
  <c r="P33" i="3"/>
  <c r="O5" i="3"/>
  <c r="O15" i="3"/>
  <c r="S34" i="1"/>
  <c r="S20" i="1"/>
  <c r="S14" i="1"/>
  <c r="R11" i="1"/>
  <c r="T5" i="1"/>
  <c r="S16" i="3"/>
  <c r="R30" i="3"/>
  <c r="R14" i="3"/>
  <c r="Q17" i="3"/>
  <c r="P15" i="3"/>
  <c r="O24" i="3"/>
  <c r="S11" i="3"/>
  <c r="R9" i="3"/>
  <c r="R19" i="3"/>
  <c r="R33" i="3"/>
  <c r="Q27" i="3"/>
  <c r="Q16" i="3"/>
  <c r="P9" i="3"/>
  <c r="P19" i="3"/>
  <c r="O7" i="3"/>
  <c r="Q15" i="3"/>
  <c r="R15" i="3"/>
  <c r="O16" i="3"/>
  <c r="Q37" i="3"/>
  <c r="P10" i="3"/>
  <c r="Q18" i="3"/>
  <c r="P22" i="3"/>
  <c r="S24" i="3"/>
  <c r="S27" i="3"/>
  <c r="S32" i="3"/>
  <c r="Q35" i="3"/>
  <c r="D30" i="2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U41" i="1"/>
  <c r="U39" i="1"/>
  <c r="U13" i="1"/>
  <c r="U36" i="1"/>
  <c r="U32" i="1"/>
  <c r="U29" i="1"/>
  <c r="U28" i="1"/>
  <c r="U21" i="1"/>
  <c r="U20" i="1"/>
  <c r="U19" i="1"/>
  <c r="U18" i="1"/>
  <c r="U14" i="1"/>
  <c r="T10" i="3"/>
  <c r="T6" i="3"/>
  <c r="T28" i="3"/>
  <c r="T24" i="3"/>
  <c r="T20" i="3"/>
  <c r="T16" i="3"/>
  <c r="T34" i="3"/>
  <c r="U34" i="1"/>
  <c r="U27" i="1"/>
  <c r="U12" i="1"/>
  <c r="U11" i="1"/>
  <c r="U10" i="1"/>
  <c r="T11" i="3"/>
  <c r="T7" i="3"/>
  <c r="T25" i="3"/>
  <c r="T21" i="3"/>
  <c r="T17" i="3"/>
  <c r="U40" i="1"/>
  <c r="U8" i="1"/>
  <c r="T30" i="3"/>
  <c r="T22" i="3"/>
  <c r="T14" i="3"/>
  <c r="U17" i="1"/>
  <c r="U7" i="1"/>
  <c r="T8" i="3"/>
  <c r="T18" i="3"/>
  <c r="U38" i="1"/>
  <c r="U30" i="1"/>
  <c r="U24" i="1"/>
  <c r="U15" i="1"/>
  <c r="U6" i="1"/>
  <c r="U35" i="1"/>
  <c r="U22" i="1"/>
  <c r="U5" i="1"/>
  <c r="T9" i="3"/>
  <c r="T27" i="3"/>
  <c r="T19" i="3"/>
  <c r="T33" i="3"/>
  <c r="U31" i="1"/>
  <c r="U25" i="1"/>
  <c r="T26" i="3"/>
  <c r="T32" i="3"/>
  <c r="T5" i="3"/>
  <c r="T23" i="3"/>
  <c r="T15" i="3"/>
  <c r="S9" i="3"/>
  <c r="R37" i="3"/>
  <c r="O11" i="3"/>
  <c r="O19" i="3"/>
  <c r="O23" i="3"/>
  <c r="Q26" i="3"/>
  <c r="O28" i="3"/>
  <c r="Q30" i="3"/>
  <c r="R34" i="3"/>
  <c r="Q7" i="3"/>
  <c r="Q14" i="3"/>
  <c r="O37" i="3"/>
  <c r="Q6" i="3"/>
  <c r="P17" i="3"/>
  <c r="O8" i="3"/>
  <c r="S14" i="3"/>
  <c r="P37" i="3"/>
  <c r="P5" i="3"/>
  <c r="O10" i="3"/>
  <c r="Q12" i="3"/>
  <c r="O18" i="3"/>
  <c r="Q20" i="3"/>
  <c r="O22" i="3"/>
  <c r="Q24" i="3"/>
  <c r="O26" i="3"/>
  <c r="R27" i="3"/>
  <c r="O29" i="3"/>
  <c r="O30" i="3"/>
  <c r="R32" i="3"/>
  <c r="P34" i="3"/>
  <c r="P35" i="3"/>
  <c r="T35" i="3"/>
  <c r="H5" i="5"/>
  <c r="H103" i="5"/>
  <c r="H99" i="5"/>
  <c r="H95" i="5"/>
  <c r="H91" i="5"/>
  <c r="H87" i="5"/>
  <c r="H83" i="5"/>
  <c r="H79" i="5"/>
  <c r="H75" i="5"/>
  <c r="H71" i="5"/>
  <c r="H67" i="5"/>
  <c r="H63" i="5"/>
  <c r="H59" i="5"/>
  <c r="H55" i="5"/>
  <c r="H51" i="5"/>
  <c r="H47" i="5"/>
  <c r="H43" i="5"/>
  <c r="H39" i="5"/>
  <c r="H35" i="5"/>
  <c r="H31" i="5"/>
  <c r="H27" i="5"/>
  <c r="H23" i="5"/>
  <c r="H19" i="5"/>
  <c r="H15" i="5"/>
  <c r="H11" i="5"/>
  <c r="H7" i="5"/>
  <c r="H102" i="5"/>
  <c r="H98" i="5"/>
  <c r="H94" i="5"/>
  <c r="H90" i="5"/>
  <c r="H86" i="5"/>
  <c r="H82" i="5"/>
  <c r="H78" i="5"/>
  <c r="H74" i="5"/>
  <c r="H70" i="5"/>
  <c r="H66" i="5"/>
  <c r="H62" i="5"/>
  <c r="H58" i="5"/>
  <c r="H54" i="5"/>
  <c r="H50" i="5"/>
  <c r="H46" i="5"/>
  <c r="H42" i="5"/>
  <c r="H38" i="5"/>
  <c r="H34" i="5"/>
  <c r="H30" i="5"/>
  <c r="H26" i="5"/>
  <c r="H22" i="5"/>
  <c r="H18" i="5"/>
  <c r="H14" i="5"/>
  <c r="H10" i="5"/>
  <c r="H101" i="5"/>
  <c r="H97" i="5"/>
  <c r="H93" i="5"/>
  <c r="H89" i="5"/>
  <c r="H85" i="5"/>
  <c r="H81" i="5"/>
  <c r="H77" i="5"/>
  <c r="H73" i="5"/>
  <c r="H69" i="5"/>
  <c r="H65" i="5"/>
  <c r="H61" i="5"/>
  <c r="H57" i="5"/>
  <c r="H53" i="5"/>
  <c r="H49" i="5"/>
  <c r="H45" i="5"/>
  <c r="H41" i="5"/>
  <c r="H37" i="5"/>
  <c r="H33" i="5"/>
  <c r="H29" i="5"/>
  <c r="H25" i="5"/>
  <c r="H21" i="5"/>
  <c r="H17" i="5"/>
  <c r="H13" i="5"/>
  <c r="H9" i="5"/>
  <c r="H104" i="5"/>
  <c r="H100" i="5"/>
  <c r="H96" i="5"/>
  <c r="H92" i="5"/>
  <c r="H88" i="5"/>
  <c r="H84" i="5"/>
  <c r="H80" i="5"/>
  <c r="H76" i="5"/>
  <c r="H72" i="5"/>
  <c r="H68" i="5"/>
  <c r="H64" i="5"/>
  <c r="H60" i="5"/>
  <c r="H12" i="5"/>
  <c r="H40" i="5"/>
  <c r="H8" i="5"/>
  <c r="H36" i="5"/>
  <c r="H48" i="5"/>
  <c r="H32" i="5"/>
  <c r="H16" i="5"/>
  <c r="H44" i="5"/>
  <c r="H28" i="5"/>
  <c r="H56" i="5"/>
  <c r="H24" i="5"/>
  <c r="H52" i="5"/>
  <c r="H20" i="5"/>
  <c r="H6" i="5"/>
  <c r="G101" i="5"/>
  <c r="G97" i="5"/>
  <c r="G93" i="5"/>
  <c r="G89" i="5"/>
  <c r="G85" i="5"/>
  <c r="G81" i="5"/>
  <c r="G77" i="5"/>
  <c r="G73" i="5"/>
  <c r="G69" i="5"/>
  <c r="G65" i="5"/>
  <c r="G61" i="5"/>
  <c r="G57" i="5"/>
  <c r="G53" i="5"/>
  <c r="G49" i="5"/>
  <c r="G45" i="5"/>
  <c r="G41" i="5"/>
  <c r="G37" i="5"/>
  <c r="G33" i="5"/>
  <c r="G29" i="5"/>
  <c r="G25" i="5"/>
  <c r="G21" i="5"/>
  <c r="G17" i="5"/>
  <c r="G13" i="5"/>
  <c r="G9" i="5"/>
  <c r="G5" i="5"/>
  <c r="G104" i="5"/>
  <c r="G100" i="5"/>
  <c r="G96" i="5"/>
  <c r="G92" i="5"/>
  <c r="G88" i="5"/>
  <c r="G84" i="5"/>
  <c r="G80" i="5"/>
  <c r="G76" i="5"/>
  <c r="G72" i="5"/>
  <c r="G68" i="5"/>
  <c r="G64" i="5"/>
  <c r="G60" i="5"/>
  <c r="G56" i="5"/>
  <c r="G52" i="5"/>
  <c r="G48" i="5"/>
  <c r="G44" i="5"/>
  <c r="G40" i="5"/>
  <c r="G36" i="5"/>
  <c r="G32" i="5"/>
  <c r="G28" i="5"/>
  <c r="G24" i="5"/>
  <c r="G20" i="5"/>
  <c r="G16" i="5"/>
  <c r="G12" i="5"/>
  <c r="G8" i="5"/>
  <c r="G103" i="5"/>
  <c r="G99" i="5"/>
  <c r="G95" i="5"/>
  <c r="G91" i="5"/>
  <c r="G87" i="5"/>
  <c r="G83" i="5"/>
  <c r="G79" i="5"/>
  <c r="G75" i="5"/>
  <c r="G71" i="5"/>
  <c r="G67" i="5"/>
  <c r="G63" i="5"/>
  <c r="G59" i="5"/>
  <c r="G55" i="5"/>
  <c r="G51" i="5"/>
  <c r="G47" i="5"/>
  <c r="G43" i="5"/>
  <c r="G39" i="5"/>
  <c r="G35" i="5"/>
  <c r="G31" i="5"/>
  <c r="G27" i="5"/>
  <c r="G23" i="5"/>
  <c r="G19" i="5"/>
  <c r="G15" i="5"/>
  <c r="G11" i="5"/>
  <c r="G7" i="5"/>
  <c r="G102" i="5"/>
  <c r="G98" i="5"/>
  <c r="G94" i="5"/>
  <c r="G90" i="5"/>
  <c r="G86" i="5"/>
  <c r="G82" i="5"/>
  <c r="G78" i="5"/>
  <c r="G74" i="5"/>
  <c r="G70" i="5"/>
  <c r="G54" i="5"/>
  <c r="G38" i="5"/>
  <c r="G22" i="5"/>
  <c r="G6" i="5"/>
  <c r="G66" i="5"/>
  <c r="G50" i="5"/>
  <c r="G34" i="5"/>
  <c r="G18" i="5"/>
  <c r="G62" i="5"/>
  <c r="G46" i="5"/>
  <c r="G30" i="5"/>
  <c r="G14" i="5"/>
  <c r="G58" i="5"/>
  <c r="G26" i="5"/>
  <c r="G10" i="5"/>
  <c r="G42" i="5"/>
  <c r="F104" i="5"/>
  <c r="F100" i="5"/>
  <c r="F96" i="5"/>
  <c r="F92" i="5"/>
  <c r="F88" i="5"/>
  <c r="F84" i="5"/>
  <c r="F80" i="5"/>
  <c r="F76" i="5"/>
  <c r="F72" i="5"/>
  <c r="F68" i="5"/>
  <c r="F64" i="5"/>
  <c r="F60" i="5"/>
  <c r="F56" i="5"/>
  <c r="F52" i="5"/>
  <c r="F48" i="5"/>
  <c r="F44" i="5"/>
  <c r="F40" i="5"/>
  <c r="F36" i="5"/>
  <c r="F32" i="5"/>
  <c r="F28" i="5"/>
  <c r="F24" i="5"/>
  <c r="F20" i="5"/>
  <c r="F16" i="5"/>
  <c r="F12" i="5"/>
  <c r="F8" i="5"/>
  <c r="F102" i="5"/>
  <c r="F98" i="5"/>
  <c r="F94" i="5"/>
  <c r="F90" i="5"/>
  <c r="F86" i="5"/>
  <c r="F82" i="5"/>
  <c r="F78" i="5"/>
  <c r="F74" i="5"/>
  <c r="F70" i="5"/>
  <c r="F66" i="5"/>
  <c r="F62" i="5"/>
  <c r="F58" i="5"/>
  <c r="F54" i="5"/>
  <c r="F50" i="5"/>
  <c r="F46" i="5"/>
  <c r="F42" i="5"/>
  <c r="F38" i="5"/>
  <c r="F34" i="5"/>
  <c r="F30" i="5"/>
  <c r="F26" i="5"/>
  <c r="F22" i="5"/>
  <c r="F18" i="5"/>
  <c r="F14" i="5"/>
  <c r="F10" i="5"/>
  <c r="F6" i="5"/>
  <c r="F13" i="5"/>
  <c r="F103" i="5"/>
  <c r="F99" i="5"/>
  <c r="F95" i="5"/>
  <c r="F91" i="5"/>
  <c r="F87" i="5"/>
  <c r="F83" i="5"/>
  <c r="F79" i="5"/>
  <c r="F75" i="5"/>
  <c r="F71" i="5"/>
  <c r="F67" i="5"/>
  <c r="F63" i="5"/>
  <c r="F59" i="5"/>
  <c r="F55" i="5"/>
  <c r="F51" i="5"/>
  <c r="F47" i="5"/>
  <c r="F43" i="5"/>
  <c r="F39" i="5"/>
  <c r="F35" i="5"/>
  <c r="F31" i="5"/>
  <c r="F27" i="5"/>
  <c r="F23" i="5"/>
  <c r="F19" i="5"/>
  <c r="F15" i="5"/>
  <c r="F11" i="5"/>
  <c r="F7" i="5"/>
  <c r="F101" i="5"/>
  <c r="F97" i="5"/>
  <c r="F93" i="5"/>
  <c r="F89" i="5"/>
  <c r="F85" i="5"/>
  <c r="F81" i="5"/>
  <c r="F77" i="5"/>
  <c r="F73" i="5"/>
  <c r="F69" i="5"/>
  <c r="F65" i="5"/>
  <c r="F61" i="5"/>
  <c r="F57" i="5"/>
  <c r="F53" i="5"/>
  <c r="F49" i="5"/>
  <c r="F45" i="5"/>
  <c r="F41" i="5"/>
  <c r="F37" i="5"/>
  <c r="F33" i="5"/>
  <c r="F29" i="5"/>
  <c r="F25" i="5"/>
  <c r="F21" i="5"/>
  <c r="F17" i="5"/>
  <c r="F9" i="5"/>
  <c r="F5" i="5"/>
  <c r="C5" i="5"/>
  <c r="C101" i="5"/>
  <c r="C97" i="5"/>
  <c r="C93" i="5"/>
  <c r="C89" i="5"/>
  <c r="C85" i="5"/>
  <c r="C81" i="5"/>
  <c r="C77" i="5"/>
  <c r="C73" i="5"/>
  <c r="C69" i="5"/>
  <c r="C65" i="5"/>
  <c r="C61" i="5"/>
  <c r="C57" i="5"/>
  <c r="C53" i="5"/>
  <c r="C49" i="5"/>
  <c r="C45" i="5"/>
  <c r="C41" i="5"/>
  <c r="C37" i="5"/>
  <c r="C33" i="5"/>
  <c r="C29" i="5"/>
  <c r="C25" i="5"/>
  <c r="C21" i="5"/>
  <c r="C17" i="5"/>
  <c r="C13" i="5"/>
  <c r="C9" i="5"/>
  <c r="C99" i="5"/>
  <c r="C87" i="5"/>
  <c r="C79" i="5"/>
  <c r="C71" i="5"/>
  <c r="C59" i="5"/>
  <c r="C51" i="5"/>
  <c r="C39" i="5"/>
  <c r="C31" i="5"/>
  <c r="C104" i="5"/>
  <c r="C100" i="5"/>
  <c r="C96" i="5"/>
  <c r="C92" i="5"/>
  <c r="C88" i="5"/>
  <c r="C84" i="5"/>
  <c r="C80" i="5"/>
  <c r="C76" i="5"/>
  <c r="C72" i="5"/>
  <c r="C68" i="5"/>
  <c r="C64" i="5"/>
  <c r="C60" i="5"/>
  <c r="C56" i="5"/>
  <c r="C52" i="5"/>
  <c r="C48" i="5"/>
  <c r="C44" i="5"/>
  <c r="C40" i="5"/>
  <c r="C36" i="5"/>
  <c r="C32" i="5"/>
  <c r="C28" i="5"/>
  <c r="C24" i="5"/>
  <c r="C20" i="5"/>
  <c r="C16" i="5"/>
  <c r="C12" i="5"/>
  <c r="C8" i="5"/>
  <c r="C103" i="5"/>
  <c r="C95" i="5"/>
  <c r="C91" i="5"/>
  <c r="C83" i="5"/>
  <c r="C75" i="5"/>
  <c r="C67" i="5"/>
  <c r="C63" i="5"/>
  <c r="C55" i="5"/>
  <c r="C47" i="5"/>
  <c r="C43" i="5"/>
  <c r="C35" i="5"/>
  <c r="C27" i="5"/>
  <c r="C6" i="5"/>
  <c r="C90" i="5"/>
  <c r="C74" i="5"/>
  <c r="C58" i="5"/>
  <c r="C42" i="5"/>
  <c r="C26" i="5"/>
  <c r="C18" i="5"/>
  <c r="C10" i="5"/>
  <c r="C98" i="5"/>
  <c r="C82" i="5"/>
  <c r="C50" i="5"/>
  <c r="C22" i="5"/>
  <c r="C94" i="5"/>
  <c r="C62" i="5"/>
  <c r="C30" i="5"/>
  <c r="C11" i="5"/>
  <c r="C102" i="5"/>
  <c r="C86" i="5"/>
  <c r="C70" i="5"/>
  <c r="C54" i="5"/>
  <c r="C38" i="5"/>
  <c r="C23" i="5"/>
  <c r="C15" i="5"/>
  <c r="C7" i="5"/>
  <c r="C66" i="5"/>
  <c r="C34" i="5"/>
  <c r="C14" i="5"/>
  <c r="C78" i="5"/>
  <c r="C46" i="5"/>
  <c r="C19" i="5"/>
  <c r="E104" i="5"/>
  <c r="E100" i="5"/>
  <c r="E96" i="5"/>
  <c r="E92" i="5"/>
  <c r="E88" i="5"/>
  <c r="E84" i="5"/>
  <c r="E80" i="5"/>
  <c r="E76" i="5"/>
  <c r="E72" i="5"/>
  <c r="E68" i="5"/>
  <c r="E64" i="5"/>
  <c r="E60" i="5"/>
  <c r="E56" i="5"/>
  <c r="E52" i="5"/>
  <c r="E48" i="5"/>
  <c r="E44" i="5"/>
  <c r="E40" i="5"/>
  <c r="E36" i="5"/>
  <c r="E32" i="5"/>
  <c r="E28" i="5"/>
  <c r="E24" i="5"/>
  <c r="E20" i="5"/>
  <c r="E16" i="5"/>
  <c r="E12" i="5"/>
  <c r="E8" i="5"/>
  <c r="E86" i="5"/>
  <c r="E30" i="5"/>
  <c r="E18" i="5"/>
  <c r="E10" i="5"/>
  <c r="E103" i="5"/>
  <c r="E99" i="5"/>
  <c r="E95" i="5"/>
  <c r="E91" i="5"/>
  <c r="E87" i="5"/>
  <c r="E83" i="5"/>
  <c r="E79" i="5"/>
  <c r="E75" i="5"/>
  <c r="E71" i="5"/>
  <c r="E67" i="5"/>
  <c r="E63" i="5"/>
  <c r="E59" i="5"/>
  <c r="E55" i="5"/>
  <c r="E51" i="5"/>
  <c r="E47" i="5"/>
  <c r="E43" i="5"/>
  <c r="E39" i="5"/>
  <c r="E35" i="5"/>
  <c r="E31" i="5"/>
  <c r="E27" i="5"/>
  <c r="E23" i="5"/>
  <c r="E19" i="5"/>
  <c r="E15" i="5"/>
  <c r="E11" i="5"/>
  <c r="E7" i="5"/>
  <c r="E102" i="5"/>
  <c r="E98" i="5"/>
  <c r="E94" i="5"/>
  <c r="E90" i="5"/>
  <c r="E82" i="5"/>
  <c r="E78" i="5"/>
  <c r="E74" i="5"/>
  <c r="E70" i="5"/>
  <c r="E66" i="5"/>
  <c r="E62" i="5"/>
  <c r="E58" i="5"/>
  <c r="E54" i="5"/>
  <c r="E50" i="5"/>
  <c r="E46" i="5"/>
  <c r="E42" i="5"/>
  <c r="E38" i="5"/>
  <c r="E34" i="5"/>
  <c r="E26" i="5"/>
  <c r="E22" i="5"/>
  <c r="E14" i="5"/>
  <c r="E6" i="5"/>
  <c r="E101" i="5"/>
  <c r="E85" i="5"/>
  <c r="E69" i="5"/>
  <c r="E53" i="5"/>
  <c r="E37" i="5"/>
  <c r="E21" i="5"/>
  <c r="E5" i="5"/>
  <c r="E93" i="5"/>
  <c r="E61" i="5"/>
  <c r="E45" i="5"/>
  <c r="E13" i="5"/>
  <c r="E89" i="5"/>
  <c r="E57" i="5"/>
  <c r="E25" i="5"/>
  <c r="E97" i="5"/>
  <c r="E81" i="5"/>
  <c r="E65" i="5"/>
  <c r="E49" i="5"/>
  <c r="E33" i="5"/>
  <c r="E17" i="5"/>
  <c r="E77" i="5"/>
  <c r="E29" i="5"/>
  <c r="E73" i="5"/>
  <c r="E41" i="5"/>
  <c r="E9" i="5"/>
  <c r="H41" i="1"/>
  <c r="T41" i="1" s="1"/>
  <c r="E41" i="1"/>
  <c r="Q41" i="1" s="1"/>
  <c r="D41" i="1"/>
  <c r="P41" i="1" s="1"/>
  <c r="H40" i="1"/>
  <c r="T40" i="1" s="1"/>
  <c r="E40" i="1"/>
  <c r="Q40" i="1" s="1"/>
  <c r="D40" i="1"/>
  <c r="P40" i="1" s="1"/>
  <c r="G39" i="1"/>
  <c r="S39" i="1" s="1"/>
  <c r="E39" i="1"/>
  <c r="Q39" i="1" s="1"/>
  <c r="D39" i="1"/>
  <c r="P39" i="1" s="1"/>
  <c r="G38" i="1"/>
  <c r="S38" i="1" s="1"/>
  <c r="F38" i="1"/>
  <c r="R38" i="1" s="1"/>
  <c r="E38" i="1"/>
  <c r="Q38" i="1" s="1"/>
  <c r="D38" i="1"/>
  <c r="P38" i="1" s="1"/>
  <c r="H36" i="1"/>
  <c r="T36" i="1" s="1"/>
  <c r="E36" i="1"/>
  <c r="Q36" i="1" s="1"/>
  <c r="D36" i="1"/>
  <c r="P36" i="1" s="1"/>
  <c r="H35" i="1"/>
  <c r="T35" i="1" s="1"/>
  <c r="E35" i="1"/>
  <c r="Q35" i="1" s="1"/>
  <c r="D35" i="1"/>
  <c r="P35" i="1" s="1"/>
  <c r="H34" i="1"/>
  <c r="T34" i="1" s="1"/>
  <c r="E34" i="1"/>
  <c r="Q34" i="1" s="1"/>
  <c r="D34" i="1"/>
  <c r="P34" i="1" s="1"/>
  <c r="H32" i="1"/>
  <c r="T32" i="1" s="1"/>
  <c r="G32" i="1"/>
  <c r="S32" i="1" s="1"/>
  <c r="F32" i="1"/>
  <c r="R32" i="1" s="1"/>
  <c r="E32" i="1"/>
  <c r="Q32" i="1" s="1"/>
  <c r="D32" i="1"/>
  <c r="P32" i="1" s="1"/>
  <c r="G31" i="1"/>
  <c r="S31" i="1" s="1"/>
  <c r="F31" i="1"/>
  <c r="R31" i="1" s="1"/>
  <c r="E31" i="1"/>
  <c r="Q31" i="1" s="1"/>
  <c r="D31" i="1"/>
  <c r="P31" i="1" s="1"/>
  <c r="F30" i="1"/>
  <c r="R30" i="1" s="1"/>
  <c r="E30" i="1"/>
  <c r="Q30" i="1" s="1"/>
  <c r="D30" i="1"/>
  <c r="P30" i="1" s="1"/>
  <c r="F29" i="1"/>
  <c r="R29" i="1" s="1"/>
  <c r="D29" i="1"/>
  <c r="P29" i="1" s="1"/>
  <c r="H28" i="1"/>
  <c r="T28" i="1" s="1"/>
  <c r="E28" i="1"/>
  <c r="Q28" i="1" s="1"/>
  <c r="D28" i="1"/>
  <c r="P28" i="1" s="1"/>
  <c r="H27" i="1"/>
  <c r="T27" i="1" s="1"/>
  <c r="E27" i="1"/>
  <c r="Q27" i="1" s="1"/>
  <c r="D27" i="1"/>
  <c r="P27" i="1" s="1"/>
  <c r="F25" i="1"/>
  <c r="R25" i="1" s="1"/>
  <c r="E25" i="1"/>
  <c r="Q25" i="1" s="1"/>
  <c r="D25" i="1"/>
  <c r="P25" i="1" s="1"/>
  <c r="E24" i="1"/>
  <c r="Q24" i="1" s="1"/>
  <c r="D24" i="1"/>
  <c r="P24" i="1" s="1"/>
  <c r="H22" i="1"/>
  <c r="T22" i="1" s="1"/>
  <c r="F22" i="1"/>
  <c r="R22" i="1" s="1"/>
  <c r="D22" i="1"/>
  <c r="P22" i="1" s="1"/>
  <c r="F21" i="1"/>
  <c r="R21" i="1" s="1"/>
  <c r="D21" i="1"/>
  <c r="P21" i="1" s="1"/>
  <c r="F20" i="1"/>
  <c r="R20" i="1" s="1"/>
  <c r="D20" i="1"/>
  <c r="P20" i="1" s="1"/>
  <c r="F19" i="1"/>
  <c r="R19" i="1" s="1"/>
  <c r="D19" i="1"/>
  <c r="P19" i="1" s="1"/>
  <c r="H18" i="1"/>
  <c r="T18" i="1" s="1"/>
  <c r="F18" i="1"/>
  <c r="R18" i="1" s="1"/>
  <c r="E18" i="1"/>
  <c r="Q18" i="1" s="1"/>
  <c r="D18" i="1"/>
  <c r="P18" i="1" s="1"/>
  <c r="H17" i="1"/>
  <c r="T17" i="1" s="1"/>
  <c r="F17" i="1"/>
  <c r="R17" i="1" s="1"/>
  <c r="D17" i="1"/>
  <c r="P17" i="1" s="1"/>
  <c r="G15" i="1"/>
  <c r="S15" i="1" s="1"/>
  <c r="E15" i="1"/>
  <c r="Q15" i="1" s="1"/>
  <c r="D15" i="1"/>
  <c r="P15" i="1" s="1"/>
  <c r="F14" i="1"/>
  <c r="R14" i="1" s="1"/>
  <c r="E14" i="1"/>
  <c r="Q14" i="1" s="1"/>
  <c r="D14" i="1"/>
  <c r="P14" i="1" s="1"/>
  <c r="E13" i="1"/>
  <c r="Q13" i="1" s="1"/>
  <c r="D13" i="1"/>
  <c r="P13" i="1" s="1"/>
  <c r="E12" i="1"/>
  <c r="Q12" i="1" s="1"/>
  <c r="D12" i="1"/>
  <c r="P12" i="1" s="1"/>
  <c r="E11" i="1"/>
  <c r="Q11" i="1" s="1"/>
  <c r="D11" i="1"/>
  <c r="P11" i="1" s="1"/>
  <c r="G10" i="1"/>
  <c r="S10" i="1" s="1"/>
  <c r="E10" i="1"/>
  <c r="Q10" i="1" s="1"/>
  <c r="D10" i="1"/>
  <c r="P10" i="1" s="1"/>
  <c r="F8" i="1"/>
  <c r="R8" i="1" s="1"/>
  <c r="D8" i="1"/>
  <c r="P8" i="1" s="1"/>
  <c r="G7" i="1"/>
  <c r="S7" i="1" s="1"/>
  <c r="F7" i="1"/>
  <c r="R7" i="1" s="1"/>
  <c r="D7" i="1"/>
  <c r="P7" i="1" s="1"/>
  <c r="D6" i="1"/>
  <c r="P6" i="1" s="1"/>
  <c r="E6" i="1"/>
  <c r="Q6" i="1" s="1"/>
  <c r="E5" i="1"/>
  <c r="Q5" i="1" s="1"/>
  <c r="D5" i="1"/>
  <c r="P5" i="1" s="1"/>
  <c r="K32" i="1" l="1"/>
  <c r="L32" i="1" s="1"/>
  <c r="K39" i="1"/>
  <c r="L39" i="1" s="1"/>
  <c r="K34" i="1"/>
  <c r="L34" i="1" s="1"/>
  <c r="K27" i="1"/>
  <c r="L27" i="1" s="1"/>
  <c r="K21" i="1"/>
  <c r="L21" i="1" s="1"/>
  <c r="K17" i="1"/>
  <c r="L17" i="1" s="1"/>
  <c r="K31" i="1"/>
  <c r="L31" i="1" s="1"/>
  <c r="K36" i="1"/>
  <c r="L36" i="1" s="1"/>
  <c r="K24" i="1"/>
  <c r="L24" i="1" s="1"/>
  <c r="K40" i="1"/>
  <c r="L40" i="1" s="1"/>
  <c r="K28" i="1"/>
  <c r="L28" i="1" s="1"/>
  <c r="K18" i="1"/>
  <c r="L18" i="1" s="1"/>
  <c r="K38" i="1"/>
  <c r="L38" i="1" s="1"/>
  <c r="K30" i="1"/>
  <c r="L30" i="1" s="1"/>
  <c r="K25" i="1"/>
  <c r="L25" i="1" s="1"/>
  <c r="K20" i="1"/>
  <c r="L20" i="1" s="1"/>
  <c r="K41" i="1"/>
  <c r="L41" i="1" s="1"/>
  <c r="K29" i="1"/>
  <c r="L29" i="1" s="1"/>
  <c r="K19" i="1"/>
  <c r="L19" i="1" s="1"/>
  <c r="K35" i="1"/>
  <c r="L35" i="1" s="1"/>
  <c r="K22" i="1"/>
  <c r="L22" i="1" s="1"/>
  <c r="L11" i="1"/>
  <c r="K13" i="1"/>
  <c r="L13" i="1" s="1"/>
  <c r="K12" i="1"/>
  <c r="L12" i="1" s="1"/>
  <c r="K7" i="1"/>
  <c r="L7" i="1" s="1"/>
  <c r="K15" i="1"/>
  <c r="L15" i="1" s="1"/>
  <c r="K8" i="1"/>
  <c r="L8" i="1" s="1"/>
  <c r="K14" i="1"/>
  <c r="L14" i="1" s="1"/>
  <c r="K10" i="1"/>
  <c r="L10" i="1" s="1"/>
  <c r="K5" i="1"/>
  <c r="L5" i="1" s="1"/>
  <c r="K6" i="1"/>
  <c r="L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Vanitas</author>
  </authors>
  <commentList>
    <comment ref="J10" authorId="0" shapeId="0" xr:uid="{0B1F7CA9-F17C-4603-8778-AB1B1659EF15}">
      <text>
        <r>
          <rPr>
            <sz val="9"/>
            <color indexed="81"/>
            <rFont val="Segoe UI"/>
            <family val="2"/>
          </rPr>
          <t xml:space="preserve">ab GDZ Stufe 16 sinkt die benötigte Einsatzbereitschaft um 2,5% pro Stufe bis auf minimal 25%
</t>
        </r>
      </text>
    </comment>
  </commentList>
</comments>
</file>

<file path=xl/sharedStrings.xml><?xml version="1.0" encoding="utf-8"?>
<sst xmlns="http://schemas.openxmlformats.org/spreadsheetml/2006/main" count="353" uniqueCount="207">
  <si>
    <t>Gebäudetyp</t>
  </si>
  <si>
    <t>Roheisen</t>
  </si>
  <si>
    <t>Kristall</t>
  </si>
  <si>
    <t>Frubin</t>
  </si>
  <si>
    <t>Orizin</t>
  </si>
  <si>
    <t>Frurozin</t>
  </si>
  <si>
    <t>Gold</t>
  </si>
  <si>
    <t>Bauzeit</t>
  </si>
  <si>
    <t>Bauzeit MB</t>
  </si>
  <si>
    <t>Hauptquartier</t>
  </si>
  <si>
    <t>Bauzentrale</t>
  </si>
  <si>
    <t>Forschungszentrale</t>
  </si>
  <si>
    <t>Spionagestation</t>
  </si>
  <si>
    <t>Roheisen Mine</t>
  </si>
  <si>
    <t>Kristall Förderungsanlage</t>
  </si>
  <si>
    <t>Frubin Sammler</t>
  </si>
  <si>
    <t>Orizin Gewinnungsanlage</t>
  </si>
  <si>
    <t>Frurozin Herstellung</t>
  </si>
  <si>
    <t>Gold Mine</t>
  </si>
  <si>
    <t>Roheisen Lager</t>
  </si>
  <si>
    <t>Kristall Lager</t>
  </si>
  <si>
    <t>Frubin Lager</t>
  </si>
  <si>
    <t>Orizin Lager</t>
  </si>
  <si>
    <t>Frurozin Lager</t>
  </si>
  <si>
    <t>Gold Lager</t>
  </si>
  <si>
    <t>Kernkraftwerk</t>
  </si>
  <si>
    <t>Fusionskraftwerk</t>
  </si>
  <si>
    <t>Raumschiff Fabrik</t>
  </si>
  <si>
    <t>Verteidigungsstation</t>
  </si>
  <si>
    <t>Spionageabwehr</t>
  </si>
  <si>
    <t>Frühwarnanlage</t>
  </si>
  <si>
    <t>Handelsposten</t>
  </si>
  <si>
    <t>Handelszentrum</t>
  </si>
  <si>
    <t>Bank</t>
  </si>
  <si>
    <t>Werkstatt</t>
  </si>
  <si>
    <t>Recycling Anlage</t>
  </si>
  <si>
    <t>Geheimdienstzentrum</t>
  </si>
  <si>
    <t>Kreditinstitut</t>
  </si>
  <si>
    <t>Stufe Bauzentrale</t>
  </si>
  <si>
    <t>Stufe Multiples Bauen</t>
  </si>
  <si>
    <t>Stufe</t>
  </si>
  <si>
    <t>Aktuelle Energie</t>
  </si>
  <si>
    <t>Bauzeit Faktor</t>
  </si>
  <si>
    <t>Allianz Hangar</t>
  </si>
  <si>
    <t>Hohe Akademie</t>
  </si>
  <si>
    <t>Kapazität</t>
  </si>
  <si>
    <t>Zeit</t>
  </si>
  <si>
    <t>Spionage</t>
  </si>
  <si>
    <t>Erweiterte Spionage</t>
  </si>
  <si>
    <t>Signalübertragung</t>
  </si>
  <si>
    <t>Multiples Bauen</t>
  </si>
  <si>
    <t>Interstellarer Handel</t>
  </si>
  <si>
    <t>Schiffkonstruktion</t>
  </si>
  <si>
    <t>Takt. Kriegsführung</t>
  </si>
  <si>
    <t>Tarntechnologie</t>
  </si>
  <si>
    <t>Ionisation</t>
  </si>
  <si>
    <t>Verbrennungstechnik</t>
  </si>
  <si>
    <t>Metallurgie</t>
  </si>
  <si>
    <t>Energiebündelung</t>
  </si>
  <si>
    <t>Ladedocks</t>
  </si>
  <si>
    <t>Nanotechnologie</t>
  </si>
  <si>
    <t>Plasmaforschung</t>
  </si>
  <si>
    <t>Hochexpl. Substanzen</t>
  </si>
  <si>
    <t>Schildforschung</t>
  </si>
  <si>
    <t>Erw. Legierungen</t>
  </si>
  <si>
    <t>Biotechnologie</t>
  </si>
  <si>
    <t>Strahlenforschung</t>
  </si>
  <si>
    <t>Hochtechnologie</t>
  </si>
  <si>
    <t>Raketenforschung</t>
  </si>
  <si>
    <t>Nano Synthese</t>
  </si>
  <si>
    <t>Antimaterietechnologie</t>
  </si>
  <si>
    <t>Teleporttechnologie</t>
  </si>
  <si>
    <t>Nukleartriebwerke</t>
  </si>
  <si>
    <t>Ionentriebwerke</t>
  </si>
  <si>
    <t>Hyperraumantrieb</t>
  </si>
  <si>
    <t>Gravitationsantrieb</t>
  </si>
  <si>
    <t>Kolonieverwaltung</t>
  </si>
  <si>
    <t>Stufe Forschungszentrale</t>
  </si>
  <si>
    <t>Forschungen</t>
  </si>
  <si>
    <t>Signal</t>
  </si>
  <si>
    <t>FWA</t>
  </si>
  <si>
    <t>Xianier</t>
  </si>
  <si>
    <t>Planetenklasse</t>
  </si>
  <si>
    <t>Nein</t>
  </si>
  <si>
    <t>Förderungs Faktor</t>
  </si>
  <si>
    <t>Bonus Roheisen</t>
  </si>
  <si>
    <t>Bonus Kristall</t>
  </si>
  <si>
    <t>Bonus Frubin</t>
  </si>
  <si>
    <t>Bonus Orizin</t>
  </si>
  <si>
    <t>Bonus Frurozin</t>
  </si>
  <si>
    <t>Bonus Gold</t>
  </si>
  <si>
    <t>M</t>
  </si>
  <si>
    <t>N</t>
  </si>
  <si>
    <t>O</t>
  </si>
  <si>
    <t>P</t>
  </si>
  <si>
    <t>Q</t>
  </si>
  <si>
    <t>R</t>
  </si>
  <si>
    <t>T</t>
  </si>
  <si>
    <t>U</t>
  </si>
  <si>
    <t>V</t>
  </si>
  <si>
    <t>S</t>
  </si>
  <si>
    <t>W</t>
  </si>
  <si>
    <t>X</t>
  </si>
  <si>
    <t>Y</t>
  </si>
  <si>
    <t>A</t>
  </si>
  <si>
    <t>B</t>
  </si>
  <si>
    <t>C</t>
  </si>
  <si>
    <t>Rohstoffe</t>
  </si>
  <si>
    <t>Spaltenindex</t>
  </si>
  <si>
    <t>TT-Stufe Angreifer</t>
  </si>
  <si>
    <t>TT-Stufe Verteidiger</t>
  </si>
  <si>
    <t>Angreifer</t>
  </si>
  <si>
    <t>Att</t>
  </si>
  <si>
    <t>Def</t>
  </si>
  <si>
    <t>Verteidiger</t>
  </si>
  <si>
    <t>Verluste</t>
  </si>
  <si>
    <t>Gesamtproduktion</t>
  </si>
  <si>
    <t>prod / h</t>
  </si>
  <si>
    <t>prod / Tag</t>
  </si>
  <si>
    <t>Startkoordinaten</t>
  </si>
  <si>
    <t>Zielkoordianten</t>
  </si>
  <si>
    <t>Nuk</t>
  </si>
  <si>
    <t>Entfernung (su)</t>
  </si>
  <si>
    <t>Geschwindigkeit</t>
  </si>
  <si>
    <t>Hyp</t>
  </si>
  <si>
    <t>Ion</t>
  </si>
  <si>
    <t>Flugzeit Nuk</t>
  </si>
  <si>
    <t>Flugzeit Ion</t>
  </si>
  <si>
    <t>Flugzeit Hyp</t>
  </si>
  <si>
    <t>Flugzeit Gty</t>
  </si>
  <si>
    <t>Version</t>
  </si>
  <si>
    <t>Datum</t>
  </si>
  <si>
    <t>Beschreibung</t>
  </si>
  <si>
    <t>1.0</t>
  </si>
  <si>
    <t>1.01</t>
  </si>
  <si>
    <t>1.02</t>
  </si>
  <si>
    <t>- Erste initiale Version zur Veröffentlichung</t>
  </si>
  <si>
    <t>- Fehler bei der Bonusberechnung der Xianer (haben keine +10% bei Gold) korrigiert
- Releasenotes ergänzt</t>
  </si>
  <si>
    <t>- Fehler bei der Berechnung der Flugzeiten für Ionenantrieb und Gty korrigiert</t>
  </si>
  <si>
    <t>1.03</t>
  </si>
  <si>
    <t>- Fehler in Bauzeitformel für Krismine Stufe 21+</t>
  </si>
  <si>
    <t>1.04</t>
  </si>
  <si>
    <t>- Fehler in den Formeln für Flugzeitberechnung &lt;= 2 su</t>
  </si>
  <si>
    <t>Lagergrößen</t>
  </si>
  <si>
    <t>1.05</t>
  </si>
  <si>
    <t>- Fehler bei der Ressourcenverteilung bei der Forschung Verbrennungstechnik korrigiert
- Notwendige Lagergrößen für die Gebäude und Forschungen ergänzt</t>
  </si>
  <si>
    <t>1.06</t>
  </si>
  <si>
    <t>- Fehler bei den Kosten für die Forschungen Plasmaforschung und Raketenforschung gefixt</t>
  </si>
  <si>
    <t>1.07</t>
  </si>
  <si>
    <t>- Fehler bei der Forschungszeit im Bereich Plasmaforschung gefixt</t>
  </si>
  <si>
    <t>Gesamtflugzeit</t>
  </si>
  <si>
    <t>Speed Nuk</t>
  </si>
  <si>
    <t>Speed Ion</t>
  </si>
  <si>
    <t>Speed Hyp</t>
  </si>
  <si>
    <t>Speed Gty</t>
  </si>
  <si>
    <t>1.08</t>
  </si>
  <si>
    <t>- Flugzeitrechner ergänzt: Anhand der Entfernung und der Flugdauer kann nun die verwendete Antriebsart und Geschwindigkeit berechnet werden
- KS-Simulator von 5:1 auf 3:1 (LW Update vom 04.12.2019) umgestellt
- Reiter mit der Bankkapazität hinzugefügt</t>
  </si>
  <si>
    <t>1.09</t>
  </si>
  <si>
    <t>Aktion</t>
  </si>
  <si>
    <t>Erfolgswahrscheinlichkeit</t>
  </si>
  <si>
    <t>Spionageforschung</t>
  </si>
  <si>
    <t>Erweiterte Spionageforschung</t>
  </si>
  <si>
    <t>Bugserianische Volksmusik</t>
  </si>
  <si>
    <t>Rostbombe</t>
  </si>
  <si>
    <t>Technologiespionage</t>
  </si>
  <si>
    <t>Brandstiftung</t>
  </si>
  <si>
    <t>Alchemistenspray</t>
  </si>
  <si>
    <t>Vorraussetzung</t>
  </si>
  <si>
    <t>GDZ Stufe 9</t>
  </si>
  <si>
    <t>GDZ Stufe 1</t>
  </si>
  <si>
    <t>GDZ Stufe 3</t>
  </si>
  <si>
    <t>Einsatzbereitschaft</t>
  </si>
  <si>
    <t>GDZ Stufe 5</t>
  </si>
  <si>
    <t>GDZ Stufe 7</t>
  </si>
  <si>
    <t>Super-Rostbombe</t>
  </si>
  <si>
    <t>GDZ Stufe 10</t>
  </si>
  <si>
    <t>Kernschmelze</t>
  </si>
  <si>
    <t>GDZ Stufe 12</t>
  </si>
  <si>
    <t>Erw. Technologiespionage</t>
  </si>
  <si>
    <t>GDZ Stufe 15</t>
  </si>
  <si>
    <t>Supergau</t>
  </si>
  <si>
    <t>GDZ Stufe 25</t>
  </si>
  <si>
    <t>Kosten</t>
  </si>
  <si>
    <t>Planetenpunkte</t>
  </si>
  <si>
    <t>Konstruktion</t>
  </si>
  <si>
    <t>Forschung</t>
  </si>
  <si>
    <t>Roheisenmine</t>
  </si>
  <si>
    <t>Kristallförderungsanlage</t>
  </si>
  <si>
    <t>Frubinsammler</t>
  </si>
  <si>
    <t>Orizingewinnungsanlage</t>
  </si>
  <si>
    <t>Frurozinherstellung</t>
  </si>
  <si>
    <t>Goldmine</t>
  </si>
  <si>
    <t>Roheisenlager</t>
  </si>
  <si>
    <t>Kristalllager</t>
  </si>
  <si>
    <t>Frubinlager</t>
  </si>
  <si>
    <t>Orizinlager</t>
  </si>
  <si>
    <t>Frurozinlager</t>
  </si>
  <si>
    <t>Goldlager</t>
  </si>
  <si>
    <t>Raumschifffabrik</t>
  </si>
  <si>
    <t>Allianzhangar</t>
  </si>
  <si>
    <t>Schiffskonstruktion</t>
  </si>
  <si>
    <t>Taktische Kriegsführung</t>
  </si>
  <si>
    <t>Hochexplosive Substanzen</t>
  </si>
  <si>
    <t>Erweiterte Legierungen</t>
  </si>
  <si>
    <t>- Reiter Geheimdienstzentrum hinzugefügt, mit dessen Hilfe man sich die Erfolgschancen der einzelnen Aktionen berechnen lassen kann, sowie die Kosten nach Eingabe der Konstruktionen und Forschungen des Zielplaneten</t>
  </si>
  <si>
    <t>1.10</t>
  </si>
  <si>
    <t>- Bonusberechnung bei der Kristall-Fördermenge bei den Rohstoffen korrigiert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</si>
</sst>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 Unicode MS"/>
      <family val="2"/>
    </font>
    <font>
      <sz val="9"/>
      <color indexed="81"/>
      <name val="Segoe UI"/>
      <family val="2"/>
    </font>
  </fonts>
  <fills count="2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31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45"/>
      </patternFill>
    </fill>
    <fill>
      <patternFill patternType="solid">
        <fgColor theme="9" tint="0.79998168889431442"/>
        <bgColor indexed="33"/>
      </patternFill>
    </fill>
    <fill>
      <patternFill patternType="solid">
        <fgColor theme="9" tint="0.79998168889431442"/>
        <bgColor indexed="34"/>
      </patternFill>
    </fill>
    <fill>
      <patternFill patternType="solid">
        <fgColor theme="0" tint="-0.14999847407452621"/>
        <bgColor indexed="40"/>
      </patternFill>
    </fill>
    <fill>
      <patternFill patternType="solid">
        <fgColor theme="0" tint="-0.14999847407452621"/>
        <bgColor indexed="41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41"/>
      </patternFill>
    </fill>
    <fill>
      <patternFill patternType="solid">
        <fgColor theme="8" tint="0.79998168889431442"/>
        <bgColor indexed="41"/>
      </patternFill>
    </fill>
    <fill>
      <patternFill patternType="solid">
        <fgColor theme="9" tint="0.79998168889431442"/>
        <bgColor indexed="40"/>
      </patternFill>
    </fill>
    <fill>
      <patternFill patternType="solid">
        <fgColor theme="8" tint="0.79998168889431442"/>
        <bgColor indexed="40"/>
      </patternFill>
    </fill>
  </fills>
  <borders count="10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360">
    <xf numFmtId="0" fontId="0" fillId="0" borderId="0" xfId="0"/>
    <xf numFmtId="0" fontId="0" fillId="0" borderId="0" xfId="0" applyAlignment="1">
      <alignment horizontal="center" vertical="center"/>
    </xf>
    <xf numFmtId="46" fontId="0" fillId="0" borderId="0" xfId="0" applyNumberFormat="1"/>
    <xf numFmtId="0" fontId="0" fillId="4" borderId="5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46" fontId="0" fillId="0" borderId="5" xfId="0" applyNumberFormat="1" applyBorder="1" applyAlignment="1">
      <alignment horizontal="right" vertical="center"/>
    </xf>
    <xf numFmtId="0" fontId="0" fillId="4" borderId="5" xfId="0" applyFill="1" applyBorder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3" fontId="0" fillId="0" borderId="5" xfId="0" applyNumberFormat="1" applyBorder="1" applyAlignment="1">
      <alignment vertical="center"/>
    </xf>
    <xf numFmtId="3" fontId="0" fillId="4" borderId="5" xfId="0" applyNumberFormat="1" applyFill="1" applyBorder="1" applyAlignment="1">
      <alignment vertical="center"/>
    </xf>
    <xf numFmtId="3" fontId="0" fillId="0" borderId="8" xfId="0" applyNumberFormat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46" fontId="0" fillId="0" borderId="11" xfId="0" applyNumberFormat="1" applyBorder="1" applyAlignment="1">
      <alignment horizontal="right" vertical="center"/>
    </xf>
    <xf numFmtId="0" fontId="0" fillId="4" borderId="11" xfId="0" applyFill="1" applyBorder="1" applyAlignment="1">
      <alignment horizontal="right" vertical="center"/>
    </xf>
    <xf numFmtId="46" fontId="0" fillId="0" borderId="8" xfId="0" applyNumberFormat="1" applyBorder="1" applyAlignment="1">
      <alignment horizontal="right" vertical="center"/>
    </xf>
    <xf numFmtId="46" fontId="0" fillId="4" borderId="5" xfId="0" applyNumberFormat="1" applyFill="1" applyBorder="1" applyAlignment="1">
      <alignment horizontal="right" vertical="center"/>
    </xf>
    <xf numFmtId="46" fontId="0" fillId="4" borderId="8" xfId="0" applyNumberFormat="1" applyFill="1" applyBorder="1" applyAlignment="1">
      <alignment horizontal="right" vertical="center"/>
    </xf>
    <xf numFmtId="1" fontId="0" fillId="4" borderId="6" xfId="0" applyNumberFormat="1" applyFill="1" applyBorder="1" applyAlignment="1">
      <alignment horizontal="center" vertical="center"/>
    </xf>
    <xf numFmtId="1" fontId="0" fillId="6" borderId="6" xfId="0" applyNumberFormat="1" applyFill="1" applyBorder="1" applyAlignment="1">
      <alignment horizontal="center" vertical="center"/>
    </xf>
    <xf numFmtId="1" fontId="0" fillId="6" borderId="9" xfId="0" applyNumberFormat="1" applyFill="1" applyBorder="1" applyAlignment="1">
      <alignment horizontal="center" vertical="center"/>
    </xf>
    <xf numFmtId="0" fontId="0" fillId="0" borderId="0" xfId="0" applyNumberFormat="1"/>
    <xf numFmtId="1" fontId="0" fillId="0" borderId="0" xfId="0" applyNumberFormat="1"/>
    <xf numFmtId="3" fontId="0" fillId="0" borderId="5" xfId="0" applyNumberFormat="1" applyFill="1" applyBorder="1" applyAlignment="1">
      <alignment vertical="center"/>
    </xf>
    <xf numFmtId="3" fontId="0" fillId="0" borderId="8" xfId="0" applyNumberForma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3" fontId="0" fillId="0" borderId="5" xfId="0" applyNumberFormat="1" applyFill="1" applyBorder="1" applyAlignment="1">
      <alignment horizontal="center" vertical="center"/>
    </xf>
    <xf numFmtId="3" fontId="0" fillId="0" borderId="6" xfId="0" applyNumberFormat="1" applyFill="1" applyBorder="1" applyAlignment="1">
      <alignment horizontal="center"/>
    </xf>
    <xf numFmtId="3" fontId="0" fillId="0" borderId="6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3" fontId="0" fillId="0" borderId="8" xfId="0" applyNumberFormat="1" applyFill="1" applyBorder="1" applyAlignment="1">
      <alignment horizontal="center" vertical="center"/>
    </xf>
    <xf numFmtId="0" fontId="2" fillId="0" borderId="0" xfId="1"/>
    <xf numFmtId="46" fontId="2" fillId="0" borderId="0" xfId="1" applyNumberFormat="1"/>
    <xf numFmtId="3" fontId="2" fillId="9" borderId="12" xfId="1" applyNumberFormat="1" applyFill="1" applyBorder="1" applyAlignment="1">
      <alignment horizontal="right"/>
    </xf>
    <xf numFmtId="3" fontId="2" fillId="10" borderId="12" xfId="1" applyNumberFormat="1" applyFill="1" applyBorder="1" applyAlignment="1">
      <alignment horizontal="right"/>
    </xf>
    <xf numFmtId="0" fontId="2" fillId="9" borderId="12" xfId="1" applyFill="1" applyBorder="1"/>
    <xf numFmtId="46" fontId="2" fillId="8" borderId="12" xfId="1" applyNumberFormat="1" applyFill="1" applyBorder="1"/>
    <xf numFmtId="0" fontId="2" fillId="8" borderId="12" xfId="1" applyFill="1" applyBorder="1" applyAlignment="1">
      <alignment horizontal="center" vertical="center"/>
    </xf>
    <xf numFmtId="46" fontId="2" fillId="8" borderId="18" xfId="1" applyNumberFormat="1" applyFill="1" applyBorder="1"/>
    <xf numFmtId="3" fontId="2" fillId="8" borderId="12" xfId="1" applyNumberFormat="1" applyFill="1" applyBorder="1"/>
    <xf numFmtId="3" fontId="2" fillId="8" borderId="20" xfId="1" applyNumberFormat="1" applyFill="1" applyBorder="1"/>
    <xf numFmtId="0" fontId="2" fillId="11" borderId="15" xfId="1" applyFill="1" applyBorder="1" applyAlignment="1">
      <alignment horizontal="center" vertical="center"/>
    </xf>
    <xf numFmtId="3" fontId="4" fillId="12" borderId="15" xfId="1" applyNumberFormat="1" applyFont="1" applyFill="1" applyBorder="1" applyAlignment="1">
      <alignment horizontal="left" vertical="center"/>
    </xf>
    <xf numFmtId="0" fontId="4" fillId="12" borderId="15" xfId="1" applyFont="1" applyFill="1" applyBorder="1" applyAlignment="1">
      <alignment horizontal="left" vertical="center"/>
    </xf>
    <xf numFmtId="46" fontId="4" fillId="12" borderId="16" xfId="1" applyNumberFormat="1" applyFont="1" applyFill="1" applyBorder="1" applyAlignment="1">
      <alignment horizontal="left" vertical="center"/>
    </xf>
    <xf numFmtId="3" fontId="3" fillId="0" borderId="12" xfId="1" applyNumberFormat="1" applyFont="1" applyFill="1" applyBorder="1" applyAlignment="1">
      <alignment horizontal="right"/>
    </xf>
    <xf numFmtId="0" fontId="3" fillId="9" borderId="12" xfId="1" applyFont="1" applyFill="1" applyBorder="1"/>
    <xf numFmtId="3" fontId="3" fillId="9" borderId="12" xfId="1" applyNumberFormat="1" applyFont="1" applyFill="1" applyBorder="1" applyAlignment="1">
      <alignment horizontal="right"/>
    </xf>
    <xf numFmtId="3" fontId="3" fillId="10" borderId="12" xfId="1" applyNumberFormat="1" applyFont="1" applyFill="1" applyBorder="1" applyAlignment="1">
      <alignment horizontal="right"/>
    </xf>
    <xf numFmtId="3" fontId="3" fillId="0" borderId="20" xfId="1" applyNumberFormat="1" applyFont="1" applyFill="1" applyBorder="1" applyAlignment="1">
      <alignment horizontal="right"/>
    </xf>
    <xf numFmtId="0" fontId="3" fillId="9" borderId="20" xfId="1" applyFont="1" applyFill="1" applyBorder="1"/>
    <xf numFmtId="46" fontId="3" fillId="0" borderId="0" xfId="1" applyNumberFormat="1" applyFont="1" applyFill="1" applyBorder="1"/>
    <xf numFmtId="46" fontId="4" fillId="12" borderId="15" xfId="1" applyNumberFormat="1" applyFont="1" applyFill="1" applyBorder="1" applyAlignment="1">
      <alignment horizontal="left" vertical="center"/>
    </xf>
    <xf numFmtId="46" fontId="3" fillId="0" borderId="12" xfId="1" applyNumberFormat="1" applyFont="1" applyFill="1" applyBorder="1"/>
    <xf numFmtId="46" fontId="3" fillId="8" borderId="12" xfId="1" applyNumberFormat="1" applyFont="1" applyFill="1" applyBorder="1"/>
    <xf numFmtId="46" fontId="3" fillId="0" borderId="20" xfId="1" applyNumberFormat="1" applyFont="1" applyFill="1" applyBorder="1"/>
    <xf numFmtId="46" fontId="2" fillId="0" borderId="0" xfId="1" applyNumberFormat="1" applyFill="1" applyBorder="1"/>
    <xf numFmtId="46" fontId="4" fillId="0" borderId="0" xfId="1" applyNumberFormat="1" applyFont="1" applyFill="1" applyBorder="1" applyAlignment="1">
      <alignment horizontal="left" vertical="center"/>
    </xf>
    <xf numFmtId="0" fontId="2" fillId="0" borderId="0" xfId="1" applyFill="1" applyBorder="1"/>
    <xf numFmtId="46" fontId="3" fillId="4" borderId="12" xfId="1" applyNumberFormat="1" applyFont="1" applyFill="1" applyBorder="1"/>
    <xf numFmtId="46" fontId="3" fillId="4" borderId="20" xfId="1" applyNumberFormat="1" applyFont="1" applyFill="1" applyBorder="1"/>
    <xf numFmtId="0" fontId="3" fillId="8" borderId="17" xfId="1" applyFont="1" applyFill="1" applyBorder="1" applyAlignment="1">
      <alignment horizontal="center" vertical="center"/>
    </xf>
    <xf numFmtId="3" fontId="3" fillId="7" borderId="17" xfId="1" applyNumberFormat="1" applyFont="1" applyFill="1" applyBorder="1"/>
    <xf numFmtId="3" fontId="3" fillId="8" borderId="17" xfId="1" applyNumberFormat="1" applyFont="1" applyFill="1" applyBorder="1"/>
    <xf numFmtId="3" fontId="3" fillId="7" borderId="19" xfId="1" applyNumberFormat="1" applyFont="1" applyFill="1" applyBorder="1"/>
    <xf numFmtId="0" fontId="3" fillId="6" borderId="18" xfId="1" applyNumberFormat="1" applyFont="1" applyFill="1" applyBorder="1" applyAlignment="1">
      <alignment horizontal="center" vertical="center"/>
    </xf>
    <xf numFmtId="0" fontId="3" fillId="8" borderId="18" xfId="1" applyNumberFormat="1" applyFont="1" applyFill="1" applyBorder="1" applyAlignment="1">
      <alignment horizontal="center" vertical="center"/>
    </xf>
    <xf numFmtId="0" fontId="3" fillId="6" borderId="21" xfId="1" applyNumberFormat="1" applyFont="1" applyFill="1" applyBorder="1" applyAlignment="1">
      <alignment horizontal="center" vertical="center"/>
    </xf>
    <xf numFmtId="0" fontId="4" fillId="11" borderId="14" xfId="1" applyFont="1" applyFill="1" applyBorder="1" applyAlignment="1">
      <alignment horizontal="left" vertical="center"/>
    </xf>
    <xf numFmtId="22" fontId="2" fillId="0" borderId="0" xfId="1" applyNumberFormat="1" applyFill="1" applyBorder="1"/>
    <xf numFmtId="3" fontId="3" fillId="0" borderId="41" xfId="1" applyNumberFormat="1" applyFont="1" applyFill="1" applyBorder="1" applyAlignment="1">
      <alignment horizontal="center" vertical="center" shrinkToFit="1"/>
    </xf>
    <xf numFmtId="3" fontId="3" fillId="0" borderId="26" xfId="1" applyNumberFormat="1" applyFont="1" applyFill="1" applyBorder="1" applyAlignment="1">
      <alignment horizontal="center" vertical="center" shrinkToFit="1"/>
    </xf>
    <xf numFmtId="3" fontId="3" fillId="0" borderId="0" xfId="1" applyNumberFormat="1" applyFont="1" applyFill="1" applyBorder="1" applyAlignment="1">
      <alignment horizontal="center" vertical="center" shrinkToFit="1"/>
    </xf>
    <xf numFmtId="3" fontId="3" fillId="0" borderId="27" xfId="1" applyNumberFormat="1" applyFont="1" applyFill="1" applyBorder="1" applyAlignment="1">
      <alignment horizontal="center" vertical="center" shrinkToFit="1"/>
    </xf>
    <xf numFmtId="0" fontId="4" fillId="14" borderId="23" xfId="1" applyFont="1" applyFill="1" applyBorder="1" applyAlignment="1">
      <alignment horizontal="center" vertical="center" shrinkToFit="1"/>
    </xf>
    <xf numFmtId="0" fontId="4" fillId="14" borderId="24" xfId="1" applyFont="1" applyFill="1" applyBorder="1" applyAlignment="1">
      <alignment horizontal="center" vertical="center" shrinkToFit="1"/>
    </xf>
    <xf numFmtId="0" fontId="4" fillId="14" borderId="25" xfId="1" applyFont="1" applyFill="1" applyBorder="1" applyAlignment="1">
      <alignment horizontal="center" vertical="center" shrinkToFit="1"/>
    </xf>
    <xf numFmtId="0" fontId="4" fillId="14" borderId="28" xfId="1" applyFont="1" applyFill="1" applyBorder="1" applyAlignment="1">
      <alignment horizontal="center" vertical="center" shrinkToFit="1"/>
    </xf>
    <xf numFmtId="0" fontId="4" fillId="14" borderId="31" xfId="1" applyFont="1" applyFill="1" applyBorder="1" applyAlignment="1">
      <alignment horizontal="center" vertical="center" shrinkToFit="1"/>
    </xf>
    <xf numFmtId="0" fontId="3" fillId="2" borderId="32" xfId="1" applyFont="1" applyFill="1" applyBorder="1" applyAlignment="1">
      <alignment horizontal="center" vertical="center"/>
    </xf>
    <xf numFmtId="0" fontId="3" fillId="2" borderId="33" xfId="1" applyFont="1" applyFill="1" applyBorder="1" applyAlignment="1">
      <alignment horizontal="center" vertical="center"/>
    </xf>
    <xf numFmtId="0" fontId="3" fillId="2" borderId="33" xfId="1" applyFont="1" applyFill="1" applyBorder="1" applyAlignment="1">
      <alignment horizontal="center" vertical="center" shrinkToFit="1"/>
    </xf>
    <xf numFmtId="0" fontId="3" fillId="2" borderId="34" xfId="1" applyFont="1" applyFill="1" applyBorder="1" applyAlignment="1">
      <alignment horizontal="center" vertical="center"/>
    </xf>
    <xf numFmtId="0" fontId="3" fillId="3" borderId="35" xfId="1" applyFont="1" applyFill="1" applyBorder="1" applyAlignment="1">
      <alignment horizontal="center" vertical="center" shrinkToFit="1"/>
    </xf>
    <xf numFmtId="0" fontId="3" fillId="13" borderId="13" xfId="1" applyFont="1" applyFill="1" applyBorder="1" applyAlignment="1">
      <alignment horizontal="center" vertical="center" shrinkToFit="1"/>
    </xf>
    <xf numFmtId="0" fontId="3" fillId="3" borderId="36" xfId="1" applyFont="1" applyFill="1" applyBorder="1" applyAlignment="1">
      <alignment horizontal="center" vertical="center"/>
    </xf>
    <xf numFmtId="0" fontId="3" fillId="3" borderId="36" xfId="1" applyFont="1" applyFill="1" applyBorder="1" applyAlignment="1">
      <alignment horizontal="center" vertical="center" shrinkToFit="1"/>
    </xf>
    <xf numFmtId="0" fontId="3" fillId="3" borderId="35" xfId="1" applyFont="1" applyFill="1" applyBorder="1" applyAlignment="1">
      <alignment horizontal="center" vertical="center"/>
    </xf>
    <xf numFmtId="0" fontId="3" fillId="2" borderId="37" xfId="1" applyFont="1" applyFill="1" applyBorder="1" applyAlignment="1">
      <alignment horizontal="center" vertical="center"/>
    </xf>
    <xf numFmtId="0" fontId="3" fillId="2" borderId="38" xfId="1" applyFont="1" applyFill="1" applyBorder="1" applyAlignment="1">
      <alignment horizontal="center" vertical="center"/>
    </xf>
    <xf numFmtId="0" fontId="3" fillId="2" borderId="38" xfId="1" applyFont="1" applyFill="1" applyBorder="1" applyAlignment="1">
      <alignment horizontal="center" vertical="center" shrinkToFit="1"/>
    </xf>
    <xf numFmtId="0" fontId="3" fillId="2" borderId="39" xfId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9" fontId="0" fillId="0" borderId="0" xfId="0" applyNumberFormat="1"/>
    <xf numFmtId="9" fontId="0" fillId="0" borderId="0" xfId="0" applyNumberFormat="1" applyAlignment="1">
      <alignment horizontal="center" vertical="center"/>
    </xf>
    <xf numFmtId="9" fontId="0" fillId="16" borderId="5" xfId="0" applyNumberFormat="1" applyFill="1" applyBorder="1" applyAlignment="1">
      <alignment horizontal="center" vertical="center"/>
    </xf>
    <xf numFmtId="9" fontId="0" fillId="16" borderId="8" xfId="0" applyNumberFormat="1" applyFill="1" applyBorder="1" applyAlignment="1">
      <alignment horizontal="center" vertical="center"/>
    </xf>
    <xf numFmtId="9" fontId="0" fillId="15" borderId="5" xfId="0" applyNumberFormat="1" applyFill="1" applyBorder="1" applyAlignment="1">
      <alignment horizontal="center" vertical="center"/>
    </xf>
    <xf numFmtId="9" fontId="0" fillId="15" borderId="6" xfId="0" applyNumberFormat="1" applyFill="1" applyBorder="1" applyAlignment="1">
      <alignment horizontal="center" vertical="center"/>
    </xf>
    <xf numFmtId="9" fontId="0" fillId="15" borderId="8" xfId="0" applyNumberFormat="1" applyFill="1" applyBorder="1" applyAlignment="1">
      <alignment horizontal="center" vertical="center"/>
    </xf>
    <xf numFmtId="9" fontId="0" fillId="15" borderId="9" xfId="0" applyNumberForma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9" fontId="0" fillId="16" borderId="44" xfId="0" applyNumberFormat="1" applyFill="1" applyBorder="1" applyAlignment="1">
      <alignment horizontal="center" vertical="center"/>
    </xf>
    <xf numFmtId="9" fontId="0" fillId="16" borderId="45" xfId="0" applyNumberFormat="1" applyFill="1" applyBorder="1" applyAlignment="1">
      <alignment horizontal="center" vertical="center"/>
    </xf>
    <xf numFmtId="0" fontId="1" fillId="2" borderId="1" xfId="0" applyFont="1" applyFill="1" applyBorder="1"/>
    <xf numFmtId="0" fontId="0" fillId="5" borderId="4" xfId="0" applyFill="1" applyBorder="1"/>
    <xf numFmtId="0" fontId="0" fillId="5" borderId="7" xfId="0" applyFill="1" applyBorder="1"/>
    <xf numFmtId="3" fontId="3" fillId="0" borderId="29" xfId="1" applyNumberFormat="1" applyFont="1" applyFill="1" applyBorder="1" applyAlignment="1">
      <alignment horizontal="center" vertical="center" shrinkToFit="1"/>
    </xf>
    <xf numFmtId="3" fontId="3" fillId="0" borderId="30" xfId="1" applyNumberFormat="1" applyFont="1" applyFill="1" applyBorder="1" applyAlignment="1">
      <alignment horizontal="center" vertical="center" shrinkToFit="1"/>
    </xf>
    <xf numFmtId="0" fontId="4" fillId="13" borderId="22" xfId="1" applyFont="1" applyFill="1" applyBorder="1" applyAlignment="1">
      <alignment horizontal="center" vertical="center" shrinkToFit="1"/>
    </xf>
    <xf numFmtId="0" fontId="3" fillId="0" borderId="40" xfId="1" applyFont="1" applyFill="1" applyBorder="1" applyAlignment="1">
      <alignment horizontal="center" vertical="center" shrinkToFit="1"/>
    </xf>
    <xf numFmtId="0" fontId="3" fillId="0" borderId="42" xfId="1" applyFont="1" applyFill="1" applyBorder="1" applyAlignment="1">
      <alignment horizontal="center" vertical="center" shrinkToFit="1"/>
    </xf>
    <xf numFmtId="0" fontId="4" fillId="13" borderId="25" xfId="1" applyFont="1" applyFill="1" applyBorder="1" applyAlignment="1">
      <alignment horizontal="center" vertical="center" shrinkToFit="1"/>
    </xf>
    <xf numFmtId="0" fontId="3" fillId="0" borderId="41" xfId="1" applyFont="1" applyFill="1" applyBorder="1" applyAlignment="1">
      <alignment horizontal="center" vertical="center" shrinkToFit="1"/>
    </xf>
    <xf numFmtId="0" fontId="3" fillId="0" borderId="26" xfId="1" applyFont="1" applyFill="1" applyBorder="1" applyAlignment="1">
      <alignment horizontal="center" vertical="center" shrinkToFit="1"/>
    </xf>
    <xf numFmtId="3" fontId="3" fillId="0" borderId="5" xfId="1" applyNumberFormat="1" applyFont="1" applyFill="1" applyBorder="1" applyAlignment="1">
      <alignment horizontal="center" vertical="center" shrinkToFit="1"/>
    </xf>
    <xf numFmtId="3" fontId="3" fillId="0" borderId="59" xfId="1" applyNumberFormat="1" applyFont="1" applyFill="1" applyBorder="1" applyAlignment="1">
      <alignment horizontal="center" vertical="center" shrinkToFit="1"/>
    </xf>
    <xf numFmtId="3" fontId="3" fillId="0" borderId="2" xfId="1" applyNumberFormat="1" applyFont="1" applyFill="1" applyBorder="1" applyAlignment="1">
      <alignment horizontal="center" vertical="center" shrinkToFit="1"/>
    </xf>
    <xf numFmtId="3" fontId="3" fillId="0" borderId="8" xfId="1" applyNumberFormat="1" applyFont="1" applyFill="1" applyBorder="1" applyAlignment="1">
      <alignment horizontal="center" vertical="center" shrinkToFit="1"/>
    </xf>
    <xf numFmtId="3" fontId="3" fillId="0" borderId="11" xfId="1" applyNumberFormat="1" applyFont="1" applyFill="1" applyBorder="1" applyAlignment="1">
      <alignment horizontal="center" vertical="center" shrinkToFit="1"/>
    </xf>
    <xf numFmtId="3" fontId="3" fillId="0" borderId="53" xfId="1" applyNumberFormat="1" applyFont="1" applyFill="1" applyBorder="1" applyAlignment="1">
      <alignment horizontal="center" vertical="center" shrinkToFit="1"/>
    </xf>
    <xf numFmtId="3" fontId="3" fillId="0" borderId="10" xfId="1" applyNumberFormat="1" applyFont="1" applyFill="1" applyBorder="1" applyAlignment="1">
      <alignment horizontal="center" vertical="center" shrinkToFit="1"/>
    </xf>
    <xf numFmtId="3" fontId="3" fillId="0" borderId="48" xfId="1" applyNumberFormat="1" applyFont="1" applyFill="1" applyBorder="1" applyAlignment="1">
      <alignment horizontal="center" vertical="center" shrinkToFit="1"/>
    </xf>
    <xf numFmtId="3" fontId="3" fillId="0" borderId="44" xfId="1" applyNumberFormat="1" applyFont="1" applyFill="1" applyBorder="1" applyAlignment="1">
      <alignment horizontal="center" vertical="center" shrinkToFit="1"/>
    </xf>
    <xf numFmtId="3" fontId="3" fillId="0" borderId="57" xfId="1" applyNumberFormat="1" applyFont="1" applyFill="1" applyBorder="1" applyAlignment="1">
      <alignment horizontal="center" vertical="center" shrinkToFit="1"/>
    </xf>
    <xf numFmtId="3" fontId="3" fillId="0" borderId="43" xfId="1" applyNumberFormat="1" applyFont="1" applyFill="1" applyBorder="1" applyAlignment="1">
      <alignment horizontal="center" vertical="center" shrinkToFit="1"/>
    </xf>
    <xf numFmtId="3" fontId="3" fillId="0" borderId="45" xfId="1" applyNumberFormat="1" applyFont="1" applyFill="1" applyBorder="1" applyAlignment="1">
      <alignment horizontal="center" vertical="center" shrinkToFit="1"/>
    </xf>
    <xf numFmtId="3" fontId="3" fillId="0" borderId="4" xfId="1" applyNumberFormat="1" applyFont="1" applyFill="1" applyBorder="1" applyAlignment="1">
      <alignment horizontal="center" vertical="center" shrinkToFit="1"/>
    </xf>
    <xf numFmtId="3" fontId="3" fillId="0" borderId="6" xfId="1" applyNumberFormat="1" applyFont="1" applyFill="1" applyBorder="1" applyAlignment="1">
      <alignment horizontal="center" vertical="center" shrinkToFit="1"/>
    </xf>
    <xf numFmtId="3" fontId="3" fillId="0" borderId="46" xfId="1" applyNumberFormat="1" applyFont="1" applyFill="1" applyBorder="1" applyAlignment="1">
      <alignment horizontal="center" vertical="center" shrinkToFit="1"/>
    </xf>
    <xf numFmtId="3" fontId="3" fillId="0" borderId="47" xfId="1" applyNumberFormat="1" applyFont="1" applyFill="1" applyBorder="1" applyAlignment="1">
      <alignment horizontal="center" vertical="center" shrinkToFit="1"/>
    </xf>
    <xf numFmtId="3" fontId="3" fillId="0" borderId="1" xfId="1" applyNumberFormat="1" applyFont="1" applyFill="1" applyBorder="1" applyAlignment="1">
      <alignment horizontal="center" vertical="center" shrinkToFit="1"/>
    </xf>
    <xf numFmtId="3" fontId="3" fillId="0" borderId="3" xfId="1" applyNumberFormat="1" applyFont="1" applyFill="1" applyBorder="1" applyAlignment="1">
      <alignment horizontal="center" vertical="center" shrinkToFit="1"/>
    </xf>
    <xf numFmtId="3" fontId="3" fillId="0" borderId="7" xfId="1" applyNumberFormat="1" applyFont="1" applyFill="1" applyBorder="1" applyAlignment="1">
      <alignment horizontal="center" vertical="center" shrinkToFit="1"/>
    </xf>
    <xf numFmtId="3" fontId="3" fillId="0" borderId="9" xfId="1" applyNumberFormat="1" applyFont="1" applyFill="1" applyBorder="1" applyAlignment="1">
      <alignment horizontal="center" vertical="center" shrinkToFit="1"/>
    </xf>
    <xf numFmtId="0" fontId="4" fillId="19" borderId="61" xfId="1" applyFont="1" applyFill="1" applyBorder="1" applyAlignment="1">
      <alignment horizontal="center" vertical="center" shrinkToFit="1"/>
    </xf>
    <xf numFmtId="0" fontId="4" fillId="17" borderId="62" xfId="1" applyFont="1" applyFill="1" applyBorder="1" applyAlignment="1">
      <alignment horizontal="center" vertical="center" shrinkToFit="1"/>
    </xf>
    <xf numFmtId="0" fontId="4" fillId="17" borderId="51" xfId="1" applyFont="1" applyFill="1" applyBorder="1" applyAlignment="1">
      <alignment horizontal="center" vertical="center" shrinkToFit="1"/>
    </xf>
    <xf numFmtId="0" fontId="4" fillId="17" borderId="61" xfId="1" applyFont="1" applyFill="1" applyBorder="1" applyAlignment="1">
      <alignment horizontal="center" vertical="center" shrinkToFit="1"/>
    </xf>
    <xf numFmtId="0" fontId="4" fillId="17" borderId="63" xfId="1" applyFont="1" applyFill="1" applyBorder="1" applyAlignment="1">
      <alignment horizontal="center" vertical="center" shrinkToFit="1"/>
    </xf>
    <xf numFmtId="0" fontId="4" fillId="17" borderId="49" xfId="1" applyFont="1" applyFill="1" applyBorder="1" applyAlignment="1">
      <alignment horizontal="center" vertical="center" shrinkToFit="1"/>
    </xf>
    <xf numFmtId="0" fontId="4" fillId="19" borderId="64" xfId="1" applyFont="1" applyFill="1" applyBorder="1" applyAlignment="1">
      <alignment horizontal="center" vertical="center" shrinkToFit="1"/>
    </xf>
    <xf numFmtId="0" fontId="4" fillId="17" borderId="65" xfId="1" applyFont="1" applyFill="1" applyBorder="1" applyAlignment="1">
      <alignment horizontal="center" vertical="center" shrinkToFit="1"/>
    </xf>
    <xf numFmtId="0" fontId="4" fillId="17" borderId="55" xfId="1" applyFont="1" applyFill="1" applyBorder="1" applyAlignment="1">
      <alignment horizontal="center" vertical="center" shrinkToFit="1"/>
    </xf>
    <xf numFmtId="0" fontId="4" fillId="17" borderId="64" xfId="1" applyFont="1" applyFill="1" applyBorder="1" applyAlignment="1">
      <alignment horizontal="center" vertical="center" shrinkToFit="1"/>
    </xf>
    <xf numFmtId="0" fontId="4" fillId="17" borderId="66" xfId="1" applyFont="1" applyFill="1" applyBorder="1" applyAlignment="1">
      <alignment horizontal="center" vertical="center" shrinkToFit="1"/>
    </xf>
    <xf numFmtId="0" fontId="4" fillId="17" borderId="58" xfId="1" applyFont="1" applyFill="1" applyBorder="1" applyAlignment="1">
      <alignment horizontal="center" vertical="center" shrinkToFit="1"/>
    </xf>
    <xf numFmtId="0" fontId="4" fillId="20" borderId="67" xfId="1" applyFont="1" applyFill="1" applyBorder="1" applyAlignment="1">
      <alignment horizontal="center" vertical="center" shrinkToFit="1"/>
    </xf>
    <xf numFmtId="0" fontId="4" fillId="20" borderId="68" xfId="1" applyFont="1" applyFill="1" applyBorder="1" applyAlignment="1">
      <alignment horizontal="center" vertical="center" shrinkToFit="1"/>
    </xf>
    <xf numFmtId="0" fontId="4" fillId="18" borderId="69" xfId="1" applyFont="1" applyFill="1" applyBorder="1" applyAlignment="1">
      <alignment horizontal="center" vertical="center" shrinkToFit="1"/>
    </xf>
    <xf numFmtId="0" fontId="4" fillId="18" borderId="70" xfId="1" applyFont="1" applyFill="1" applyBorder="1" applyAlignment="1">
      <alignment horizontal="center" vertical="center" shrinkToFit="1"/>
    </xf>
    <xf numFmtId="0" fontId="4" fillId="18" borderId="56" xfId="1" applyFont="1" applyFill="1" applyBorder="1" applyAlignment="1">
      <alignment horizontal="center" vertical="center" shrinkToFit="1"/>
    </xf>
    <xf numFmtId="0" fontId="4" fillId="18" borderId="54" xfId="1" applyFont="1" applyFill="1" applyBorder="1" applyAlignment="1">
      <alignment horizontal="center" vertical="center" shrinkToFit="1"/>
    </xf>
    <xf numFmtId="0" fontId="4" fillId="18" borderId="67" xfId="1" applyFont="1" applyFill="1" applyBorder="1" applyAlignment="1">
      <alignment horizontal="center" vertical="center" shrinkToFit="1"/>
    </xf>
    <xf numFmtId="0" fontId="4" fillId="18" borderId="68" xfId="1" applyFont="1" applyFill="1" applyBorder="1" applyAlignment="1">
      <alignment horizontal="center" vertical="center" shrinkToFit="1"/>
    </xf>
    <xf numFmtId="0" fontId="4" fillId="18" borderId="71" xfId="1" applyFont="1" applyFill="1" applyBorder="1" applyAlignment="1">
      <alignment horizontal="center" vertical="center" shrinkToFit="1"/>
    </xf>
    <xf numFmtId="0" fontId="4" fillId="18" borderId="72" xfId="1" applyFont="1" applyFill="1" applyBorder="1" applyAlignment="1">
      <alignment horizontal="center" vertical="center" shrinkToFit="1"/>
    </xf>
    <xf numFmtId="0" fontId="4" fillId="18" borderId="50" xfId="1" applyFont="1" applyFill="1" applyBorder="1" applyAlignment="1">
      <alignment horizontal="center" vertical="center" shrinkToFit="1"/>
    </xf>
    <xf numFmtId="0" fontId="4" fillId="18" borderId="52" xfId="1" applyFont="1" applyFill="1" applyBorder="1" applyAlignment="1">
      <alignment horizontal="center" vertical="center" shrinkToFit="1"/>
    </xf>
    <xf numFmtId="0" fontId="0" fillId="3" borderId="4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3" fontId="0" fillId="0" borderId="0" xfId="0" applyNumberFormat="1" applyFill="1" applyBorder="1"/>
    <xf numFmtId="3" fontId="0" fillId="6" borderId="6" xfId="0" applyNumberFormat="1" applyFill="1" applyBorder="1" applyAlignment="1">
      <alignment horizontal="center" vertical="center"/>
    </xf>
    <xf numFmtId="3" fontId="0" fillId="6" borderId="9" xfId="0" applyNumberFormat="1" applyFill="1" applyBorder="1" applyAlignment="1">
      <alignment horizontal="center" vertical="center"/>
    </xf>
    <xf numFmtId="0" fontId="0" fillId="5" borderId="60" xfId="0" applyFill="1" applyBorder="1" applyAlignment="1">
      <alignment horizontal="center" vertical="center"/>
    </xf>
    <xf numFmtId="0" fontId="1" fillId="2" borderId="79" xfId="0" applyFont="1" applyFill="1" applyBorder="1" applyAlignment="1">
      <alignment horizontal="center" vertical="center"/>
    </xf>
    <xf numFmtId="3" fontId="0" fillId="5" borderId="60" xfId="0" applyNumberFormat="1" applyFill="1" applyBorder="1" applyAlignment="1">
      <alignment horizontal="center" vertical="center"/>
    </xf>
    <xf numFmtId="3" fontId="0" fillId="5" borderId="80" xfId="0" applyNumberFormat="1" applyFill="1" applyBorder="1" applyAlignment="1">
      <alignment horizontal="center" vertical="center"/>
    </xf>
    <xf numFmtId="3" fontId="0" fillId="0" borderId="6" xfId="0" applyNumberFormat="1" applyBorder="1"/>
    <xf numFmtId="3" fontId="0" fillId="0" borderId="9" xfId="0" applyNumberFormat="1" applyBorder="1"/>
    <xf numFmtId="0" fontId="4" fillId="5" borderId="81" xfId="1" applyFont="1" applyFill="1" applyBorder="1" applyAlignment="1">
      <alignment vertical="center"/>
    </xf>
    <xf numFmtId="0" fontId="3" fillId="6" borderId="82" xfId="1" applyFont="1" applyFill="1" applyBorder="1" applyAlignment="1">
      <alignment horizontal="center" vertical="center"/>
    </xf>
    <xf numFmtId="0" fontId="1" fillId="5" borderId="1" xfId="0" applyFont="1" applyFill="1" applyBorder="1"/>
    <xf numFmtId="9" fontId="0" fillId="5" borderId="3" xfId="0" applyNumberFormat="1" applyFont="1" applyFill="1" applyBorder="1" applyAlignment="1">
      <alignment horizontal="center" vertical="center"/>
    </xf>
    <xf numFmtId="0" fontId="1" fillId="5" borderId="4" xfId="0" applyFont="1" applyFill="1" applyBorder="1"/>
    <xf numFmtId="9" fontId="0" fillId="5" borderId="6" xfId="0" applyNumberFormat="1" applyFont="1" applyFill="1" applyBorder="1" applyAlignment="1">
      <alignment horizontal="center" vertical="center"/>
    </xf>
    <xf numFmtId="0" fontId="1" fillId="5" borderId="7" xfId="0" applyFont="1" applyFill="1" applyBorder="1"/>
    <xf numFmtId="9" fontId="0" fillId="5" borderId="9" xfId="0" applyNumberFormat="1" applyFont="1" applyFill="1" applyBorder="1" applyAlignment="1">
      <alignment horizontal="center" vertical="center"/>
    </xf>
    <xf numFmtId="0" fontId="1" fillId="5" borderId="81" xfId="0" applyFont="1" applyFill="1" applyBorder="1" applyAlignment="1">
      <alignment horizontal="left" vertical="center"/>
    </xf>
    <xf numFmtId="0" fontId="0" fillId="6" borderId="82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/>
    </xf>
    <xf numFmtId="0" fontId="0" fillId="6" borderId="3" xfId="0" applyFill="1" applyBorder="1" applyAlignment="1">
      <alignment horizontal="center" vertical="center"/>
    </xf>
    <xf numFmtId="0" fontId="1" fillId="5" borderId="7" xfId="0" applyFont="1" applyFill="1" applyBorder="1" applyAlignment="1">
      <alignment horizontal="left"/>
    </xf>
    <xf numFmtId="0" fontId="0" fillId="5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69" xfId="0" applyFont="1" applyFill="1" applyBorder="1"/>
    <xf numFmtId="0" fontId="0" fillId="3" borderId="71" xfId="0" applyFont="1" applyFill="1" applyBorder="1"/>
    <xf numFmtId="0" fontId="0" fillId="2" borderId="44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3" fontId="0" fillId="0" borderId="11" xfId="0" applyNumberFormat="1" applyBorder="1"/>
    <xf numFmtId="3" fontId="0" fillId="0" borderId="48" xfId="0" applyNumberFormat="1" applyBorder="1"/>
    <xf numFmtId="3" fontId="0" fillId="6" borderId="4" xfId="0" applyNumberFormat="1" applyFill="1" applyBorder="1"/>
    <xf numFmtId="3" fontId="0" fillId="6" borderId="7" xfId="0" applyNumberFormat="1" applyFill="1" applyBorder="1"/>
    <xf numFmtId="3" fontId="0" fillId="6" borderId="44" xfId="0" applyNumberFormat="1" applyFill="1" applyBorder="1"/>
    <xf numFmtId="3" fontId="0" fillId="6" borderId="45" xfId="0" applyNumberFormat="1" applyFill="1" applyBorder="1"/>
    <xf numFmtId="3" fontId="0" fillId="5" borderId="4" xfId="0" applyNumberFormat="1" applyFill="1" applyBorder="1"/>
    <xf numFmtId="3" fontId="0" fillId="5" borderId="6" xfId="0" applyNumberFormat="1" applyFill="1" applyBorder="1"/>
    <xf numFmtId="3" fontId="0" fillId="5" borderId="7" xfId="0" applyNumberFormat="1" applyFill="1" applyBorder="1"/>
    <xf numFmtId="3" fontId="0" fillId="5" borderId="9" xfId="0" applyNumberFormat="1" applyFill="1" applyBorder="1"/>
    <xf numFmtId="0" fontId="0" fillId="5" borderId="9" xfId="0" applyFill="1" applyBorder="1" applyAlignment="1">
      <alignment horizontal="center"/>
    </xf>
    <xf numFmtId="0" fontId="1" fillId="5" borderId="81" xfId="0" applyFont="1" applyFill="1" applyBorder="1"/>
    <xf numFmtId="0" fontId="1" fillId="5" borderId="81" xfId="0" applyFont="1" applyFill="1" applyBorder="1" applyAlignment="1">
      <alignment vertical="center"/>
    </xf>
    <xf numFmtId="0" fontId="0" fillId="6" borderId="84" xfId="0" applyFill="1" applyBorder="1" applyAlignment="1">
      <alignment horizontal="center" vertical="center"/>
    </xf>
    <xf numFmtId="46" fontId="0" fillId="0" borderId="5" xfId="0" applyNumberFormat="1" applyBorder="1" applyAlignment="1">
      <alignment horizontal="center"/>
    </xf>
    <xf numFmtId="46" fontId="0" fillId="0" borderId="6" xfId="0" applyNumberFormat="1" applyBorder="1" applyAlignment="1">
      <alignment horizontal="center"/>
    </xf>
    <xf numFmtId="46" fontId="0" fillId="0" borderId="8" xfId="0" applyNumberFormat="1" applyBorder="1" applyAlignment="1">
      <alignment horizontal="center"/>
    </xf>
    <xf numFmtId="46" fontId="0" fillId="0" borderId="9" xfId="0" applyNumberFormat="1" applyBorder="1" applyAlignment="1">
      <alignment horizontal="center"/>
    </xf>
    <xf numFmtId="0" fontId="6" fillId="3" borderId="86" xfId="1" applyFont="1" applyFill="1" applyBorder="1" applyAlignment="1">
      <alignment vertical="center"/>
    </xf>
    <xf numFmtId="0" fontId="6" fillId="3" borderId="87" xfId="1" applyFont="1" applyFill="1" applyBorder="1" applyAlignment="1">
      <alignment vertical="center"/>
    </xf>
    <xf numFmtId="0" fontId="6" fillId="3" borderId="88" xfId="1" applyFont="1" applyFill="1" applyBorder="1" applyAlignment="1">
      <alignment vertical="center"/>
    </xf>
    <xf numFmtId="49" fontId="2" fillId="0" borderId="4" xfId="1" applyNumberFormat="1" applyBorder="1" applyAlignment="1">
      <alignment horizontal="left" vertical="top"/>
    </xf>
    <xf numFmtId="14" fontId="2" fillId="0" borderId="5" xfId="1" applyNumberFormat="1" applyBorder="1" applyAlignment="1">
      <alignment horizontal="left" vertical="top"/>
    </xf>
    <xf numFmtId="0" fontId="2" fillId="0" borderId="6" xfId="1" quotePrefix="1" applyBorder="1" applyAlignment="1">
      <alignment horizontal="left" vertical="center" wrapText="1"/>
    </xf>
    <xf numFmtId="0" fontId="2" fillId="0" borderId="6" xfId="1" quotePrefix="1" applyBorder="1" applyAlignment="1">
      <alignment horizontal="left" vertical="center"/>
    </xf>
    <xf numFmtId="49" fontId="2" fillId="0" borderId="46" xfId="1" applyNumberFormat="1" applyBorder="1" applyAlignment="1">
      <alignment horizontal="left" vertical="top"/>
    </xf>
    <xf numFmtId="14" fontId="2" fillId="0" borderId="59" xfId="1" applyNumberFormat="1" applyBorder="1" applyAlignment="1">
      <alignment horizontal="left" vertical="top"/>
    </xf>
    <xf numFmtId="0" fontId="2" fillId="0" borderId="47" xfId="1" quotePrefix="1" applyBorder="1" applyAlignment="1">
      <alignment horizontal="left" vertical="center" wrapText="1"/>
    </xf>
    <xf numFmtId="49" fontId="2" fillId="0" borderId="89" xfId="1" applyNumberFormat="1" applyBorder="1"/>
    <xf numFmtId="49" fontId="2" fillId="0" borderId="90" xfId="1" applyNumberFormat="1" applyBorder="1"/>
    <xf numFmtId="49" fontId="2" fillId="0" borderId="91" xfId="1" quotePrefix="1" applyNumberFormat="1" applyBorder="1"/>
    <xf numFmtId="3" fontId="2" fillId="0" borderId="0" xfId="1" applyNumberFormat="1"/>
    <xf numFmtId="0" fontId="3" fillId="0" borderId="0" xfId="1" applyNumberFormat="1" applyFont="1" applyFill="1" applyBorder="1" applyAlignment="1">
      <alignment horizontal="center" vertical="center"/>
    </xf>
    <xf numFmtId="3" fontId="3" fillId="5" borderId="93" xfId="1" applyNumberFormat="1" applyFont="1" applyFill="1" applyBorder="1" applyAlignment="1">
      <alignment horizontal="center" vertical="center"/>
    </xf>
    <xf numFmtId="3" fontId="3" fillId="5" borderId="94" xfId="1" applyNumberFormat="1" applyFont="1" applyFill="1" applyBorder="1" applyAlignment="1">
      <alignment horizontal="center" vertical="center"/>
    </xf>
    <xf numFmtId="3" fontId="3" fillId="5" borderId="95" xfId="1" applyNumberFormat="1" applyFont="1" applyFill="1" applyBorder="1" applyAlignment="1">
      <alignment horizontal="center" vertical="center"/>
    </xf>
    <xf numFmtId="3" fontId="3" fillId="5" borderId="96" xfId="1" applyNumberFormat="1" applyFont="1" applyFill="1" applyBorder="1" applyAlignment="1">
      <alignment horizontal="center" vertical="center"/>
    </xf>
    <xf numFmtId="3" fontId="3" fillId="5" borderId="97" xfId="1" applyNumberFormat="1" applyFont="1" applyFill="1" applyBorder="1" applyAlignment="1">
      <alignment horizontal="center" vertical="center"/>
    </xf>
    <xf numFmtId="3" fontId="3" fillId="5" borderId="98" xfId="1" applyNumberFormat="1" applyFont="1" applyFill="1" applyBorder="1" applyAlignment="1">
      <alignment horizontal="center" vertical="center"/>
    </xf>
    <xf numFmtId="0" fontId="0" fillId="0" borderId="0" xfId="0" applyFill="1"/>
    <xf numFmtId="0" fontId="1" fillId="0" borderId="35" xfId="0" applyFont="1" applyFill="1" applyBorder="1" applyAlignment="1">
      <alignment vertical="center"/>
    </xf>
    <xf numFmtId="0" fontId="0" fillId="0" borderId="35" xfId="0" applyFill="1" applyBorder="1" applyAlignment="1">
      <alignment vertical="center"/>
    </xf>
    <xf numFmtId="1" fontId="0" fillId="0" borderId="35" xfId="0" applyNumberFormat="1" applyFill="1" applyBorder="1" applyAlignment="1">
      <alignment horizontal="center" vertical="center"/>
    </xf>
    <xf numFmtId="3" fontId="3" fillId="5" borderId="5" xfId="1" applyNumberFormat="1" applyFont="1" applyFill="1" applyBorder="1" applyAlignment="1">
      <alignment horizontal="center" vertical="center"/>
    </xf>
    <xf numFmtId="3" fontId="3" fillId="5" borderId="6" xfId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0" fontId="0" fillId="0" borderId="0" xfId="0" applyNumberFormat="1"/>
    <xf numFmtId="21" fontId="0" fillId="0" borderId="0" xfId="0" applyNumberFormat="1"/>
    <xf numFmtId="0" fontId="7" fillId="0" borderId="0" xfId="0" applyFont="1" applyAlignment="1">
      <alignment vertical="center"/>
    </xf>
    <xf numFmtId="3" fontId="0" fillId="0" borderId="98" xfId="0" applyNumberFormat="1" applyFill="1" applyBorder="1" applyAlignment="1">
      <alignment horizontal="center" vertical="center"/>
    </xf>
    <xf numFmtId="0" fontId="1" fillId="2" borderId="88" xfId="0" applyFont="1" applyFill="1" applyBorder="1" applyAlignment="1">
      <alignment horizontal="center" vertical="center"/>
    </xf>
    <xf numFmtId="3" fontId="0" fillId="0" borderId="95" xfId="0" applyNumberFormat="1" applyFill="1" applyBorder="1" applyAlignment="1">
      <alignment horizontal="center" vertical="center"/>
    </xf>
    <xf numFmtId="0" fontId="1" fillId="5" borderId="86" xfId="0" applyFont="1" applyFill="1" applyBorder="1" applyAlignment="1">
      <alignment horizontal="left" vertical="center"/>
    </xf>
    <xf numFmtId="0" fontId="0" fillId="6" borderId="88" xfId="0" applyFill="1" applyBorder="1" applyAlignment="1">
      <alignment horizontal="center" vertical="center"/>
    </xf>
    <xf numFmtId="0" fontId="0" fillId="6" borderId="95" xfId="0" applyFill="1" applyBorder="1" applyAlignment="1">
      <alignment horizontal="center" vertical="center"/>
    </xf>
    <xf numFmtId="0" fontId="1" fillId="5" borderId="93" xfId="0" applyFont="1" applyFill="1" applyBorder="1" applyAlignment="1">
      <alignment horizontal="left" vertical="center"/>
    </xf>
    <xf numFmtId="0" fontId="1" fillId="5" borderId="96" xfId="0" applyFont="1" applyFill="1" applyBorder="1" applyAlignment="1">
      <alignment horizontal="left" vertical="center"/>
    </xf>
    <xf numFmtId="0" fontId="0" fillId="6" borderId="98" xfId="0" applyFill="1" applyBorder="1" applyAlignment="1">
      <alignment horizontal="center" vertical="center"/>
    </xf>
    <xf numFmtId="0" fontId="1" fillId="2" borderId="86" xfId="0" applyFont="1" applyFill="1" applyBorder="1" applyAlignment="1">
      <alignment horizontal="center" vertical="center"/>
    </xf>
    <xf numFmtId="0" fontId="1" fillId="2" borderId="87" xfId="0" applyFont="1" applyFill="1" applyBorder="1" applyAlignment="1">
      <alignment horizontal="center" vertical="center"/>
    </xf>
    <xf numFmtId="0" fontId="0" fillId="3" borderId="93" xfId="0" applyFill="1" applyBorder="1" applyAlignment="1">
      <alignment horizontal="center" vertical="center"/>
    </xf>
    <xf numFmtId="0" fontId="0" fillId="0" borderId="94" xfId="0" applyBorder="1" applyAlignment="1">
      <alignment horizontal="center" vertical="center"/>
    </xf>
    <xf numFmtId="9" fontId="0" fillId="0" borderId="94" xfId="0" applyNumberFormat="1" applyBorder="1" applyAlignment="1">
      <alignment horizontal="center" vertical="center"/>
    </xf>
    <xf numFmtId="164" fontId="0" fillId="0" borderId="95" xfId="0" applyNumberFormat="1" applyBorder="1" applyAlignment="1">
      <alignment horizontal="center" vertical="center"/>
    </xf>
    <xf numFmtId="0" fontId="0" fillId="3" borderId="96" xfId="0" applyFill="1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9" fontId="0" fillId="0" borderId="97" xfId="0" applyNumberFormat="1" applyBorder="1" applyAlignment="1">
      <alignment horizontal="center" vertical="center"/>
    </xf>
    <xf numFmtId="164" fontId="0" fillId="0" borderId="98" xfId="0" applyNumberFormat="1" applyBorder="1" applyAlignment="1">
      <alignment horizontal="center" vertical="center"/>
    </xf>
    <xf numFmtId="0" fontId="1" fillId="5" borderId="103" xfId="0" applyFont="1" applyFill="1" applyBorder="1" applyAlignment="1">
      <alignment horizontal="left" vertical="center"/>
    </xf>
    <xf numFmtId="3" fontId="0" fillId="5" borderId="104" xfId="0" applyNumberFormat="1" applyFill="1" applyBorder="1" applyAlignment="1">
      <alignment horizontal="center" vertical="center"/>
    </xf>
    <xf numFmtId="3" fontId="0" fillId="0" borderId="94" xfId="0" applyNumberFormat="1" applyBorder="1" applyAlignment="1">
      <alignment horizontal="center" vertical="center"/>
    </xf>
    <xf numFmtId="3" fontId="0" fillId="0" borderId="97" xfId="0" applyNumberFormat="1" applyBorder="1" applyAlignment="1">
      <alignment horizontal="center" vertical="center"/>
    </xf>
    <xf numFmtId="0" fontId="1" fillId="2" borderId="68" xfId="0" applyFont="1" applyFill="1" applyBorder="1" applyAlignment="1">
      <alignment vertical="center"/>
    </xf>
    <xf numFmtId="3" fontId="0" fillId="0" borderId="70" xfId="0" applyNumberFormat="1" applyBorder="1" applyAlignment="1">
      <alignment horizontal="center" vertical="center"/>
    </xf>
    <xf numFmtId="3" fontId="0" fillId="0" borderId="72" xfId="0" applyNumberFormat="1" applyBorder="1" applyAlignment="1">
      <alignment horizontal="center" vertical="center"/>
    </xf>
    <xf numFmtId="0" fontId="2" fillId="3" borderId="93" xfId="1" applyFill="1" applyBorder="1" applyAlignment="1">
      <alignment vertical="center"/>
    </xf>
    <xf numFmtId="0" fontId="2" fillId="3" borderId="96" xfId="1" applyFill="1" applyBorder="1" applyAlignment="1">
      <alignment vertical="center"/>
    </xf>
    <xf numFmtId="0" fontId="0" fillId="2" borderId="68" xfId="0" applyFill="1" applyBorder="1"/>
    <xf numFmtId="3" fontId="0" fillId="0" borderId="0" xfId="0" applyNumberFormat="1"/>
    <xf numFmtId="3" fontId="0" fillId="6" borderId="95" xfId="0" applyNumberFormat="1" applyFill="1" applyBorder="1" applyAlignment="1">
      <alignment horizontal="center" vertical="center"/>
    </xf>
    <xf numFmtId="3" fontId="0" fillId="6" borderId="98" xfId="0" applyNumberFormat="1" applyFill="1" applyBorder="1" applyAlignment="1">
      <alignment horizontal="center" vertical="center"/>
    </xf>
    <xf numFmtId="3" fontId="3" fillId="4" borderId="56" xfId="1" applyNumberFormat="1" applyFont="1" applyFill="1" applyBorder="1" applyAlignment="1">
      <alignment horizontal="center" vertical="center"/>
    </xf>
    <xf numFmtId="3" fontId="3" fillId="4" borderId="99" xfId="1" applyNumberFormat="1" applyFont="1" applyFill="1" applyBorder="1" applyAlignment="1">
      <alignment horizontal="center" vertical="center"/>
    </xf>
    <xf numFmtId="3" fontId="3" fillId="4" borderId="54" xfId="1" applyNumberFormat="1" applyFont="1" applyFill="1" applyBorder="1" applyAlignment="1">
      <alignment horizontal="center" vertical="center"/>
    </xf>
    <xf numFmtId="46" fontId="4" fillId="2" borderId="86" xfId="1" applyNumberFormat="1" applyFont="1" applyFill="1" applyBorder="1" applyAlignment="1">
      <alignment horizontal="center" vertical="center"/>
    </xf>
    <xf numFmtId="46" fontId="4" fillId="2" borderId="87" xfId="1" applyNumberFormat="1" applyFont="1" applyFill="1" applyBorder="1" applyAlignment="1">
      <alignment horizontal="center" vertical="center"/>
    </xf>
    <xf numFmtId="46" fontId="4" fillId="2" borderId="88" xfId="1" applyNumberFormat="1" applyFont="1" applyFill="1" applyBorder="1" applyAlignment="1">
      <alignment horizontal="center" vertical="center"/>
    </xf>
    <xf numFmtId="46" fontId="2" fillId="4" borderId="69" xfId="1" applyNumberFormat="1" applyFill="1" applyBorder="1" applyAlignment="1">
      <alignment horizontal="center"/>
    </xf>
    <xf numFmtId="46" fontId="2" fillId="4" borderId="92" xfId="1" applyNumberFormat="1" applyFill="1" applyBorder="1" applyAlignment="1">
      <alignment horizontal="center"/>
    </xf>
    <xf numFmtId="46" fontId="2" fillId="4" borderId="70" xfId="1" applyNumberFormat="1" applyFill="1" applyBorder="1" applyAlignment="1">
      <alignment horizontal="center"/>
    </xf>
    <xf numFmtId="3" fontId="3" fillId="4" borderId="69" xfId="1" applyNumberFormat="1" applyFont="1" applyFill="1" applyBorder="1" applyAlignment="1">
      <alignment horizontal="center" vertical="center"/>
    </xf>
    <xf numFmtId="3" fontId="3" fillId="4" borderId="92" xfId="1" applyNumberFormat="1" applyFont="1" applyFill="1" applyBorder="1" applyAlignment="1">
      <alignment horizontal="center" vertical="center"/>
    </xf>
    <xf numFmtId="3" fontId="3" fillId="4" borderId="70" xfId="1" applyNumberFormat="1" applyFont="1" applyFill="1" applyBorder="1" applyAlignment="1">
      <alignment horizontal="center" vertical="center"/>
    </xf>
    <xf numFmtId="0" fontId="3" fillId="4" borderId="93" xfId="1" applyNumberFormat="1" applyFont="1" applyFill="1" applyBorder="1" applyAlignment="1">
      <alignment horizontal="center" vertical="center"/>
    </xf>
    <xf numFmtId="0" fontId="3" fillId="4" borderId="94" xfId="1" applyNumberFormat="1" applyFont="1" applyFill="1" applyBorder="1" applyAlignment="1">
      <alignment horizontal="center" vertical="center"/>
    </xf>
    <xf numFmtId="0" fontId="3" fillId="4" borderId="95" xfId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76" xfId="0" applyFont="1" applyFill="1" applyBorder="1" applyAlignment="1">
      <alignment horizontal="center" vertical="center"/>
    </xf>
    <xf numFmtId="0" fontId="1" fillId="2" borderId="8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" fillId="4" borderId="33" xfId="1" applyFill="1" applyBorder="1" applyAlignment="1">
      <alignment horizontal="center"/>
    </xf>
    <xf numFmtId="0" fontId="2" fillId="4" borderId="34" xfId="1" applyFill="1" applyBorder="1" applyAlignment="1">
      <alignment horizontal="center"/>
    </xf>
    <xf numFmtId="0" fontId="2" fillId="4" borderId="0" xfId="1" applyFill="1" applyBorder="1" applyAlignment="1">
      <alignment horizontal="center"/>
    </xf>
    <xf numFmtId="0" fontId="2" fillId="4" borderId="36" xfId="1" applyFill="1" applyBorder="1" applyAlignment="1">
      <alignment horizontal="center"/>
    </xf>
    <xf numFmtId="0" fontId="3" fillId="13" borderId="0" xfId="1" applyFont="1" applyFill="1" applyBorder="1" applyAlignment="1">
      <alignment horizontal="center" vertical="center" shrinkToFit="1"/>
    </xf>
    <xf numFmtId="0" fontId="3" fillId="13" borderId="36" xfId="1" applyFont="1" applyFill="1" applyBorder="1" applyAlignment="1">
      <alignment horizontal="center" vertical="center" shrinkToFit="1"/>
    </xf>
    <xf numFmtId="0" fontId="3" fillId="13" borderId="38" xfId="1" applyFont="1" applyFill="1" applyBorder="1" applyAlignment="1">
      <alignment horizontal="center" vertical="center" shrinkToFit="1"/>
    </xf>
    <xf numFmtId="0" fontId="3" fillId="13" borderId="39" xfId="1" applyFont="1" applyFill="1" applyBorder="1" applyAlignment="1">
      <alignment horizontal="center" vertical="center" shrinkToFit="1"/>
    </xf>
    <xf numFmtId="0" fontId="2" fillId="4" borderId="35" xfId="1" applyFill="1" applyBorder="1" applyAlignment="1">
      <alignment horizontal="center"/>
    </xf>
    <xf numFmtId="0" fontId="2" fillId="4" borderId="37" xfId="1" applyFill="1" applyBorder="1" applyAlignment="1">
      <alignment horizontal="center"/>
    </xf>
    <xf numFmtId="0" fontId="2" fillId="4" borderId="38" xfId="1" applyFill="1" applyBorder="1" applyAlignment="1">
      <alignment horizontal="center"/>
    </xf>
    <xf numFmtId="0" fontId="5" fillId="2" borderId="73" xfId="1" applyFont="1" applyFill="1" applyBorder="1" applyAlignment="1">
      <alignment horizontal="center" vertical="center"/>
    </xf>
    <xf numFmtId="0" fontId="5" fillId="2" borderId="74" xfId="1" applyFont="1" applyFill="1" applyBorder="1" applyAlignment="1">
      <alignment horizontal="center" vertical="center"/>
    </xf>
    <xf numFmtId="0" fontId="5" fillId="2" borderId="75" xfId="1" applyFont="1" applyFill="1" applyBorder="1" applyAlignment="1">
      <alignment horizontal="center" vertical="center"/>
    </xf>
    <xf numFmtId="0" fontId="5" fillId="3" borderId="76" xfId="1" applyFont="1" applyFill="1" applyBorder="1" applyAlignment="1">
      <alignment horizontal="center" vertical="center" textRotation="90"/>
    </xf>
    <xf numFmtId="0" fontId="5" fillId="3" borderId="77" xfId="1" applyFont="1" applyFill="1" applyBorder="1" applyAlignment="1">
      <alignment horizontal="center" vertical="center" textRotation="90"/>
    </xf>
    <xf numFmtId="0" fontId="5" fillId="3" borderId="78" xfId="1" applyFont="1" applyFill="1" applyBorder="1" applyAlignment="1">
      <alignment horizontal="center" vertical="center" textRotation="90"/>
    </xf>
    <xf numFmtId="0" fontId="2" fillId="4" borderId="32" xfId="1" applyFill="1" applyBorder="1" applyAlignment="1">
      <alignment horizontal="center"/>
    </xf>
    <xf numFmtId="46" fontId="0" fillId="6" borderId="85" xfId="0" applyNumberFormat="1" applyFill="1" applyBorder="1" applyAlignment="1">
      <alignment horizontal="center"/>
    </xf>
    <xf numFmtId="46" fontId="0" fillId="6" borderId="74" xfId="0" applyNumberFormat="1" applyFill="1" applyBorder="1" applyAlignment="1">
      <alignment horizontal="center"/>
    </xf>
    <xf numFmtId="46" fontId="0" fillId="6" borderId="75" xfId="0" applyNumberFormat="1" applyFill="1" applyBorder="1" applyAlignment="1">
      <alignment horizontal="center"/>
    </xf>
    <xf numFmtId="10" fontId="0" fillId="5" borderId="2" xfId="0" applyNumberFormat="1" applyFill="1" applyBorder="1" applyAlignment="1">
      <alignment horizontal="center"/>
    </xf>
    <xf numFmtId="10" fontId="0" fillId="5" borderId="3" xfId="0" applyNumberFormat="1" applyFill="1" applyBorder="1" applyAlignment="1">
      <alignment horizontal="center"/>
    </xf>
    <xf numFmtId="10" fontId="0" fillId="5" borderId="5" xfId="0" applyNumberFormat="1" applyFill="1" applyBorder="1" applyAlignment="1">
      <alignment horizontal="center"/>
    </xf>
    <xf numFmtId="10" fontId="0" fillId="5" borderId="6" xfId="0" applyNumberFormat="1" applyFill="1" applyBorder="1" applyAlignment="1">
      <alignment horizontal="center"/>
    </xf>
    <xf numFmtId="10" fontId="0" fillId="5" borderId="8" xfId="0" applyNumberFormat="1" applyFill="1" applyBorder="1" applyAlignment="1">
      <alignment horizontal="center"/>
    </xf>
    <xf numFmtId="10" fontId="0" fillId="5" borderId="9" xfId="0" applyNumberFormat="1" applyFill="1" applyBorder="1" applyAlignment="1">
      <alignment horizontal="center"/>
    </xf>
    <xf numFmtId="46" fontId="0" fillId="5" borderId="8" xfId="0" applyNumberFormat="1" applyFill="1" applyBorder="1" applyAlignment="1">
      <alignment horizontal="center"/>
    </xf>
    <xf numFmtId="46" fontId="0" fillId="5" borderId="9" xfId="0" applyNumberFormat="1" applyFill="1" applyBorder="1" applyAlignment="1">
      <alignment horizontal="center"/>
    </xf>
    <xf numFmtId="3" fontId="0" fillId="5" borderId="85" xfId="0" applyNumberFormat="1" applyFill="1" applyBorder="1" applyAlignment="1">
      <alignment horizontal="center"/>
    </xf>
    <xf numFmtId="3" fontId="0" fillId="5" borderId="74" xfId="0" applyNumberFormat="1" applyFill="1" applyBorder="1" applyAlignment="1">
      <alignment horizontal="center"/>
    </xf>
    <xf numFmtId="3" fontId="0" fillId="5" borderId="75" xfId="0" applyNumberFormat="1" applyFill="1" applyBorder="1" applyAlignment="1">
      <alignment horizontal="center"/>
    </xf>
    <xf numFmtId="9" fontId="0" fillId="6" borderId="84" xfId="0" applyNumberFormat="1" applyFill="1" applyBorder="1" applyAlignment="1">
      <alignment horizontal="center" vertical="center"/>
    </xf>
    <xf numFmtId="9" fontId="0" fillId="6" borderId="82" xfId="0" applyNumberFormat="1" applyFill="1" applyBorder="1" applyAlignment="1">
      <alignment horizontal="center" vertical="center"/>
    </xf>
    <xf numFmtId="46" fontId="0" fillId="5" borderId="2" xfId="0" applyNumberFormat="1" applyFill="1" applyBorder="1" applyAlignment="1">
      <alignment horizontal="center"/>
    </xf>
    <xf numFmtId="46" fontId="0" fillId="5" borderId="3" xfId="0" applyNumberFormat="1" applyFill="1" applyBorder="1" applyAlignment="1">
      <alignment horizontal="center"/>
    </xf>
    <xf numFmtId="46" fontId="0" fillId="5" borderId="5" xfId="0" applyNumberFormat="1" applyFill="1" applyBorder="1" applyAlignment="1">
      <alignment horizontal="center"/>
    </xf>
    <xf numFmtId="46" fontId="0" fillId="5" borderId="6" xfId="0" applyNumberFormat="1" applyFill="1" applyBorder="1" applyAlignment="1">
      <alignment horizontal="center"/>
    </xf>
    <xf numFmtId="0" fontId="1" fillId="2" borderId="100" xfId="0" applyFont="1" applyFill="1" applyBorder="1" applyAlignment="1">
      <alignment horizontal="center" vertical="center"/>
    </xf>
    <xf numFmtId="0" fontId="1" fillId="2" borderId="101" xfId="0" applyFont="1" applyFill="1" applyBorder="1" applyAlignment="1">
      <alignment horizontal="center" vertical="center"/>
    </xf>
    <xf numFmtId="0" fontId="1" fillId="2" borderId="102" xfId="0" applyFont="1" applyFill="1" applyBorder="1" applyAlignment="1">
      <alignment horizontal="center" vertical="center"/>
    </xf>
    <xf numFmtId="0" fontId="1" fillId="2" borderId="67" xfId="0" applyFont="1" applyFill="1" applyBorder="1" applyAlignment="1">
      <alignment horizontal="center" vertical="center"/>
    </xf>
    <xf numFmtId="0" fontId="1" fillId="2" borderId="6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1" fontId="0" fillId="0" borderId="97" xfId="0" applyNumberFormat="1" applyBorder="1" applyAlignment="1">
      <alignment horizontal="center" vertical="center"/>
    </xf>
  </cellXfs>
  <cellStyles count="2">
    <cellStyle name="Standard" xfId="0" builtinId="0"/>
    <cellStyle name="Standard 2" xfId="1" xr:uid="{BFEBEBCE-DFA9-4635-997C-8E87F5D07237}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nitas/Desktop/Last%20War/LW_Schiffe_1.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mponenten"/>
      <sheetName val="Rassen"/>
      <sheetName val="Forschungen"/>
      <sheetName val="Schiffsdesign 01"/>
      <sheetName val="Schiffsdesign 02"/>
      <sheetName val="Schiffsdesign 03"/>
      <sheetName val="Schiffsdesign 04"/>
      <sheetName val="Schiffsdesign 05"/>
      <sheetName val="Schiffsübersicht"/>
      <sheetName val="Releasenotes"/>
    </sheetNames>
    <sheetDataSet>
      <sheetData sheetId="0">
        <row r="2">
          <cell r="C2" t="str">
            <v>Leicht</v>
          </cell>
          <cell r="D2">
            <v>1000</v>
          </cell>
          <cell r="E2">
            <v>200</v>
          </cell>
          <cell r="J2">
            <v>1500</v>
          </cell>
          <cell r="K2">
            <v>1000</v>
          </cell>
          <cell r="M2">
            <v>2160</v>
          </cell>
        </row>
        <row r="3">
          <cell r="C3" t="str">
            <v>Mittel</v>
          </cell>
          <cell r="D3">
            <v>3500</v>
          </cell>
          <cell r="E3">
            <v>700</v>
          </cell>
          <cell r="J3">
            <v>7000</v>
          </cell>
          <cell r="K3">
            <v>5000</v>
          </cell>
          <cell r="M3">
            <v>33120</v>
          </cell>
        </row>
        <row r="4">
          <cell r="C4" t="str">
            <v>Schwer</v>
          </cell>
          <cell r="D4">
            <v>12500</v>
          </cell>
          <cell r="E4">
            <v>2500</v>
          </cell>
          <cell r="J4">
            <v>35000</v>
          </cell>
          <cell r="K4">
            <v>25000</v>
          </cell>
          <cell r="M4">
            <v>80640</v>
          </cell>
        </row>
        <row r="5">
          <cell r="C5" t="str">
            <v>Ion Leicht</v>
          </cell>
          <cell r="D5">
            <v>2100</v>
          </cell>
          <cell r="E5">
            <v>2595</v>
          </cell>
          <cell r="F5">
            <v>3780</v>
          </cell>
          <cell r="H5">
            <v>3100</v>
          </cell>
          <cell r="K5">
            <v>-200</v>
          </cell>
          <cell r="L5">
            <v>200</v>
          </cell>
          <cell r="M5">
            <v>21600</v>
          </cell>
          <cell r="Y5" t="str">
            <v>IT</v>
          </cell>
        </row>
        <row r="6">
          <cell r="C6" t="str">
            <v>Ion Mittel</v>
          </cell>
          <cell r="D6">
            <v>6600</v>
          </cell>
          <cell r="E6">
            <v>7200</v>
          </cell>
          <cell r="F6">
            <v>8200</v>
          </cell>
          <cell r="H6">
            <v>4800</v>
          </cell>
          <cell r="K6">
            <v>-1000</v>
          </cell>
          <cell r="L6">
            <v>1000</v>
          </cell>
          <cell r="M6">
            <v>32400</v>
          </cell>
          <cell r="Y6" t="str">
            <v>IT</v>
          </cell>
        </row>
        <row r="7">
          <cell r="C7" t="str">
            <v>Ion Schwer</v>
          </cell>
          <cell r="D7">
            <v>46600</v>
          </cell>
          <cell r="E7">
            <v>57800</v>
          </cell>
          <cell r="F7">
            <v>68200</v>
          </cell>
          <cell r="H7">
            <v>28600</v>
          </cell>
          <cell r="K7">
            <v>-5000</v>
          </cell>
          <cell r="L7">
            <v>5000</v>
          </cell>
          <cell r="M7">
            <v>64800</v>
          </cell>
          <cell r="Y7" t="str">
            <v>IT</v>
          </cell>
        </row>
        <row r="8">
          <cell r="C8" t="str">
            <v>Nuk Leicht</v>
          </cell>
          <cell r="D8">
            <v>850</v>
          </cell>
          <cell r="E8">
            <v>1650</v>
          </cell>
          <cell r="G8">
            <v>2075</v>
          </cell>
          <cell r="H8">
            <v>2600</v>
          </cell>
          <cell r="K8">
            <v>-300</v>
          </cell>
          <cell r="L8">
            <v>300</v>
          </cell>
          <cell r="M8">
            <v>18000</v>
          </cell>
          <cell r="Y8" t="str">
            <v>NU</v>
          </cell>
        </row>
        <row r="9">
          <cell r="C9" t="str">
            <v>Nuk Mittel</v>
          </cell>
          <cell r="D9">
            <v>4050</v>
          </cell>
          <cell r="E9">
            <v>5200</v>
          </cell>
          <cell r="G9">
            <v>7800</v>
          </cell>
          <cell r="H9">
            <v>6200</v>
          </cell>
          <cell r="K9">
            <v>-1500</v>
          </cell>
          <cell r="L9">
            <v>1500</v>
          </cell>
          <cell r="M9">
            <v>27000</v>
          </cell>
          <cell r="Y9" t="str">
            <v>NU</v>
          </cell>
        </row>
        <row r="10">
          <cell r="C10" t="str">
            <v>Nuk Schwer</v>
          </cell>
          <cell r="D10">
            <v>31050</v>
          </cell>
          <cell r="E10">
            <v>45700</v>
          </cell>
          <cell r="G10">
            <v>61500</v>
          </cell>
          <cell r="H10">
            <v>23400</v>
          </cell>
          <cell r="K10">
            <v>-7500</v>
          </cell>
          <cell r="L10">
            <v>7500</v>
          </cell>
          <cell r="M10">
            <v>54000</v>
          </cell>
          <cell r="Y10" t="str">
            <v>NU</v>
          </cell>
        </row>
        <row r="11">
          <cell r="C11" t="str">
            <v>Hyp Leicht</v>
          </cell>
          <cell r="D11">
            <v>6800</v>
          </cell>
          <cell r="E11">
            <v>10300</v>
          </cell>
          <cell r="F11">
            <v>9500</v>
          </cell>
          <cell r="G11">
            <v>12800</v>
          </cell>
          <cell r="H11">
            <v>7200</v>
          </cell>
          <cell r="K11">
            <v>-300</v>
          </cell>
          <cell r="L11">
            <v>300</v>
          </cell>
          <cell r="M11">
            <v>28800</v>
          </cell>
          <cell r="Y11" t="str">
            <v>HA</v>
          </cell>
        </row>
        <row r="12">
          <cell r="C12" t="str">
            <v>Hyp Mittel</v>
          </cell>
          <cell r="D12">
            <v>18200</v>
          </cell>
          <cell r="E12">
            <v>22500</v>
          </cell>
          <cell r="F12">
            <v>17250</v>
          </cell>
          <cell r="G12">
            <v>24600</v>
          </cell>
          <cell r="H12">
            <v>9600</v>
          </cell>
          <cell r="K12">
            <v>-1500</v>
          </cell>
          <cell r="L12">
            <v>1500</v>
          </cell>
          <cell r="M12">
            <v>43200</v>
          </cell>
          <cell r="Y12" t="str">
            <v>HA</v>
          </cell>
        </row>
        <row r="13">
          <cell r="C13" t="str">
            <v>Hyp Schwer</v>
          </cell>
          <cell r="D13">
            <v>72700</v>
          </cell>
          <cell r="E13">
            <v>53500</v>
          </cell>
          <cell r="F13">
            <v>88510</v>
          </cell>
          <cell r="G13">
            <v>83000</v>
          </cell>
          <cell r="H13">
            <v>36850</v>
          </cell>
          <cell r="K13">
            <v>-7500</v>
          </cell>
          <cell r="L13">
            <v>7500</v>
          </cell>
          <cell r="M13">
            <v>86400</v>
          </cell>
          <cell r="Y13" t="str">
            <v>HA</v>
          </cell>
        </row>
        <row r="14">
          <cell r="C14" t="str">
            <v>Gty Schwer</v>
          </cell>
          <cell r="D14">
            <v>40500</v>
          </cell>
          <cell r="E14">
            <v>57500</v>
          </cell>
          <cell r="F14">
            <v>58900</v>
          </cell>
          <cell r="G14">
            <v>69000</v>
          </cell>
          <cell r="H14">
            <v>86850</v>
          </cell>
          <cell r="I14">
            <v>20700</v>
          </cell>
          <cell r="K14">
            <v>-750</v>
          </cell>
          <cell r="L14">
            <v>10000</v>
          </cell>
          <cell r="M14">
            <v>129600</v>
          </cell>
          <cell r="Y14" t="str">
            <v>GA</v>
          </cell>
        </row>
      </sheetData>
      <sheetData sheetId="1">
        <row r="2">
          <cell r="A2" t="str">
            <v>Terraner</v>
          </cell>
        </row>
        <row r="3">
          <cell r="A3" t="str">
            <v>Noberianer</v>
          </cell>
        </row>
        <row r="4">
          <cell r="A4" t="str">
            <v>Bugserianer</v>
          </cell>
        </row>
        <row r="5">
          <cell r="A5" t="str">
            <v>Xianer</v>
          </cell>
        </row>
      </sheetData>
      <sheetData sheetId="2">
        <row r="6">
          <cell r="C6">
            <v>0</v>
          </cell>
        </row>
        <row r="7">
          <cell r="B7" t="str">
            <v>Gty</v>
          </cell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B10" t="str">
            <v>Hyp</v>
          </cell>
          <cell r="C10">
            <v>0</v>
          </cell>
        </row>
        <row r="11">
          <cell r="C11">
            <v>0</v>
          </cell>
        </row>
        <row r="12">
          <cell r="B12" t="str">
            <v>Ion</v>
          </cell>
          <cell r="C12">
            <v>0</v>
          </cell>
        </row>
        <row r="13">
          <cell r="C13">
            <v>7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B20" t="str">
            <v>Nuk</v>
          </cell>
          <cell r="C20">
            <v>14</v>
          </cell>
        </row>
        <row r="21">
          <cell r="C21">
            <v>0</v>
          </cell>
        </row>
        <row r="22">
          <cell r="C22">
            <v>5</v>
          </cell>
        </row>
        <row r="23">
          <cell r="C23">
            <v>12</v>
          </cell>
        </row>
        <row r="24">
          <cell r="C24">
            <v>6</v>
          </cell>
        </row>
        <row r="25">
          <cell r="C25">
            <v>1</v>
          </cell>
        </row>
        <row r="26">
          <cell r="C26">
            <v>1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10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5A934-649E-4A5D-A053-4DA8ED37D262}">
  <dimension ref="B2:X47"/>
  <sheetViews>
    <sheetView showGridLines="0" workbookViewId="0">
      <selection activeCell="W16" sqref="W16"/>
    </sheetView>
  </sheetViews>
  <sheetFormatPr baseColWidth="10" defaultRowHeight="15" outlineLevelCol="1" x14ac:dyDescent="0.25"/>
  <cols>
    <col min="2" max="2" width="25" customWidth="1"/>
    <col min="3" max="3" width="4.28515625" customWidth="1"/>
    <col min="10" max="10" width="4.28515625" customWidth="1"/>
    <col min="11" max="11" width="11.42578125" customWidth="1"/>
    <col min="13" max="13" width="4.28515625" customWidth="1"/>
    <col min="15" max="15" width="6.7109375" style="247" customWidth="1" outlineLevel="1"/>
    <col min="16" max="21" width="3.28515625" style="41" customWidth="1" outlineLevel="1"/>
    <col min="22" max="22" width="6.7109375" style="41" customWidth="1"/>
    <col min="23" max="23" width="21.42578125" customWidth="1"/>
  </cols>
  <sheetData>
    <row r="2" spans="2:24" ht="15.75" thickBot="1" x14ac:dyDescent="0.3">
      <c r="V2" s="65"/>
    </row>
    <row r="3" spans="2:24" ht="15.75" thickBot="1" x14ac:dyDescent="0.3">
      <c r="B3" s="7" t="s">
        <v>0</v>
      </c>
      <c r="C3" s="8"/>
      <c r="D3" s="8" t="s">
        <v>1</v>
      </c>
      <c r="E3" s="8" t="s">
        <v>2</v>
      </c>
      <c r="F3" s="8" t="s">
        <v>3</v>
      </c>
      <c r="G3" s="8" t="s">
        <v>4</v>
      </c>
      <c r="H3" s="8" t="s">
        <v>5</v>
      </c>
      <c r="I3" s="8" t="s">
        <v>6</v>
      </c>
      <c r="J3" s="8"/>
      <c r="K3" s="8" t="s">
        <v>7</v>
      </c>
      <c r="L3" s="17" t="s">
        <v>8</v>
      </c>
      <c r="M3" s="8"/>
      <c r="N3" s="9" t="s">
        <v>40</v>
      </c>
      <c r="O3" s="248"/>
      <c r="P3" s="292" t="s">
        <v>143</v>
      </c>
      <c r="Q3" s="293"/>
      <c r="R3" s="293"/>
      <c r="S3" s="293"/>
      <c r="T3" s="293"/>
      <c r="U3" s="294"/>
      <c r="V3" s="66"/>
      <c r="W3" s="219" t="s">
        <v>38</v>
      </c>
      <c r="X3" s="195">
        <v>1</v>
      </c>
    </row>
    <row r="4" spans="2:24" ht="15.75" thickBot="1" x14ac:dyDescent="0.3">
      <c r="B4" s="10"/>
      <c r="C4" s="3"/>
      <c r="D4" s="3"/>
      <c r="E4" s="3"/>
      <c r="F4" s="3"/>
      <c r="G4" s="3"/>
      <c r="H4" s="3"/>
      <c r="I4" s="3"/>
      <c r="J4" s="3"/>
      <c r="K4" s="3"/>
      <c r="L4" s="18"/>
      <c r="M4" s="3"/>
      <c r="N4" s="4"/>
      <c r="O4" s="249"/>
      <c r="P4" s="295"/>
      <c r="Q4" s="296"/>
      <c r="R4" s="296"/>
      <c r="S4" s="296"/>
      <c r="T4" s="296"/>
      <c r="U4" s="297"/>
      <c r="V4" s="65"/>
      <c r="X4" s="1"/>
    </row>
    <row r="5" spans="2:24" ht="15.75" thickBot="1" x14ac:dyDescent="0.3">
      <c r="B5" s="11" t="s">
        <v>9</v>
      </c>
      <c r="C5" s="3"/>
      <c r="D5" s="14">
        <f>(320*N5)+80</f>
        <v>400</v>
      </c>
      <c r="E5" s="14">
        <f>(120*N5)+30</f>
        <v>150</v>
      </c>
      <c r="F5" s="14">
        <v>0</v>
      </c>
      <c r="G5" s="14">
        <v>0</v>
      </c>
      <c r="H5" s="14">
        <v>0</v>
      </c>
      <c r="I5" s="14">
        <v>0</v>
      </c>
      <c r="J5" s="3"/>
      <c r="K5" s="5">
        <f>(IF(N5&lt;21,(((3750*N5*N5)-(11250*N5))+15000)/((X3*3)*(21-N5))/86400,(((3750*N5*N5)-(11250*N5)+15000)/X3)/86400))*X8</f>
        <v>1.4467592592592592E-3</v>
      </c>
      <c r="L5" s="19">
        <f>K5*(MAX(N5/$X$5,1.5))</f>
        <v>2.170138888888889E-3</v>
      </c>
      <c r="M5" s="22"/>
      <c r="N5" s="25">
        <v>1</v>
      </c>
      <c r="O5" s="250"/>
      <c r="P5" s="241">
        <f>IF(ISNA(VLOOKUP(D5,Lagerkapazität!$C$4:$E$54,3,TRUE)+1),0,VLOOKUP(D5,Lagerkapazität!$C$4:$E$54,3,TRUE)+1)</f>
        <v>0</v>
      </c>
      <c r="Q5" s="242">
        <f>IF(ISNA(VLOOKUP(E5,Lagerkapazität!$C$4:$E$54,3,TRUE)+1),0,VLOOKUP(E5,Lagerkapazität!$C$4:$E$54,3,TRUE)+1)</f>
        <v>0</v>
      </c>
      <c r="R5" s="242">
        <f>IF(ISNA(VLOOKUP(F5,Lagerkapazität!$C$4:$E$54,3,TRUE)+1),0,VLOOKUP(F5,Lagerkapazität!$C$4:$E$54,3,TRUE)+1)</f>
        <v>0</v>
      </c>
      <c r="S5" s="242">
        <f>IF(ISNA(VLOOKUP(G5,Lagerkapazität!$C$4:$E$54,3,TRUE)+1),0,VLOOKUP(G5,Lagerkapazität!$C$4:$E$54,3,TRUE)+1)</f>
        <v>0</v>
      </c>
      <c r="T5" s="242">
        <f>IF(ISNA(VLOOKUP(H5,Lagerkapazität!$C$4:$E$54,3,TRUE)+1),0,VLOOKUP(H5,Lagerkapazität!$C$4:$E$54,3,TRUE)+1)</f>
        <v>0</v>
      </c>
      <c r="U5" s="243">
        <f>IF(ISNA(VLOOKUP(I5,Lagerkapazität!$D$4:$E$54,2,TRUE)+1),0,VLOOKUP(I5,Lagerkapazität!$D$4:$E$54,2,TRUE)+1)</f>
        <v>0</v>
      </c>
      <c r="V5" s="60"/>
      <c r="W5" s="219" t="s">
        <v>39</v>
      </c>
      <c r="X5" s="195">
        <v>1</v>
      </c>
    </row>
    <row r="6" spans="2:24" ht="15.75" thickBot="1" x14ac:dyDescent="0.3">
      <c r="B6" s="11" t="s">
        <v>10</v>
      </c>
      <c r="C6" s="3"/>
      <c r="D6" s="14">
        <f>(240*N6)+60</f>
        <v>300</v>
      </c>
      <c r="E6" s="14">
        <f>(120*N6)+30</f>
        <v>150</v>
      </c>
      <c r="F6" s="14">
        <v>0</v>
      </c>
      <c r="G6" s="14">
        <v>0</v>
      </c>
      <c r="H6" s="14">
        <v>0</v>
      </c>
      <c r="I6" s="14">
        <v>0</v>
      </c>
      <c r="J6" s="3"/>
      <c r="K6" s="5">
        <f>(IF(N6&lt;10,((N6+1)/2)*3600/86400,(6*3600)/86400))*X8</f>
        <v>4.1666666666666664E-2</v>
      </c>
      <c r="L6" s="19">
        <f t="shared" ref="L6:L8" si="0">K6*(MAX(N6/$X$5,1.5))</f>
        <v>6.25E-2</v>
      </c>
      <c r="M6" s="22"/>
      <c r="N6" s="25">
        <v>1</v>
      </c>
      <c r="O6" s="250"/>
      <c r="P6" s="241">
        <f>IF(ISNA(VLOOKUP(D6,Lagerkapazität!$C$4:$E$54,3,TRUE)+1),0,VLOOKUP(D6,Lagerkapazität!$C$4:$E$54,3,TRUE)+1)</f>
        <v>0</v>
      </c>
      <c r="Q6" s="242">
        <f>IF(ISNA(VLOOKUP(E6,Lagerkapazität!$C$4:$E$54,3,TRUE)+1),0,VLOOKUP(E6,Lagerkapazität!$C$4:$E$54,3,TRUE)+1)</f>
        <v>0</v>
      </c>
      <c r="R6" s="242">
        <f>IF(ISNA(VLOOKUP(F6,Lagerkapazität!$C$4:$E$54,3,TRUE)+1),0,VLOOKUP(F6,Lagerkapazität!$C$4:$E$54,3,TRUE)+1)</f>
        <v>0</v>
      </c>
      <c r="S6" s="242">
        <f>IF(ISNA(VLOOKUP(G6,Lagerkapazität!$C$4:$E$54,3,TRUE)+1),0,VLOOKUP(G6,Lagerkapazität!$C$4:$E$54,3,TRUE)+1)</f>
        <v>0</v>
      </c>
      <c r="T6" s="242">
        <f>IF(ISNA(VLOOKUP(H6,Lagerkapazität!$C$4:$E$54,3,TRUE)+1),0,VLOOKUP(H6,Lagerkapazität!$C$4:$E$54,3,TRUE)+1)</f>
        <v>0</v>
      </c>
      <c r="U6" s="243">
        <f>IF(ISNA(VLOOKUP(I6,Lagerkapazität!$D$4:$E$54,2,TRUE)+1),0,VLOOKUP(I6,Lagerkapazität!$D$4:$E$54,2,TRUE)+1)</f>
        <v>0</v>
      </c>
      <c r="V6" s="60"/>
      <c r="X6" s="1"/>
    </row>
    <row r="7" spans="2:24" x14ac:dyDescent="0.25">
      <c r="B7" s="11" t="s">
        <v>11</v>
      </c>
      <c r="C7" s="3"/>
      <c r="D7" s="14">
        <f>400*((N7*0.8)+1)</f>
        <v>720</v>
      </c>
      <c r="E7" s="14">
        <v>0</v>
      </c>
      <c r="F7" s="14">
        <f>100*((N7*0.8)+1)</f>
        <v>180</v>
      </c>
      <c r="G7" s="14">
        <f>100*((N7*0.8)+1)</f>
        <v>180</v>
      </c>
      <c r="H7" s="14">
        <v>0</v>
      </c>
      <c r="I7" s="14">
        <v>0</v>
      </c>
      <c r="J7" s="3"/>
      <c r="K7" s="5">
        <f>(((100/9)*(0.5*N7*N7-0.5*N7+1)/(X3*10))*3600/86400)*X8</f>
        <v>4.6296296296296294E-2</v>
      </c>
      <c r="L7" s="19">
        <f t="shared" si="0"/>
        <v>6.9444444444444448E-2</v>
      </c>
      <c r="M7" s="22"/>
      <c r="N7" s="25">
        <v>1</v>
      </c>
      <c r="O7" s="250"/>
      <c r="P7" s="241">
        <f>IF(ISNA(VLOOKUP(D7,Lagerkapazität!$C$4:$E$54,3,TRUE)+1),0,VLOOKUP(D7,Lagerkapazität!$C$4:$E$54,3,TRUE)+1)</f>
        <v>0</v>
      </c>
      <c r="Q7" s="242">
        <f>IF(ISNA(VLOOKUP(E7,Lagerkapazität!$C$4:$E$54,3,TRUE)+1),0,VLOOKUP(E7,Lagerkapazität!$C$4:$E$54,3,TRUE)+1)</f>
        <v>0</v>
      </c>
      <c r="R7" s="242">
        <f>IF(ISNA(VLOOKUP(F7,Lagerkapazität!$C$4:$E$54,3,TRUE)+1),0,VLOOKUP(F7,Lagerkapazität!$C$4:$E$54,3,TRUE)+1)</f>
        <v>0</v>
      </c>
      <c r="S7" s="242">
        <f>IF(ISNA(VLOOKUP(G7,Lagerkapazität!$C$4:$E$54,3,TRUE)+1),0,VLOOKUP(G7,Lagerkapazität!$C$4:$E$54,3,TRUE)+1)</f>
        <v>0</v>
      </c>
      <c r="T7" s="242">
        <f>IF(ISNA(VLOOKUP(H7,Lagerkapazität!$C$4:$E$54,3,TRUE)+1),0,VLOOKUP(H7,Lagerkapazität!$C$4:$E$54,3,TRUE)+1)</f>
        <v>0</v>
      </c>
      <c r="U7" s="243">
        <f>IF(ISNA(VLOOKUP(I7,Lagerkapazität!$D$4:$E$54,2,TRUE)+1),0,VLOOKUP(I7,Lagerkapazität!$D$4:$E$54,2,TRUE)+1)</f>
        <v>0</v>
      </c>
      <c r="V7" s="60"/>
      <c r="W7" s="188" t="s">
        <v>41</v>
      </c>
      <c r="X7" s="197">
        <v>1</v>
      </c>
    </row>
    <row r="8" spans="2:24" ht="15.75" thickBot="1" x14ac:dyDescent="0.3">
      <c r="B8" s="11" t="s">
        <v>12</v>
      </c>
      <c r="C8" s="3"/>
      <c r="D8" s="14">
        <f>750*((N8*0.8)+1)</f>
        <v>1350</v>
      </c>
      <c r="E8" s="14">
        <v>0</v>
      </c>
      <c r="F8" s="14">
        <f>500*((N8*0.8)+1)</f>
        <v>900</v>
      </c>
      <c r="G8" s="14">
        <v>0</v>
      </c>
      <c r="H8" s="14">
        <v>0</v>
      </c>
      <c r="I8" s="14">
        <v>0</v>
      </c>
      <c r="J8" s="3"/>
      <c r="K8" s="5">
        <f>(((100/9)*(0.5*N8*N8-0.5*N8+1)/(X3*22))*3600/86400)*X8</f>
        <v>2.1043771043771045E-2</v>
      </c>
      <c r="L8" s="19">
        <f t="shared" si="0"/>
        <v>3.1565656565656568E-2</v>
      </c>
      <c r="M8" s="22"/>
      <c r="N8" s="25">
        <v>1</v>
      </c>
      <c r="O8" s="250"/>
      <c r="P8" s="241">
        <f>IF(ISNA(VLOOKUP(D8,Lagerkapazität!$C$4:$E$54,3,TRUE)+1),0,VLOOKUP(D8,Lagerkapazität!$C$4:$E$54,3,TRUE)+1)</f>
        <v>0</v>
      </c>
      <c r="Q8" s="242">
        <f>IF(ISNA(VLOOKUP(E8,Lagerkapazität!$C$4:$E$54,3,TRUE)+1),0,VLOOKUP(E8,Lagerkapazität!$C$4:$E$54,3,TRUE)+1)</f>
        <v>0</v>
      </c>
      <c r="R8" s="242">
        <f>IF(ISNA(VLOOKUP(F8,Lagerkapazität!$C$4:$E$54,3,TRUE)+1),0,VLOOKUP(F8,Lagerkapazität!$C$4:$E$54,3,TRUE)+1)</f>
        <v>0</v>
      </c>
      <c r="S8" s="242">
        <f>IF(ISNA(VLOOKUP(G8,Lagerkapazität!$C$4:$E$54,3,TRUE)+1),0,VLOOKUP(G8,Lagerkapazität!$C$4:$E$54,3,TRUE)+1)</f>
        <v>0</v>
      </c>
      <c r="T8" s="242">
        <f>IF(ISNA(VLOOKUP(H8,Lagerkapazität!$C$4:$E$54,3,TRUE)+1),0,VLOOKUP(H8,Lagerkapazität!$C$4:$E$54,3,TRUE)+1)</f>
        <v>0</v>
      </c>
      <c r="U8" s="243">
        <f>IF(ISNA(VLOOKUP(I8,Lagerkapazität!$D$4:$E$54,2,TRUE)+1),0,VLOOKUP(I8,Lagerkapazität!$D$4:$E$54,2,TRUE)+1)</f>
        <v>0</v>
      </c>
      <c r="V8" s="60"/>
      <c r="W8" s="192" t="s">
        <v>42</v>
      </c>
      <c r="X8" s="218">
        <f>IF(X7&gt;=0,1,IF(X7&lt;=-4,1.75,1.5))</f>
        <v>1</v>
      </c>
    </row>
    <row r="9" spans="2:24" x14ac:dyDescent="0.25">
      <c r="B9" s="10"/>
      <c r="C9" s="3"/>
      <c r="D9" s="15"/>
      <c r="E9" s="15"/>
      <c r="F9" s="15"/>
      <c r="G9" s="15"/>
      <c r="H9" s="15"/>
      <c r="I9" s="15"/>
      <c r="J9" s="3"/>
      <c r="K9" s="6"/>
      <c r="L9" s="20"/>
      <c r="M9" s="6"/>
      <c r="N9" s="24"/>
      <c r="O9" s="250"/>
      <c r="P9" s="298"/>
      <c r="Q9" s="299"/>
      <c r="R9" s="299"/>
      <c r="S9" s="299"/>
      <c r="T9" s="299"/>
      <c r="U9" s="300"/>
      <c r="V9" s="60"/>
    </row>
    <row r="10" spans="2:24" x14ac:dyDescent="0.25">
      <c r="B10" s="11" t="s">
        <v>13</v>
      </c>
      <c r="C10" s="3"/>
      <c r="D10" s="14">
        <f>(((N10-1)*100/25)^2)+100</f>
        <v>100</v>
      </c>
      <c r="E10" s="14">
        <f>(((N10-1)*64/25)^2)+64</f>
        <v>64</v>
      </c>
      <c r="F10" s="14">
        <v>0</v>
      </c>
      <c r="G10" s="14">
        <f>(((N10-1)*30/25)^2)+30</f>
        <v>30</v>
      </c>
      <c r="H10" s="14">
        <v>0</v>
      </c>
      <c r="I10" s="14">
        <v>0</v>
      </c>
      <c r="J10" s="3"/>
      <c r="K10" s="5">
        <f>(IF(N10&lt;21,(((100/9)*(0.5*N10*N10-0.5*N10+1))/(X3*75*(21-N10)))*3600/86400,(((100/9)*(0.5*N10*N10-0.5*N10+1))/(X3*35))*3600/86400))*X8</f>
        <v>3.0864197530864197E-4</v>
      </c>
      <c r="L10" s="19">
        <f t="shared" ref="L10:L15" si="1">K10*(MAX(N10/$X$5,1.5))</f>
        <v>4.6296296296296298E-4</v>
      </c>
      <c r="M10" s="22"/>
      <c r="N10" s="25">
        <v>1</v>
      </c>
      <c r="O10" s="250"/>
      <c r="P10" s="241">
        <f>IF(ISNA(VLOOKUP(D10,Lagerkapazität!$C$4:$E$54,3,TRUE)+1),0,VLOOKUP(D10,Lagerkapazität!$C$4:$E$54,3,TRUE)+1)</f>
        <v>0</v>
      </c>
      <c r="Q10" s="242">
        <f>IF(ISNA(VLOOKUP(E10,Lagerkapazität!$C$4:$E$54,3,TRUE)+1),0,VLOOKUP(E10,Lagerkapazität!$C$4:$E$54,3,TRUE)+1)</f>
        <v>0</v>
      </c>
      <c r="R10" s="242">
        <f>IF(ISNA(VLOOKUP(F10,Lagerkapazität!$C$4:$E$54,3,TRUE)+1),0,VLOOKUP(F10,Lagerkapazität!$C$4:$E$54,3,TRUE)+1)</f>
        <v>0</v>
      </c>
      <c r="S10" s="242">
        <f>IF(ISNA(VLOOKUP(G10,Lagerkapazität!$C$4:$E$54,3,TRUE)+1),0,VLOOKUP(G10,Lagerkapazität!$C$4:$E$54,3,TRUE)+1)</f>
        <v>0</v>
      </c>
      <c r="T10" s="242">
        <f>IF(ISNA(VLOOKUP(H10,Lagerkapazität!$C$4:$E$54,3,TRUE)+1),0,VLOOKUP(H10,Lagerkapazität!$C$4:$E$54,3,TRUE)+1)</f>
        <v>0</v>
      </c>
      <c r="U10" s="243">
        <f>IF(ISNA(VLOOKUP(I10,Lagerkapazität!$D$4:$E$54,2,TRUE)+1),0,VLOOKUP(I10,Lagerkapazität!$D$4:$E$54,2,TRUE)+1)</f>
        <v>0</v>
      </c>
      <c r="V10" s="60"/>
    </row>
    <row r="11" spans="2:24" x14ac:dyDescent="0.25">
      <c r="B11" s="11" t="s">
        <v>14</v>
      </c>
      <c r="C11" s="3"/>
      <c r="D11" s="14">
        <f>(((N11-1)*80/25)^2)+80</f>
        <v>80</v>
      </c>
      <c r="E11" s="14">
        <f>(((N11-1)*80/25)^2)+80</f>
        <v>80</v>
      </c>
      <c r="F11" s="14">
        <v>0</v>
      </c>
      <c r="G11" s="14">
        <v>0</v>
      </c>
      <c r="H11" s="14">
        <v>0</v>
      </c>
      <c r="I11" s="14">
        <v>0</v>
      </c>
      <c r="J11" s="3"/>
      <c r="K11" s="5">
        <f>(IF(N11&lt;21,(((100/9)*(0.5*N11*N11-0.5*N11+1))/(X3*70*(21-N11)))*3600/86400,(((100/9)*(0.5*N11*N11-0.5*N11+1))/(X3*30))*3600/86400))*X8</f>
        <v>3.3068783068783067E-4</v>
      </c>
      <c r="L11" s="19">
        <f t="shared" si="1"/>
        <v>4.96031746031746E-4</v>
      </c>
      <c r="M11" s="22"/>
      <c r="N11" s="25">
        <v>1</v>
      </c>
      <c r="O11" s="250"/>
      <c r="P11" s="241">
        <f>IF(ISNA(VLOOKUP(D11,Lagerkapazität!$C$4:$E$54,3,TRUE)+1),0,VLOOKUP(D11,Lagerkapazität!$C$4:$E$54,3,TRUE)+1)</f>
        <v>0</v>
      </c>
      <c r="Q11" s="242">
        <f>IF(ISNA(VLOOKUP(E11,Lagerkapazität!$C$4:$E$54,3,TRUE)+1),0,VLOOKUP(E11,Lagerkapazität!$C$4:$E$54,3,TRUE)+1)</f>
        <v>0</v>
      </c>
      <c r="R11" s="242">
        <f>IF(ISNA(VLOOKUP(F11,Lagerkapazität!$C$4:$E$54,3,TRUE)+1),0,VLOOKUP(F11,Lagerkapazität!$C$4:$E$54,3,TRUE)+1)</f>
        <v>0</v>
      </c>
      <c r="S11" s="242">
        <f>IF(ISNA(VLOOKUP(G11,Lagerkapazität!$C$4:$E$54,3,TRUE)+1),0,VLOOKUP(G11,Lagerkapazität!$C$4:$E$54,3,TRUE)+1)</f>
        <v>0</v>
      </c>
      <c r="T11" s="242">
        <f>IF(ISNA(VLOOKUP(H11,Lagerkapazität!$C$4:$E$54,3,TRUE)+1),0,VLOOKUP(H11,Lagerkapazität!$C$4:$E$54,3,TRUE)+1)</f>
        <v>0</v>
      </c>
      <c r="U11" s="243">
        <f>IF(ISNA(VLOOKUP(I11,Lagerkapazität!$D$4:$E$54,2,TRUE)+1),0,VLOOKUP(I11,Lagerkapazität!$D$4:$E$54,2,TRUE)+1)</f>
        <v>0</v>
      </c>
      <c r="V11" s="60"/>
    </row>
    <row r="12" spans="2:24" x14ac:dyDescent="0.25">
      <c r="B12" s="11" t="s">
        <v>15</v>
      </c>
      <c r="C12" s="3"/>
      <c r="D12" s="14">
        <f>(((N12-1)*80/25)^2)+80</f>
        <v>80</v>
      </c>
      <c r="E12" s="14">
        <f>(((N12-1)*64/25)^2)+64</f>
        <v>64</v>
      </c>
      <c r="F12" s="14">
        <v>0</v>
      </c>
      <c r="G12" s="14">
        <v>0</v>
      </c>
      <c r="H12" s="14">
        <v>0</v>
      </c>
      <c r="I12" s="14">
        <v>0</v>
      </c>
      <c r="J12" s="3"/>
      <c r="K12" s="5">
        <f>(IF(N12&lt;21,(((100/9)*(0.5*N12*N12-0.5*N12+1))/(X3*70*(21-N12)))*3600/86400,(((100/9)*(0.5*N12*N12-0.5*N12+1))/(X3*27))*3600/86400))*X8</f>
        <v>3.3068783068783067E-4</v>
      </c>
      <c r="L12" s="19">
        <f t="shared" si="1"/>
        <v>4.96031746031746E-4</v>
      </c>
      <c r="M12" s="22"/>
      <c r="N12" s="25">
        <v>1</v>
      </c>
      <c r="O12" s="250"/>
      <c r="P12" s="241">
        <f>IF(ISNA(VLOOKUP(D12,Lagerkapazität!$C$4:$E$54,3,TRUE)+1),0,VLOOKUP(D12,Lagerkapazität!$C$4:$E$54,3,TRUE)+1)</f>
        <v>0</v>
      </c>
      <c r="Q12" s="242">
        <f>IF(ISNA(VLOOKUP(E12,Lagerkapazität!$C$4:$E$54,3,TRUE)+1),0,VLOOKUP(E12,Lagerkapazität!$C$4:$E$54,3,TRUE)+1)</f>
        <v>0</v>
      </c>
      <c r="R12" s="242">
        <f>IF(ISNA(VLOOKUP(F12,Lagerkapazität!$C$4:$E$54,3,TRUE)+1),0,VLOOKUP(F12,Lagerkapazität!$C$4:$E$54,3,TRUE)+1)</f>
        <v>0</v>
      </c>
      <c r="S12" s="242">
        <f>IF(ISNA(VLOOKUP(G12,Lagerkapazität!$C$4:$E$54,3,TRUE)+1),0,VLOOKUP(G12,Lagerkapazität!$C$4:$E$54,3,TRUE)+1)</f>
        <v>0</v>
      </c>
      <c r="T12" s="242">
        <f>IF(ISNA(VLOOKUP(H12,Lagerkapazität!$C$4:$E$54,3,TRUE)+1),0,VLOOKUP(H12,Lagerkapazität!$C$4:$E$54,3,TRUE)+1)</f>
        <v>0</v>
      </c>
      <c r="U12" s="243">
        <f>IF(ISNA(VLOOKUP(I12,Lagerkapazität!$D$4:$E$54,2,TRUE)+1),0,VLOOKUP(I12,Lagerkapazität!$D$4:$E$54,2,TRUE)+1)</f>
        <v>0</v>
      </c>
      <c r="V12" s="60"/>
      <c r="W12" s="27"/>
    </row>
    <row r="13" spans="2:24" x14ac:dyDescent="0.25">
      <c r="B13" s="11" t="s">
        <v>16</v>
      </c>
      <c r="C13" s="3"/>
      <c r="D13" s="14">
        <f>(((N13-1)*80/25)^2)+80</f>
        <v>80</v>
      </c>
      <c r="E13" s="14">
        <f>(((N13-1)*64/25)^2)+64</f>
        <v>64</v>
      </c>
      <c r="F13" s="14">
        <v>0</v>
      </c>
      <c r="G13" s="14">
        <v>0</v>
      </c>
      <c r="H13" s="14">
        <v>0</v>
      </c>
      <c r="I13" s="14">
        <v>0</v>
      </c>
      <c r="J13" s="3"/>
      <c r="K13" s="5">
        <f>(IF(N13&lt;21,(((100/9)*(0.5*N13*N13-0.5*N13+1))/(X3*65*(21-N13)))*3600/86400,(((100/9)*(0.5*N13*N13-0.5*N13+1))/(X3*25))*3600/86400))*X8</f>
        <v>3.5612535612535609E-4</v>
      </c>
      <c r="L13" s="19">
        <f t="shared" si="1"/>
        <v>5.3418803418803413E-4</v>
      </c>
      <c r="M13" s="22"/>
      <c r="N13" s="25">
        <v>1</v>
      </c>
      <c r="O13" s="250"/>
      <c r="P13" s="241">
        <f>IF(ISNA(VLOOKUP(D13,Lagerkapazität!$C$4:$E$54,3,TRUE)+1),0,VLOOKUP(D13,Lagerkapazität!$C$4:$E$54,3,TRUE)+1)</f>
        <v>0</v>
      </c>
      <c r="Q13" s="242">
        <f>IF(ISNA(VLOOKUP(E13,Lagerkapazität!$C$4:$E$54,3,TRUE)+1),0,VLOOKUP(E13,Lagerkapazität!$C$4:$E$54,3,TRUE)+1)</f>
        <v>0</v>
      </c>
      <c r="R13" s="242">
        <f>IF(ISNA(VLOOKUP(F13,Lagerkapazität!$C$4:$E$54,3,TRUE)+1),0,VLOOKUP(F13,Lagerkapazität!$C$4:$E$54,3,TRUE)+1)</f>
        <v>0</v>
      </c>
      <c r="S13" s="242">
        <f>IF(ISNA(VLOOKUP(G13,Lagerkapazität!$C$4:$E$54,3,TRUE)+1),0,VLOOKUP(G13,Lagerkapazität!$C$4:$E$54,3,TRUE)+1)</f>
        <v>0</v>
      </c>
      <c r="T13" s="242">
        <f>IF(ISNA(VLOOKUP(H13,Lagerkapazität!$C$4:$E$54,3,TRUE)+1),0,VLOOKUP(H13,Lagerkapazität!$C$4:$E$54,3,TRUE)+1)</f>
        <v>0</v>
      </c>
      <c r="U13" s="243">
        <f>IF(ISNA(VLOOKUP(I13,Lagerkapazität!$D$4:$E$54,2,TRUE)+1),0,VLOOKUP(I13,Lagerkapazität!$D$4:$E$54,2,TRUE)+1)</f>
        <v>0</v>
      </c>
      <c r="V13" s="60"/>
    </row>
    <row r="14" spans="2:24" x14ac:dyDescent="0.25">
      <c r="B14" s="11" t="s">
        <v>17</v>
      </c>
      <c r="C14" s="3"/>
      <c r="D14" s="14">
        <f>(((N14)*75/25)^2)+70</f>
        <v>79</v>
      </c>
      <c r="E14" s="14">
        <f>(((N14)*48/25)^2)+48</f>
        <v>51.686399999999999</v>
      </c>
      <c r="F14" s="14">
        <f>(((N14)*60/25)^2)+60</f>
        <v>65.760000000000005</v>
      </c>
      <c r="G14" s="14">
        <v>0</v>
      </c>
      <c r="H14" s="14">
        <v>0</v>
      </c>
      <c r="I14" s="14">
        <v>0</v>
      </c>
      <c r="J14" s="3"/>
      <c r="K14" s="5">
        <f>(IF(N14&lt;21,(((100/9)*(0.5*N14*N14-0.5*N14+1))/(X3*50*(21-N14)))*3600/86400,(((100/9)*(0.5*N14*N14-0.5*N14+1))/(X3*22))*3600/86400))*X8</f>
        <v>4.6296296296296298E-4</v>
      </c>
      <c r="L14" s="19">
        <f t="shared" si="1"/>
        <v>6.9444444444444447E-4</v>
      </c>
      <c r="M14" s="22"/>
      <c r="N14" s="25">
        <v>1</v>
      </c>
      <c r="O14" s="250"/>
      <c r="P14" s="241">
        <f>IF(ISNA(VLOOKUP(D14,Lagerkapazität!$C$4:$E$54,3,TRUE)+1),0,VLOOKUP(D14,Lagerkapazität!$C$4:$E$54,3,TRUE)+1)</f>
        <v>0</v>
      </c>
      <c r="Q14" s="242">
        <f>IF(ISNA(VLOOKUP(E14,Lagerkapazität!$C$4:$E$54,3,TRUE)+1),0,VLOOKUP(E14,Lagerkapazität!$C$4:$E$54,3,TRUE)+1)</f>
        <v>0</v>
      </c>
      <c r="R14" s="242">
        <f>IF(ISNA(VLOOKUP(F14,Lagerkapazität!$C$4:$E$54,3,TRUE)+1),0,VLOOKUP(F14,Lagerkapazität!$C$4:$E$54,3,TRUE)+1)</f>
        <v>0</v>
      </c>
      <c r="S14" s="242">
        <f>IF(ISNA(VLOOKUP(G14,Lagerkapazität!$C$4:$E$54,3,TRUE)+1),0,VLOOKUP(G14,Lagerkapazität!$C$4:$E$54,3,TRUE)+1)</f>
        <v>0</v>
      </c>
      <c r="T14" s="242">
        <f>IF(ISNA(VLOOKUP(H14,Lagerkapazität!$C$4:$E$54,3,TRUE)+1),0,VLOOKUP(H14,Lagerkapazität!$C$4:$E$54,3,TRUE)+1)</f>
        <v>0</v>
      </c>
      <c r="U14" s="243">
        <f>IF(ISNA(VLOOKUP(I14,Lagerkapazität!$D$4:$E$54,2,TRUE)+1),0,VLOOKUP(I14,Lagerkapazität!$D$4:$E$54,2,TRUE)+1)</f>
        <v>0</v>
      </c>
      <c r="V14" s="60"/>
    </row>
    <row r="15" spans="2:24" x14ac:dyDescent="0.25">
      <c r="B15" s="11" t="s">
        <v>18</v>
      </c>
      <c r="C15" s="3"/>
      <c r="D15" s="14">
        <f>(((N15)*200/25)^2)+200</f>
        <v>264</v>
      </c>
      <c r="E15" s="14">
        <f>(((N15)*125/25)^2)+125</f>
        <v>150</v>
      </c>
      <c r="F15" s="14">
        <v>0</v>
      </c>
      <c r="G15" s="14">
        <f>(((N15)*140/25)^2)+140</f>
        <v>171.35999999999999</v>
      </c>
      <c r="H15" s="14">
        <v>0</v>
      </c>
      <c r="I15" s="14">
        <v>0</v>
      </c>
      <c r="J15" s="3"/>
      <c r="K15" s="5">
        <f>(IF(N15&lt;21,(((100/9)*(0.5*N15*N15-0.5*N15+1))/(X3*45*(21-N15)))*3600/86400,(((100/9)*(0.5*N15*N15-0.5*N15+1))/(X3*20))*3600/86400))*X8</f>
        <v>5.1440329218106989E-4</v>
      </c>
      <c r="L15" s="19">
        <f t="shared" si="1"/>
        <v>7.716049382716049E-4</v>
      </c>
      <c r="M15" s="22"/>
      <c r="N15" s="25">
        <v>1</v>
      </c>
      <c r="O15" s="250"/>
      <c r="P15" s="241">
        <f>IF(ISNA(VLOOKUP(D15,Lagerkapazität!$C$4:$E$54,3,TRUE)+1),0,VLOOKUP(D15,Lagerkapazität!$C$4:$E$54,3,TRUE)+1)</f>
        <v>0</v>
      </c>
      <c r="Q15" s="242">
        <f>IF(ISNA(VLOOKUP(E15,Lagerkapazität!$C$4:$E$54,3,TRUE)+1),0,VLOOKUP(E15,Lagerkapazität!$C$4:$E$54,3,TRUE)+1)</f>
        <v>0</v>
      </c>
      <c r="R15" s="242">
        <f>IF(ISNA(VLOOKUP(F15,Lagerkapazität!$C$4:$E$54,3,TRUE)+1),0,VLOOKUP(F15,Lagerkapazität!$C$4:$E$54,3,TRUE)+1)</f>
        <v>0</v>
      </c>
      <c r="S15" s="242">
        <f>IF(ISNA(VLOOKUP(G15,Lagerkapazität!$C$4:$E$54,3,TRUE)+1),0,VLOOKUP(G15,Lagerkapazität!$C$4:$E$54,3,TRUE)+1)</f>
        <v>0</v>
      </c>
      <c r="T15" s="242">
        <f>IF(ISNA(VLOOKUP(H15,Lagerkapazität!$C$4:$E$54,3,TRUE)+1),0,VLOOKUP(H15,Lagerkapazität!$C$4:$E$54,3,TRUE)+1)</f>
        <v>0</v>
      </c>
      <c r="U15" s="243">
        <f>IF(ISNA(VLOOKUP(I15,Lagerkapazität!$D$4:$E$54,2,TRUE)+1),0,VLOOKUP(I15,Lagerkapazität!$D$4:$E$54,2,TRUE)+1)</f>
        <v>0</v>
      </c>
      <c r="V15" s="60"/>
      <c r="W15" s="28"/>
      <c r="X15" s="2"/>
    </row>
    <row r="16" spans="2:24" x14ac:dyDescent="0.25">
      <c r="B16" s="10"/>
      <c r="C16" s="3"/>
      <c r="D16" s="15"/>
      <c r="E16" s="15"/>
      <c r="F16" s="15"/>
      <c r="G16" s="15"/>
      <c r="H16" s="15"/>
      <c r="I16" s="15"/>
      <c r="J16" s="3"/>
      <c r="K16" s="6"/>
      <c r="L16" s="20"/>
      <c r="M16" s="6"/>
      <c r="N16" s="24"/>
      <c r="O16" s="250"/>
      <c r="P16" s="298"/>
      <c r="Q16" s="299"/>
      <c r="R16" s="299"/>
      <c r="S16" s="299"/>
      <c r="T16" s="299"/>
      <c r="U16" s="300"/>
      <c r="V16" s="60"/>
    </row>
    <row r="17" spans="2:22" x14ac:dyDescent="0.25">
      <c r="B17" s="11" t="s">
        <v>19</v>
      </c>
      <c r="C17" s="3"/>
      <c r="D17" s="14">
        <f>(((N17)*400/20)^2)+400</f>
        <v>800</v>
      </c>
      <c r="E17" s="14">
        <v>0</v>
      </c>
      <c r="F17" s="14">
        <f>(((N17)*300/20)^2)+300</f>
        <v>525</v>
      </c>
      <c r="G17" s="14">
        <v>0</v>
      </c>
      <c r="H17" s="14">
        <f>(((N17)*140/20)^2)+140</f>
        <v>189</v>
      </c>
      <c r="I17" s="14">
        <v>0</v>
      </c>
      <c r="J17" s="3"/>
      <c r="K17" s="5">
        <f>((((100/9)*(0.5*N17*N17-0.5*N17+1))/(X3*80)*3600)/86400)*X8</f>
        <v>5.7870370370370367E-3</v>
      </c>
      <c r="L17" s="19">
        <f t="shared" ref="L17:L22" si="2">K17*(MAX(N17/$X$5,1.5))</f>
        <v>8.6805555555555559E-3</v>
      </c>
      <c r="M17" s="22"/>
      <c r="N17" s="25">
        <v>1</v>
      </c>
      <c r="O17" s="250"/>
      <c r="P17" s="241">
        <f>IF(ISNA(VLOOKUP(D17,Lagerkapazität!$C$4:$E$54,3,TRUE)+1),0,VLOOKUP(D17,Lagerkapazität!$C$4:$E$54,3,TRUE)+1)</f>
        <v>0</v>
      </c>
      <c r="Q17" s="242">
        <f>IF(ISNA(VLOOKUP(E17,Lagerkapazität!$C$4:$E$54,3,TRUE)+1),0,VLOOKUP(E17,Lagerkapazität!$C$4:$E$54,3,TRUE)+1)</f>
        <v>0</v>
      </c>
      <c r="R17" s="242">
        <f>IF(ISNA(VLOOKUP(F17,Lagerkapazität!$C$4:$E$54,3,TRUE)+1),0,VLOOKUP(F17,Lagerkapazität!$C$4:$E$54,3,TRUE)+1)</f>
        <v>0</v>
      </c>
      <c r="S17" s="242">
        <f>IF(ISNA(VLOOKUP(G17,Lagerkapazität!$C$4:$E$54,3,TRUE)+1),0,VLOOKUP(G17,Lagerkapazität!$C$4:$E$54,3,TRUE)+1)</f>
        <v>0</v>
      </c>
      <c r="T17" s="242">
        <f>IF(ISNA(VLOOKUP(H17,Lagerkapazität!$C$4:$E$54,3,TRUE)+1),0,VLOOKUP(H17,Lagerkapazität!$C$4:$E$54,3,TRUE)+1)</f>
        <v>0</v>
      </c>
      <c r="U17" s="243">
        <f>IF(ISNA(VLOOKUP(I17,Lagerkapazität!$D$4:$E$54,2,TRUE)+1),0,VLOOKUP(I17,Lagerkapazität!$D$4:$E$54,2,TRUE)+1)</f>
        <v>0</v>
      </c>
      <c r="V17" s="60"/>
    </row>
    <row r="18" spans="2:22" x14ac:dyDescent="0.25">
      <c r="B18" s="11" t="s">
        <v>20</v>
      </c>
      <c r="C18" s="3"/>
      <c r="D18" s="14">
        <f>(((N18)*350/20)^2)+350</f>
        <v>656.25</v>
      </c>
      <c r="E18" s="14">
        <f>(((N18)*150/20)^2)+150</f>
        <v>206.25</v>
      </c>
      <c r="F18" s="14">
        <f>(((N18)*300/20)^2)+300</f>
        <v>525</v>
      </c>
      <c r="G18" s="14">
        <v>0</v>
      </c>
      <c r="H18" s="14">
        <f>(((N18)*80/20)^2)+80</f>
        <v>96</v>
      </c>
      <c r="I18" s="14">
        <v>0</v>
      </c>
      <c r="J18" s="3"/>
      <c r="K18" s="5">
        <f>((((100/9)*(0.5*N18*N18-0.5*N18+1))/(X3*78)*3600)/86400)*X8</f>
        <v>5.9354226020892683E-3</v>
      </c>
      <c r="L18" s="19">
        <f t="shared" si="2"/>
        <v>8.9031339031339016E-3</v>
      </c>
      <c r="M18" s="22"/>
      <c r="N18" s="25">
        <v>1</v>
      </c>
      <c r="O18" s="250"/>
      <c r="P18" s="241">
        <f>IF(ISNA(VLOOKUP(D18,Lagerkapazität!$C$4:$E$54,3,TRUE)+1),0,VLOOKUP(D18,Lagerkapazität!$C$4:$E$54,3,TRUE)+1)</f>
        <v>0</v>
      </c>
      <c r="Q18" s="242">
        <f>IF(ISNA(VLOOKUP(E18,Lagerkapazität!$C$4:$E$54,3,TRUE)+1),0,VLOOKUP(E18,Lagerkapazität!$C$4:$E$54,3,TRUE)+1)</f>
        <v>0</v>
      </c>
      <c r="R18" s="242">
        <f>IF(ISNA(VLOOKUP(F18,Lagerkapazität!$C$4:$E$54,3,TRUE)+1),0,VLOOKUP(F18,Lagerkapazität!$C$4:$E$54,3,TRUE)+1)</f>
        <v>0</v>
      </c>
      <c r="S18" s="242">
        <f>IF(ISNA(VLOOKUP(G18,Lagerkapazität!$C$4:$E$54,3,TRUE)+1),0,VLOOKUP(G18,Lagerkapazität!$C$4:$E$54,3,TRUE)+1)</f>
        <v>0</v>
      </c>
      <c r="T18" s="242">
        <f>IF(ISNA(VLOOKUP(H18,Lagerkapazität!$C$4:$E$54,3,TRUE)+1),0,VLOOKUP(H18,Lagerkapazität!$C$4:$E$54,3,TRUE)+1)</f>
        <v>0</v>
      </c>
      <c r="U18" s="243">
        <f>IF(ISNA(VLOOKUP(I18,Lagerkapazität!$D$4:$E$54,2,TRUE)+1),0,VLOOKUP(I18,Lagerkapazität!$D$4:$E$54,2,TRUE)+1)</f>
        <v>0</v>
      </c>
      <c r="V18" s="60"/>
    </row>
    <row r="19" spans="2:22" x14ac:dyDescent="0.25">
      <c r="B19" s="11" t="s">
        <v>21</v>
      </c>
      <c r="C19" s="3"/>
      <c r="D19" s="14">
        <f>(((N19)*350/20)^2)+350</f>
        <v>656.25</v>
      </c>
      <c r="E19" s="14">
        <v>0</v>
      </c>
      <c r="F19" s="14">
        <f>(((N19)*350/20)^2)+350</f>
        <v>656.25</v>
      </c>
      <c r="G19" s="14">
        <v>0</v>
      </c>
      <c r="H19" s="14">
        <v>0</v>
      </c>
      <c r="I19" s="14">
        <v>0</v>
      </c>
      <c r="J19" s="3"/>
      <c r="K19" s="5">
        <f>((((100/9)*(0.5*N19*N19-0.5*N19+1))/(X3*76)*3600)/86400)*X8</f>
        <v>6.0916179337231965E-3</v>
      </c>
      <c r="L19" s="19">
        <f t="shared" si="2"/>
        <v>9.1374269005847948E-3</v>
      </c>
      <c r="M19" s="22"/>
      <c r="N19" s="25">
        <v>1</v>
      </c>
      <c r="O19" s="250"/>
      <c r="P19" s="241">
        <f>IF(ISNA(VLOOKUP(D19,Lagerkapazität!$C$4:$E$54,3,TRUE)+1),0,VLOOKUP(D19,Lagerkapazität!$C$4:$E$54,3,TRUE)+1)</f>
        <v>0</v>
      </c>
      <c r="Q19" s="242">
        <f>IF(ISNA(VLOOKUP(E19,Lagerkapazität!$C$4:$E$54,3,TRUE)+1),0,VLOOKUP(E19,Lagerkapazität!$C$4:$E$54,3,TRUE)+1)</f>
        <v>0</v>
      </c>
      <c r="R19" s="242">
        <f>IF(ISNA(VLOOKUP(F19,Lagerkapazität!$C$4:$E$54,3,TRUE)+1),0,VLOOKUP(F19,Lagerkapazität!$C$4:$E$54,3,TRUE)+1)</f>
        <v>0</v>
      </c>
      <c r="S19" s="242">
        <f>IF(ISNA(VLOOKUP(G19,Lagerkapazität!$C$4:$E$54,3,TRUE)+1),0,VLOOKUP(G19,Lagerkapazität!$C$4:$E$54,3,TRUE)+1)</f>
        <v>0</v>
      </c>
      <c r="T19" s="242">
        <f>IF(ISNA(VLOOKUP(H19,Lagerkapazität!$C$4:$E$54,3,TRUE)+1),0,VLOOKUP(H19,Lagerkapazität!$C$4:$E$54,3,TRUE)+1)</f>
        <v>0</v>
      </c>
      <c r="U19" s="243">
        <f>IF(ISNA(VLOOKUP(I19,Lagerkapazität!$D$4:$E$54,2,TRUE)+1),0,VLOOKUP(I19,Lagerkapazität!$D$4:$E$54,2,TRUE)+1)</f>
        <v>0</v>
      </c>
      <c r="V19" s="60"/>
    </row>
    <row r="20" spans="2:22" x14ac:dyDescent="0.25">
      <c r="B20" s="11" t="s">
        <v>22</v>
      </c>
      <c r="C20" s="3"/>
      <c r="D20" s="14">
        <f>(((N20)*400/20)^2)+400</f>
        <v>800</v>
      </c>
      <c r="E20" s="14">
        <v>0</v>
      </c>
      <c r="F20" s="14">
        <f>(((N20)*300/20)^2)+300</f>
        <v>525</v>
      </c>
      <c r="G20" s="14">
        <v>0</v>
      </c>
      <c r="H20" s="14">
        <v>0</v>
      </c>
      <c r="I20" s="14">
        <v>0</v>
      </c>
      <c r="J20" s="3"/>
      <c r="K20" s="5">
        <f>((((100/9)*(0.5*N20*N20-0.5*N20+1))/(X3*74)*3600)/86400)*X8</f>
        <v>6.2562562562562558E-3</v>
      </c>
      <c r="L20" s="19">
        <f t="shared" si="2"/>
        <v>9.3843843843843845E-3</v>
      </c>
      <c r="M20" s="22"/>
      <c r="N20" s="25">
        <v>1</v>
      </c>
      <c r="O20" s="250"/>
      <c r="P20" s="241">
        <f>IF(ISNA(VLOOKUP(D20,Lagerkapazität!$C$4:$E$54,3,TRUE)+1),0,VLOOKUP(D20,Lagerkapazität!$C$4:$E$54,3,TRUE)+1)</f>
        <v>0</v>
      </c>
      <c r="Q20" s="242">
        <f>IF(ISNA(VLOOKUP(E20,Lagerkapazität!$C$4:$E$54,3,TRUE)+1),0,VLOOKUP(E20,Lagerkapazität!$C$4:$E$54,3,TRUE)+1)</f>
        <v>0</v>
      </c>
      <c r="R20" s="242">
        <f>IF(ISNA(VLOOKUP(F20,Lagerkapazität!$C$4:$E$54,3,TRUE)+1),0,VLOOKUP(F20,Lagerkapazität!$C$4:$E$54,3,TRUE)+1)</f>
        <v>0</v>
      </c>
      <c r="S20" s="242">
        <f>IF(ISNA(VLOOKUP(G20,Lagerkapazität!$C$4:$E$54,3,TRUE)+1),0,VLOOKUP(G20,Lagerkapazität!$C$4:$E$54,3,TRUE)+1)</f>
        <v>0</v>
      </c>
      <c r="T20" s="242">
        <f>IF(ISNA(VLOOKUP(H20,Lagerkapazität!$C$4:$E$54,3,TRUE)+1),0,VLOOKUP(H20,Lagerkapazität!$C$4:$E$54,3,TRUE)+1)</f>
        <v>0</v>
      </c>
      <c r="U20" s="243">
        <f>IF(ISNA(VLOOKUP(I20,Lagerkapazität!$D$4:$E$54,2,TRUE)+1),0,VLOOKUP(I20,Lagerkapazität!$D$4:$E$54,2,TRUE)+1)</f>
        <v>0</v>
      </c>
      <c r="V20" s="60"/>
    </row>
    <row r="21" spans="2:22" x14ac:dyDescent="0.25">
      <c r="B21" s="11" t="s">
        <v>23</v>
      </c>
      <c r="C21" s="3"/>
      <c r="D21" s="14">
        <f>(((N21)*350/20)^2)+350</f>
        <v>656.25</v>
      </c>
      <c r="E21" s="14">
        <v>0</v>
      </c>
      <c r="F21" s="14">
        <f>(((N21)*350/20)^2)+350</f>
        <v>656.25</v>
      </c>
      <c r="G21" s="14">
        <v>0</v>
      </c>
      <c r="H21" s="14">
        <v>0</v>
      </c>
      <c r="I21" s="14">
        <v>0</v>
      </c>
      <c r="J21" s="3"/>
      <c r="K21" s="5">
        <f>((((100/9)*(0.5*N21*N21-0.5*N21+1))/(X3*72)*3600)/86400)*X8</f>
        <v>6.4300411522633747E-3</v>
      </c>
      <c r="L21" s="19">
        <f t="shared" si="2"/>
        <v>9.6450617283950629E-3</v>
      </c>
      <c r="M21" s="22"/>
      <c r="N21" s="25">
        <v>1</v>
      </c>
      <c r="O21" s="250"/>
      <c r="P21" s="241">
        <f>IF(ISNA(VLOOKUP(D21,Lagerkapazität!$C$4:$E$54,3,TRUE)+1),0,VLOOKUP(D21,Lagerkapazität!$C$4:$E$54,3,TRUE)+1)</f>
        <v>0</v>
      </c>
      <c r="Q21" s="242">
        <f>IF(ISNA(VLOOKUP(E21,Lagerkapazität!$C$4:$E$54,3,TRUE)+1),0,VLOOKUP(E21,Lagerkapazität!$C$4:$E$54,3,TRUE)+1)</f>
        <v>0</v>
      </c>
      <c r="R21" s="242">
        <f>IF(ISNA(VLOOKUP(F21,Lagerkapazität!$C$4:$E$54,3,TRUE)+1),0,VLOOKUP(F21,Lagerkapazität!$C$4:$E$54,3,TRUE)+1)</f>
        <v>0</v>
      </c>
      <c r="S21" s="242">
        <f>IF(ISNA(VLOOKUP(G21,Lagerkapazität!$C$4:$E$54,3,TRUE)+1),0,VLOOKUP(G21,Lagerkapazität!$C$4:$E$54,3,TRUE)+1)</f>
        <v>0</v>
      </c>
      <c r="T21" s="242">
        <f>IF(ISNA(VLOOKUP(H21,Lagerkapazität!$C$4:$E$54,3,TRUE)+1),0,VLOOKUP(H21,Lagerkapazität!$C$4:$E$54,3,TRUE)+1)</f>
        <v>0</v>
      </c>
      <c r="U21" s="243">
        <f>IF(ISNA(VLOOKUP(I21,Lagerkapazität!$D$4:$E$54,2,TRUE)+1),0,VLOOKUP(I21,Lagerkapazität!$D$4:$E$54,2,TRUE)+1)</f>
        <v>0</v>
      </c>
      <c r="V21" s="60"/>
    </row>
    <row r="22" spans="2:22" x14ac:dyDescent="0.25">
      <c r="B22" s="11" t="s">
        <v>24</v>
      </c>
      <c r="C22" s="3"/>
      <c r="D22" s="14">
        <f>(((N22)*25/1)^2)+500</f>
        <v>1125</v>
      </c>
      <c r="E22" s="14">
        <v>0</v>
      </c>
      <c r="F22" s="14">
        <f>(((N22)*17.5/1)^2)+350</f>
        <v>656.25</v>
      </c>
      <c r="G22" s="14">
        <v>0</v>
      </c>
      <c r="H22" s="14">
        <f>(((N22)*7.5/1)^2)+150</f>
        <v>206.25</v>
      </c>
      <c r="I22" s="14">
        <v>0</v>
      </c>
      <c r="J22" s="3"/>
      <c r="K22" s="5">
        <f>((((100/9)*(0.5*N22*N22-0.5*N22+1))/(X3*50)*3600)/86400)*X8</f>
        <v>9.2592592592592587E-3</v>
      </c>
      <c r="L22" s="19">
        <f t="shared" si="2"/>
        <v>1.3888888888888888E-2</v>
      </c>
      <c r="M22" s="22"/>
      <c r="N22" s="25">
        <v>1</v>
      </c>
      <c r="O22" s="250"/>
      <c r="P22" s="241">
        <f>IF(ISNA(VLOOKUP(D22,Lagerkapazität!$C$4:$E$54,3,TRUE)+1),0,VLOOKUP(D22,Lagerkapazität!$C$4:$E$54,3,TRUE)+1)</f>
        <v>0</v>
      </c>
      <c r="Q22" s="242">
        <f>IF(ISNA(VLOOKUP(E22,Lagerkapazität!$C$4:$E$54,3,TRUE)+1),0,VLOOKUP(E22,Lagerkapazität!$C$4:$E$54,3,TRUE)+1)</f>
        <v>0</v>
      </c>
      <c r="R22" s="242">
        <f>IF(ISNA(VLOOKUP(F22,Lagerkapazität!$C$4:$E$54,3,TRUE)+1),0,VLOOKUP(F22,Lagerkapazität!$C$4:$E$54,3,TRUE)+1)</f>
        <v>0</v>
      </c>
      <c r="S22" s="242">
        <f>IF(ISNA(VLOOKUP(G22,Lagerkapazität!$C$4:$E$54,3,TRUE)+1),0,VLOOKUP(G22,Lagerkapazität!$C$4:$E$54,3,TRUE)+1)</f>
        <v>0</v>
      </c>
      <c r="T22" s="242">
        <f>IF(ISNA(VLOOKUP(H22,Lagerkapazität!$C$4:$E$54,3,TRUE)+1),0,VLOOKUP(H22,Lagerkapazität!$C$4:$E$54,3,TRUE)+1)</f>
        <v>0</v>
      </c>
      <c r="U22" s="243">
        <f>IF(ISNA(VLOOKUP(I22,Lagerkapazität!$D$4:$E$54,2,TRUE)+1),0,VLOOKUP(I22,Lagerkapazität!$D$4:$E$54,2,TRUE)+1)</f>
        <v>0</v>
      </c>
      <c r="V22" s="60"/>
    </row>
    <row r="23" spans="2:22" x14ac:dyDescent="0.25">
      <c r="B23" s="10"/>
      <c r="C23" s="3"/>
      <c r="D23" s="15"/>
      <c r="E23" s="15"/>
      <c r="F23" s="15"/>
      <c r="G23" s="15"/>
      <c r="H23" s="15"/>
      <c r="I23" s="15"/>
      <c r="J23" s="3"/>
      <c r="K23" s="6"/>
      <c r="L23" s="20"/>
      <c r="M23" s="6"/>
      <c r="N23" s="24"/>
      <c r="O23" s="250"/>
      <c r="P23" s="298"/>
      <c r="Q23" s="299"/>
      <c r="R23" s="299"/>
      <c r="S23" s="299"/>
      <c r="T23" s="299"/>
      <c r="U23" s="300"/>
      <c r="V23" s="60"/>
    </row>
    <row r="24" spans="2:22" x14ac:dyDescent="0.25">
      <c r="B24" s="11" t="s">
        <v>25</v>
      </c>
      <c r="C24" s="3"/>
      <c r="D24" s="14">
        <f>150*(((N24-1)*0.8)+1)</f>
        <v>150</v>
      </c>
      <c r="E24" s="14">
        <f>500*(((N24-1)*0.8)+1)</f>
        <v>500</v>
      </c>
      <c r="F24" s="14">
        <v>0</v>
      </c>
      <c r="G24" s="14">
        <v>0</v>
      </c>
      <c r="H24" s="14">
        <v>0</v>
      </c>
      <c r="I24" s="14">
        <v>0</v>
      </c>
      <c r="J24" s="3"/>
      <c r="K24" s="5">
        <f>(((((100/9)*(0.5*N24*N24-0.5*N24+1))/(X3*5))*3600) / 4 / 86400)*X8</f>
        <v>2.3148148148148147E-2</v>
      </c>
      <c r="L24" s="19">
        <f t="shared" ref="L24:L25" si="3">K24*(MAX(N24/$X$5,1.5))</f>
        <v>3.4722222222222224E-2</v>
      </c>
      <c r="M24" s="22"/>
      <c r="N24" s="25">
        <v>1</v>
      </c>
      <c r="O24" s="250"/>
      <c r="P24" s="241">
        <f>IF(ISNA(VLOOKUP(D24,Lagerkapazität!$C$4:$E$54,3,TRUE)+1),0,VLOOKUP(D24,Lagerkapazität!$C$4:$E$54,3,TRUE)+1)</f>
        <v>0</v>
      </c>
      <c r="Q24" s="242">
        <f>IF(ISNA(VLOOKUP(E24,Lagerkapazität!$C$4:$E$54,3,TRUE)+1),0,VLOOKUP(E24,Lagerkapazität!$C$4:$E$54,3,TRUE)+1)</f>
        <v>0</v>
      </c>
      <c r="R24" s="242">
        <f>IF(ISNA(VLOOKUP(F24,Lagerkapazität!$C$4:$E$54,3,TRUE)+1),0,VLOOKUP(F24,Lagerkapazität!$C$4:$E$54,3,TRUE)+1)</f>
        <v>0</v>
      </c>
      <c r="S24" s="242">
        <f>IF(ISNA(VLOOKUP(G24,Lagerkapazität!$C$4:$E$54,3,TRUE)+1),0,VLOOKUP(G24,Lagerkapazität!$C$4:$E$54,3,TRUE)+1)</f>
        <v>0</v>
      </c>
      <c r="T24" s="242">
        <f>IF(ISNA(VLOOKUP(H24,Lagerkapazität!$C$4:$E$54,3,TRUE)+1),0,VLOOKUP(H24,Lagerkapazität!$C$4:$E$54,3,TRUE)+1)</f>
        <v>0</v>
      </c>
      <c r="U24" s="243">
        <f>IF(ISNA(VLOOKUP(I24,Lagerkapazität!$D$4:$E$54,2,TRUE)+1),0,VLOOKUP(I24,Lagerkapazität!$D$4:$E$54,2,TRUE)+1)</f>
        <v>0</v>
      </c>
      <c r="V24" s="60"/>
    </row>
    <row r="25" spans="2:22" x14ac:dyDescent="0.25">
      <c r="B25" s="11" t="s">
        <v>26</v>
      </c>
      <c r="C25" s="3"/>
      <c r="D25" s="14">
        <f>(N25)*20000+25000-MAX(0,2-N25)*20000</f>
        <v>25000</v>
      </c>
      <c r="E25" s="14">
        <f>(N25)*32000+40000-MAX(0,2-N25)*32000</f>
        <v>40000</v>
      </c>
      <c r="F25" s="14">
        <f>(N25)*16000+20000-MAX(0,2-N25)*16000</f>
        <v>20000</v>
      </c>
      <c r="G25" s="14">
        <v>0</v>
      </c>
      <c r="H25" s="14">
        <v>0</v>
      </c>
      <c r="I25" s="14">
        <v>0</v>
      </c>
      <c r="J25" s="3"/>
      <c r="K25" s="5">
        <f>((((100/9)*(0.5*N25*N25-0.5*N25+1))/(X3*3))*3600/86400)*X8</f>
        <v>0.15432098765432101</v>
      </c>
      <c r="L25" s="19">
        <f t="shared" si="3"/>
        <v>0.23148148148148151</v>
      </c>
      <c r="M25" s="22"/>
      <c r="N25" s="25">
        <v>1</v>
      </c>
      <c r="O25" s="250"/>
      <c r="P25" s="241">
        <f>IF(ISNA(VLOOKUP(D25,Lagerkapazität!$C$4:$E$54,3,TRUE)+1),0,VLOOKUP(D25,Lagerkapazität!$C$4:$E$54,3,TRUE)+1)</f>
        <v>3</v>
      </c>
      <c r="Q25" s="242">
        <f>IF(ISNA(VLOOKUP(E25,Lagerkapazität!$C$4:$E$54,3,TRUE)+1),0,VLOOKUP(E25,Lagerkapazität!$C$4:$E$54,3,TRUE)+1)</f>
        <v>4</v>
      </c>
      <c r="R25" s="242">
        <f>IF(ISNA(VLOOKUP(F25,Lagerkapazität!$C$4:$E$54,3,TRUE)+1),0,VLOOKUP(F25,Lagerkapazität!$C$4:$E$54,3,TRUE)+1)</f>
        <v>2</v>
      </c>
      <c r="S25" s="242">
        <f>IF(ISNA(VLOOKUP(G25,Lagerkapazität!$C$4:$E$54,3,TRUE)+1),0,VLOOKUP(G25,Lagerkapazität!$C$4:$E$54,3,TRUE)+1)</f>
        <v>0</v>
      </c>
      <c r="T25" s="242">
        <f>IF(ISNA(VLOOKUP(H25,Lagerkapazität!$C$4:$E$54,3,TRUE)+1),0,VLOOKUP(H25,Lagerkapazität!$C$4:$E$54,3,TRUE)+1)</f>
        <v>0</v>
      </c>
      <c r="U25" s="243">
        <f>IF(ISNA(VLOOKUP(I25,Lagerkapazität!$D$4:$E$54,2,TRUE)+1),0,VLOOKUP(I25,Lagerkapazität!$D$4:$E$54,2,TRUE)+1)</f>
        <v>0</v>
      </c>
      <c r="V25" s="60"/>
    </row>
    <row r="26" spans="2:22" x14ac:dyDescent="0.25">
      <c r="B26" s="10"/>
      <c r="C26" s="3"/>
      <c r="D26" s="15"/>
      <c r="E26" s="15"/>
      <c r="F26" s="15"/>
      <c r="G26" s="15"/>
      <c r="H26" s="15"/>
      <c r="I26" s="15"/>
      <c r="J26" s="3"/>
      <c r="K26" s="6"/>
      <c r="L26" s="20"/>
      <c r="M26" s="6"/>
      <c r="N26" s="24"/>
      <c r="O26" s="250"/>
      <c r="P26" s="298"/>
      <c r="Q26" s="299"/>
      <c r="R26" s="299"/>
      <c r="S26" s="299"/>
      <c r="T26" s="299"/>
      <c r="U26" s="300"/>
      <c r="V26" s="60"/>
    </row>
    <row r="27" spans="2:22" x14ac:dyDescent="0.25">
      <c r="B27" s="11" t="s">
        <v>27</v>
      </c>
      <c r="C27" s="3"/>
      <c r="D27" s="14">
        <f>4000*(((N27)*0.8)+1)</f>
        <v>7200</v>
      </c>
      <c r="E27" s="14">
        <f>350*(((N27)*0.8)+1)</f>
        <v>630</v>
      </c>
      <c r="F27" s="14">
        <v>0</v>
      </c>
      <c r="G27" s="14">
        <v>0</v>
      </c>
      <c r="H27" s="14">
        <f>3000*(((N27)*0.8)+1)</f>
        <v>5400</v>
      </c>
      <c r="I27" s="14">
        <v>0</v>
      </c>
      <c r="J27" s="3"/>
      <c r="K27" s="5">
        <f>((((100/9)*(0.5*N27*N27-0.5*N27+1))/(X3*15))*3600/86400)*X8</f>
        <v>3.0864197530864196E-2</v>
      </c>
      <c r="L27" s="19">
        <f t="shared" ref="L27:L32" si="4">K27*(MAX(N27/$X$5,1.5))</f>
        <v>4.6296296296296294E-2</v>
      </c>
      <c r="M27" s="22"/>
      <c r="N27" s="25">
        <v>1</v>
      </c>
      <c r="O27" s="250"/>
      <c r="P27" s="241">
        <f>IF(ISNA(VLOOKUP(D27,Lagerkapazität!$C$4:$E$54,3,TRUE)+1),0,VLOOKUP(D27,Lagerkapazität!$C$4:$E$54,3,TRUE)+1)</f>
        <v>0</v>
      </c>
      <c r="Q27" s="242">
        <f>IF(ISNA(VLOOKUP(E27,Lagerkapazität!$C$4:$E$54,3,TRUE)+1),0,VLOOKUP(E27,Lagerkapazität!$C$4:$E$54,3,TRUE)+1)</f>
        <v>0</v>
      </c>
      <c r="R27" s="242">
        <f>IF(ISNA(VLOOKUP(F27,Lagerkapazität!$C$4:$E$54,3,TRUE)+1),0,VLOOKUP(F27,Lagerkapazität!$C$4:$E$54,3,TRUE)+1)</f>
        <v>0</v>
      </c>
      <c r="S27" s="242">
        <f>IF(ISNA(VLOOKUP(G27,Lagerkapazität!$C$4:$E$54,3,TRUE)+1),0,VLOOKUP(G27,Lagerkapazität!$C$4:$E$54,3,TRUE)+1)</f>
        <v>0</v>
      </c>
      <c r="T27" s="242">
        <f>IF(ISNA(VLOOKUP(H27,Lagerkapazität!$C$4:$E$54,3,TRUE)+1),0,VLOOKUP(H27,Lagerkapazität!$C$4:$E$54,3,TRUE)+1)</f>
        <v>0</v>
      </c>
      <c r="U27" s="243">
        <f>IF(ISNA(VLOOKUP(I27,Lagerkapazität!$D$4:$E$54,2,TRUE)+1),0,VLOOKUP(I27,Lagerkapazität!$D$4:$E$54,2,TRUE)+1)</f>
        <v>0</v>
      </c>
      <c r="V27" s="60"/>
    </row>
    <row r="28" spans="2:22" x14ac:dyDescent="0.25">
      <c r="B28" s="11" t="s">
        <v>28</v>
      </c>
      <c r="C28" s="3"/>
      <c r="D28" s="14">
        <f>3250*(((N28)*0.8)+1)</f>
        <v>5850</v>
      </c>
      <c r="E28" s="14">
        <f>250*(((N28)*0.8)+1)</f>
        <v>450</v>
      </c>
      <c r="F28" s="14">
        <v>0</v>
      </c>
      <c r="G28" s="14">
        <v>0</v>
      </c>
      <c r="H28" s="14">
        <f>2000*(((N28)*0.8)+1)</f>
        <v>3600</v>
      </c>
      <c r="I28" s="14">
        <v>0</v>
      </c>
      <c r="J28" s="3"/>
      <c r="K28" s="5">
        <f>((((100/9)*(0.5*N28*N28-0.5*N28+1))/(X3*28))*3600/86400)*X8</f>
        <v>1.6534391534391533E-2</v>
      </c>
      <c r="L28" s="19">
        <f t="shared" si="4"/>
        <v>2.48015873015873E-2</v>
      </c>
      <c r="M28" s="22"/>
      <c r="N28" s="25">
        <v>1</v>
      </c>
      <c r="O28" s="250"/>
      <c r="P28" s="241">
        <f>IF(ISNA(VLOOKUP(D28,Lagerkapazität!$C$4:$E$54,3,TRUE)+1),0,VLOOKUP(D28,Lagerkapazität!$C$4:$E$54,3,TRUE)+1)</f>
        <v>0</v>
      </c>
      <c r="Q28" s="242">
        <f>IF(ISNA(VLOOKUP(E28,Lagerkapazität!$C$4:$E$54,3,TRUE)+1),0,VLOOKUP(E28,Lagerkapazität!$C$4:$E$54,3,TRUE)+1)</f>
        <v>0</v>
      </c>
      <c r="R28" s="242">
        <f>IF(ISNA(VLOOKUP(F28,Lagerkapazität!$C$4:$E$54,3,TRUE)+1),0,VLOOKUP(F28,Lagerkapazität!$C$4:$E$54,3,TRUE)+1)</f>
        <v>0</v>
      </c>
      <c r="S28" s="242">
        <f>IF(ISNA(VLOOKUP(G28,Lagerkapazität!$C$4:$E$54,3,TRUE)+1),0,VLOOKUP(G28,Lagerkapazität!$C$4:$E$54,3,TRUE)+1)</f>
        <v>0</v>
      </c>
      <c r="T28" s="242">
        <f>IF(ISNA(VLOOKUP(H28,Lagerkapazität!$C$4:$E$54,3,TRUE)+1),0,VLOOKUP(H28,Lagerkapazität!$C$4:$E$54,3,TRUE)+1)</f>
        <v>0</v>
      </c>
      <c r="U28" s="243">
        <f>IF(ISNA(VLOOKUP(I28,Lagerkapazität!$D$4:$E$54,2,TRUE)+1),0,VLOOKUP(I28,Lagerkapazität!$D$4:$E$54,2,TRUE)+1)</f>
        <v>0</v>
      </c>
      <c r="V28" s="60"/>
    </row>
    <row r="29" spans="2:22" x14ac:dyDescent="0.25">
      <c r="B29" s="11" t="s">
        <v>29</v>
      </c>
      <c r="C29" s="3"/>
      <c r="D29" s="14">
        <f>750*(((N29)*0.8)+1)</f>
        <v>1350</v>
      </c>
      <c r="E29" s="14">
        <v>0</v>
      </c>
      <c r="F29" s="14">
        <f>500*(((N29)*0.8)+1)</f>
        <v>900</v>
      </c>
      <c r="G29" s="14">
        <v>0</v>
      </c>
      <c r="H29" s="14">
        <v>0</v>
      </c>
      <c r="I29" s="14">
        <v>0</v>
      </c>
      <c r="J29" s="3"/>
      <c r="K29" s="5">
        <f>((((100/9)*(0.5*N29*N29-0.5*N29+1))/(X3*40))*3600/86400)*X8</f>
        <v>1.1574074074074073E-2</v>
      </c>
      <c r="L29" s="19">
        <f t="shared" si="4"/>
        <v>1.7361111111111112E-2</v>
      </c>
      <c r="M29" s="22"/>
      <c r="N29" s="25">
        <v>1</v>
      </c>
      <c r="O29" s="250"/>
      <c r="P29" s="241">
        <f>IF(ISNA(VLOOKUP(D29,Lagerkapazität!$C$4:$E$54,3,TRUE)+1),0,VLOOKUP(D29,Lagerkapazität!$C$4:$E$54,3,TRUE)+1)</f>
        <v>0</v>
      </c>
      <c r="Q29" s="242">
        <f>IF(ISNA(VLOOKUP(E29,Lagerkapazität!$C$4:$E$54,3,TRUE)+1),0,VLOOKUP(E29,Lagerkapazität!$C$4:$E$54,3,TRUE)+1)</f>
        <v>0</v>
      </c>
      <c r="R29" s="242">
        <f>IF(ISNA(VLOOKUP(F29,Lagerkapazität!$C$4:$E$54,3,TRUE)+1),0,VLOOKUP(F29,Lagerkapazität!$C$4:$E$54,3,TRUE)+1)</f>
        <v>0</v>
      </c>
      <c r="S29" s="242">
        <f>IF(ISNA(VLOOKUP(G29,Lagerkapazität!$C$4:$E$54,3,TRUE)+1),0,VLOOKUP(G29,Lagerkapazität!$C$4:$E$54,3,TRUE)+1)</f>
        <v>0</v>
      </c>
      <c r="T29" s="242">
        <f>IF(ISNA(VLOOKUP(H29,Lagerkapazität!$C$4:$E$54,3,TRUE)+1),0,VLOOKUP(H29,Lagerkapazität!$C$4:$E$54,3,TRUE)+1)</f>
        <v>0</v>
      </c>
      <c r="U29" s="243">
        <f>IF(ISNA(VLOOKUP(I29,Lagerkapazität!$D$4:$E$54,2,TRUE)+1),0,VLOOKUP(I29,Lagerkapazität!$D$4:$E$54,2,TRUE)+1)</f>
        <v>0</v>
      </c>
      <c r="V29" s="60"/>
    </row>
    <row r="30" spans="2:22" x14ac:dyDescent="0.25">
      <c r="B30" s="11" t="s">
        <v>30</v>
      </c>
      <c r="C30" s="3"/>
      <c r="D30" s="14">
        <f>502*N30*N30+560</f>
        <v>1062</v>
      </c>
      <c r="E30" s="14">
        <f>1024*N30*N30+800</f>
        <v>1824</v>
      </c>
      <c r="F30" s="29">
        <f>1296*N30*N30+900</f>
        <v>2196</v>
      </c>
      <c r="G30" s="14">
        <v>0</v>
      </c>
      <c r="H30" s="14">
        <v>0</v>
      </c>
      <c r="I30" s="14">
        <v>0</v>
      </c>
      <c r="J30" s="3"/>
      <c r="K30" s="5">
        <f>((((100/9)*(0.5*N30*N30-0.5*N30+1))/(X3*45))*3600/86400)*X8</f>
        <v>1.0288065843621397E-2</v>
      </c>
      <c r="L30" s="19">
        <f t="shared" si="4"/>
        <v>1.5432098765432096E-2</v>
      </c>
      <c r="M30" s="22"/>
      <c r="N30" s="25">
        <v>1</v>
      </c>
      <c r="O30" s="250"/>
      <c r="P30" s="241">
        <f>IF(ISNA(VLOOKUP(D30,Lagerkapazität!$C$4:$E$54,3,TRUE)+1),0,VLOOKUP(D30,Lagerkapazität!$C$4:$E$54,3,TRUE)+1)</f>
        <v>0</v>
      </c>
      <c r="Q30" s="242">
        <f>IF(ISNA(VLOOKUP(E30,Lagerkapazität!$C$4:$E$54,3,TRUE)+1),0,VLOOKUP(E30,Lagerkapazität!$C$4:$E$54,3,TRUE)+1)</f>
        <v>0</v>
      </c>
      <c r="R30" s="242">
        <f>IF(ISNA(VLOOKUP(F30,Lagerkapazität!$C$4:$E$54,3,TRUE)+1),0,VLOOKUP(F30,Lagerkapazität!$C$4:$E$54,3,TRUE)+1)</f>
        <v>0</v>
      </c>
      <c r="S30" s="242">
        <f>IF(ISNA(VLOOKUP(G30,Lagerkapazität!$C$4:$E$54,3,TRUE)+1),0,VLOOKUP(G30,Lagerkapazität!$C$4:$E$54,3,TRUE)+1)</f>
        <v>0</v>
      </c>
      <c r="T30" s="242">
        <f>IF(ISNA(VLOOKUP(H30,Lagerkapazität!$C$4:$E$54,3,TRUE)+1),0,VLOOKUP(H30,Lagerkapazität!$C$4:$E$54,3,TRUE)+1)</f>
        <v>0</v>
      </c>
      <c r="U30" s="243">
        <f>IF(ISNA(VLOOKUP(I30,Lagerkapazität!$D$4:$E$54,2,TRUE)+1),0,VLOOKUP(I30,Lagerkapazität!$D$4:$E$54,2,TRUE)+1)</f>
        <v>0</v>
      </c>
      <c r="V30" s="60"/>
    </row>
    <row r="31" spans="2:22" x14ac:dyDescent="0.25">
      <c r="B31" s="11" t="s">
        <v>44</v>
      </c>
      <c r="C31" s="3"/>
      <c r="D31" s="14">
        <f>9000*(((N31)*0.8)+1)</f>
        <v>16200</v>
      </c>
      <c r="E31" s="14">
        <f>12000*(((N31)*0.8)+1)</f>
        <v>21600</v>
      </c>
      <c r="F31" s="29">
        <f>7000*(((N31)*0.8)+1)</f>
        <v>12600</v>
      </c>
      <c r="G31" s="14">
        <f>5000*(((N31)*0.8)+1)</f>
        <v>9000</v>
      </c>
      <c r="H31" s="14">
        <v>0</v>
      </c>
      <c r="I31" s="14">
        <v>0</v>
      </c>
      <c r="J31" s="3"/>
      <c r="K31" s="5">
        <f>((((100/9)*(0.5*N31*N31-0.5*N31+1))/(X3*18))*3600/86400)*X8</f>
        <v>2.5720164609053499E-2</v>
      </c>
      <c r="L31" s="19">
        <f t="shared" si="4"/>
        <v>3.8580246913580252E-2</v>
      </c>
      <c r="M31" s="22"/>
      <c r="N31" s="25">
        <v>1</v>
      </c>
      <c r="O31" s="250"/>
      <c r="P31" s="241">
        <f>IF(ISNA(VLOOKUP(D31,Lagerkapazität!$C$4:$E$54,3,TRUE)+1),0,VLOOKUP(D31,Lagerkapazität!$C$4:$E$54,3,TRUE)+1)</f>
        <v>1</v>
      </c>
      <c r="Q31" s="242">
        <f>IF(ISNA(VLOOKUP(E31,Lagerkapazität!$C$4:$E$54,3,TRUE)+1),0,VLOOKUP(E31,Lagerkapazität!$C$4:$E$54,3,TRUE)+1)</f>
        <v>2</v>
      </c>
      <c r="R31" s="242">
        <f>IF(ISNA(VLOOKUP(F31,Lagerkapazität!$C$4:$E$54,3,TRUE)+1),0,VLOOKUP(F31,Lagerkapazität!$C$4:$E$54,3,TRUE)+1)</f>
        <v>1</v>
      </c>
      <c r="S31" s="242">
        <f>IF(ISNA(VLOOKUP(G31,Lagerkapazität!$C$4:$E$54,3,TRUE)+1),0,VLOOKUP(G31,Lagerkapazität!$C$4:$E$54,3,TRUE)+1)</f>
        <v>0</v>
      </c>
      <c r="T31" s="242">
        <f>IF(ISNA(VLOOKUP(H31,Lagerkapazität!$C$4:$E$54,3,TRUE)+1),0,VLOOKUP(H31,Lagerkapazität!$C$4:$E$54,3,TRUE)+1)</f>
        <v>0</v>
      </c>
      <c r="U31" s="243">
        <f>IF(ISNA(VLOOKUP(I31,Lagerkapazität!$D$4:$E$54,2,TRUE)+1),0,VLOOKUP(I31,Lagerkapazität!$D$4:$E$54,2,TRUE)+1)</f>
        <v>0</v>
      </c>
      <c r="V31" s="60"/>
    </row>
    <row r="32" spans="2:22" x14ac:dyDescent="0.25">
      <c r="B32" s="11" t="s">
        <v>43</v>
      </c>
      <c r="C32" s="3"/>
      <c r="D32" s="14">
        <f>12000*(N32-1)+15000</f>
        <v>15000</v>
      </c>
      <c r="E32" s="14">
        <f>7200*(N32-1)+9000</f>
        <v>9000</v>
      </c>
      <c r="F32" s="29">
        <f>5600*(N32-1)+7000</f>
        <v>7000</v>
      </c>
      <c r="G32" s="14">
        <f>6400*(N32-1)+8000</f>
        <v>8000</v>
      </c>
      <c r="H32" s="14">
        <f>12000*(N32-1)+15000</f>
        <v>15000</v>
      </c>
      <c r="I32" s="14">
        <v>0</v>
      </c>
      <c r="J32" s="3"/>
      <c r="K32" s="5">
        <f>((((100/9)*(0.5*N32*N32-0.5*N32+1))/(X3*7))*3600/86400)*X8</f>
        <v>6.6137566137566134E-2</v>
      </c>
      <c r="L32" s="19">
        <f t="shared" si="4"/>
        <v>9.9206349206349201E-2</v>
      </c>
      <c r="M32" s="22"/>
      <c r="N32" s="25">
        <v>1</v>
      </c>
      <c r="O32" s="250"/>
      <c r="P32" s="241">
        <f>IF(ISNA(VLOOKUP(D32,Lagerkapazität!$C$4:$E$54,3,TRUE)+1),0,VLOOKUP(D32,Lagerkapazität!$C$4:$E$54,3,TRUE)+1)</f>
        <v>1</v>
      </c>
      <c r="Q32" s="242">
        <f>IF(ISNA(VLOOKUP(E32,Lagerkapazität!$C$4:$E$54,3,TRUE)+1),0,VLOOKUP(E32,Lagerkapazität!$C$4:$E$54,3,TRUE)+1)</f>
        <v>0</v>
      </c>
      <c r="R32" s="242">
        <f>IF(ISNA(VLOOKUP(F32,Lagerkapazität!$C$4:$E$54,3,TRUE)+1),0,VLOOKUP(F32,Lagerkapazität!$C$4:$E$54,3,TRUE)+1)</f>
        <v>0</v>
      </c>
      <c r="S32" s="242">
        <f>IF(ISNA(VLOOKUP(G32,Lagerkapazität!$C$4:$E$54,3,TRUE)+1),0,VLOOKUP(G32,Lagerkapazität!$C$4:$E$54,3,TRUE)+1)</f>
        <v>0</v>
      </c>
      <c r="T32" s="242">
        <f>IF(ISNA(VLOOKUP(H32,Lagerkapazität!$C$4:$E$54,3,TRUE)+1),0,VLOOKUP(H32,Lagerkapazität!$C$4:$E$54,3,TRUE)+1)</f>
        <v>1</v>
      </c>
      <c r="U32" s="243">
        <f>IF(ISNA(VLOOKUP(I32,Lagerkapazität!$D$4:$E$54,2,TRUE)+1),0,VLOOKUP(I32,Lagerkapazität!$D$4:$E$54,2,TRUE)+1)</f>
        <v>0</v>
      </c>
      <c r="V32" s="60"/>
    </row>
    <row r="33" spans="2:22" x14ac:dyDescent="0.25">
      <c r="B33" s="10"/>
      <c r="C33" s="3"/>
      <c r="D33" s="15"/>
      <c r="E33" s="15"/>
      <c r="F33" s="15"/>
      <c r="G33" s="15"/>
      <c r="H33" s="15"/>
      <c r="I33" s="15"/>
      <c r="J33" s="3"/>
      <c r="K33" s="6"/>
      <c r="L33" s="20"/>
      <c r="M33" s="6"/>
      <c r="N33" s="24"/>
      <c r="O33" s="250"/>
      <c r="P33" s="298"/>
      <c r="Q33" s="299"/>
      <c r="R33" s="299"/>
      <c r="S33" s="299"/>
      <c r="T33" s="299"/>
      <c r="U33" s="300"/>
      <c r="V33" s="60"/>
    </row>
    <row r="34" spans="2:22" x14ac:dyDescent="0.25">
      <c r="B34" s="11" t="s">
        <v>31</v>
      </c>
      <c r="C34" s="3"/>
      <c r="D34" s="14">
        <f>7200*(((N34-1)*0.8)+1)</f>
        <v>7200</v>
      </c>
      <c r="E34" s="14">
        <f>1000*(((N34-1)*0.8)+1)</f>
        <v>1000</v>
      </c>
      <c r="F34" s="14">
        <v>0</v>
      </c>
      <c r="G34" s="14">
        <v>0</v>
      </c>
      <c r="H34" s="14">
        <f>5400*(((N34-1)*0.8)+1)</f>
        <v>5400</v>
      </c>
      <c r="I34" s="14">
        <v>0</v>
      </c>
      <c r="J34" s="3"/>
      <c r="K34" s="5">
        <f>((((100/9)*(0.5*N34*N34-0.5*N34+1))/(X3*12))*3600/86400)*X8</f>
        <v>3.8580246913580252E-2</v>
      </c>
      <c r="L34" s="19">
        <f t="shared" ref="L34:L36" si="5">K34*(MAX(N34/$X$5,1.5))</f>
        <v>5.7870370370370378E-2</v>
      </c>
      <c r="M34" s="22"/>
      <c r="N34" s="25">
        <v>1</v>
      </c>
      <c r="O34" s="250"/>
      <c r="P34" s="241">
        <f>IF(ISNA(VLOOKUP(D34,Lagerkapazität!$C$4:$E$54,3,TRUE)+1),0,VLOOKUP(D34,Lagerkapazität!$C$4:$E$54,3,TRUE)+1)</f>
        <v>0</v>
      </c>
      <c r="Q34" s="242">
        <f>IF(ISNA(VLOOKUP(E34,Lagerkapazität!$C$4:$E$54,3,TRUE)+1),0,VLOOKUP(E34,Lagerkapazität!$C$4:$E$54,3,TRUE)+1)</f>
        <v>0</v>
      </c>
      <c r="R34" s="242">
        <f>IF(ISNA(VLOOKUP(F34,Lagerkapazität!$C$4:$E$54,3,TRUE)+1),0,VLOOKUP(F34,Lagerkapazität!$C$4:$E$54,3,TRUE)+1)</f>
        <v>0</v>
      </c>
      <c r="S34" s="242">
        <f>IF(ISNA(VLOOKUP(G34,Lagerkapazität!$C$4:$E$54,3,TRUE)+1),0,VLOOKUP(G34,Lagerkapazität!$C$4:$E$54,3,TRUE)+1)</f>
        <v>0</v>
      </c>
      <c r="T34" s="242">
        <f>IF(ISNA(VLOOKUP(H34,Lagerkapazität!$C$4:$E$54,3,TRUE)+1),0,VLOOKUP(H34,Lagerkapazität!$C$4:$E$54,3,TRUE)+1)</f>
        <v>0</v>
      </c>
      <c r="U34" s="243">
        <f>IF(ISNA(VLOOKUP(I34,Lagerkapazität!$D$4:$E$54,2,TRUE)+1),0,VLOOKUP(I34,Lagerkapazität!$D$4:$E$54,2,TRUE)+1)</f>
        <v>0</v>
      </c>
      <c r="V34" s="60"/>
    </row>
    <row r="35" spans="2:22" x14ac:dyDescent="0.25">
      <c r="B35" s="11" t="s">
        <v>32</v>
      </c>
      <c r="C35" s="3"/>
      <c r="D35" s="14">
        <f>6000*(2^((N35-1)/2))</f>
        <v>6000</v>
      </c>
      <c r="E35" s="14">
        <f>2250*(2^((N35-1)/2))</f>
        <v>2250</v>
      </c>
      <c r="F35" s="14">
        <v>0</v>
      </c>
      <c r="G35" s="14">
        <v>0</v>
      </c>
      <c r="H35" s="14">
        <f>3250*(2^((N35-1)/2))</f>
        <v>3250</v>
      </c>
      <c r="I35" s="14">
        <v>0</v>
      </c>
      <c r="J35" s="3"/>
      <c r="K35" s="5">
        <f>((((100/9)*(0.5*N35*N35-0.5*N35+1))/(X3*4))*3600/86400)*X8</f>
        <v>0.11574074074074074</v>
      </c>
      <c r="L35" s="19">
        <f t="shared" si="5"/>
        <v>0.1736111111111111</v>
      </c>
      <c r="M35" s="22"/>
      <c r="N35" s="25">
        <v>1</v>
      </c>
      <c r="O35" s="250"/>
      <c r="P35" s="241">
        <f>IF(ISNA(VLOOKUP(D35,Lagerkapazität!$C$4:$E$54,3,TRUE)+1),0,VLOOKUP(D35,Lagerkapazität!$C$4:$E$54,3,TRUE)+1)</f>
        <v>0</v>
      </c>
      <c r="Q35" s="242">
        <f>IF(ISNA(VLOOKUP(E35,Lagerkapazität!$C$4:$E$54,3,TRUE)+1),0,VLOOKUP(E35,Lagerkapazität!$C$4:$E$54,3,TRUE)+1)</f>
        <v>0</v>
      </c>
      <c r="R35" s="242">
        <f>IF(ISNA(VLOOKUP(F35,Lagerkapazität!$C$4:$E$54,3,TRUE)+1),0,VLOOKUP(F35,Lagerkapazität!$C$4:$E$54,3,TRUE)+1)</f>
        <v>0</v>
      </c>
      <c r="S35" s="242">
        <f>IF(ISNA(VLOOKUP(G35,Lagerkapazität!$C$4:$E$54,3,TRUE)+1),0,VLOOKUP(G35,Lagerkapazität!$C$4:$E$54,3,TRUE)+1)</f>
        <v>0</v>
      </c>
      <c r="T35" s="242">
        <f>IF(ISNA(VLOOKUP(H35,Lagerkapazität!$C$4:$E$54,3,TRUE)+1),0,VLOOKUP(H35,Lagerkapazität!$C$4:$E$54,3,TRUE)+1)</f>
        <v>0</v>
      </c>
      <c r="U35" s="243">
        <f>IF(ISNA(VLOOKUP(I35,Lagerkapazität!$D$4:$E$54,2,TRUE)+1),0,VLOOKUP(I35,Lagerkapazität!$D$4:$E$54,2,TRUE)+1)</f>
        <v>0</v>
      </c>
      <c r="V35" s="60"/>
    </row>
    <row r="36" spans="2:22" x14ac:dyDescent="0.25">
      <c r="B36" s="11" t="s">
        <v>33</v>
      </c>
      <c r="C36" s="3"/>
      <c r="D36" s="14">
        <f>12656.25*N36^2+4500-MAX(0,2-N36)*12656.25</f>
        <v>4500</v>
      </c>
      <c r="E36" s="14">
        <f>2500*N36^2+2000-MAX(0,2-N36)*2500</f>
        <v>2000</v>
      </c>
      <c r="F36" s="14">
        <v>0</v>
      </c>
      <c r="G36" s="14">
        <v>0</v>
      </c>
      <c r="H36" s="14">
        <f>7656.25*N36^2+3500-MAX(0,2-N36)*7656.25</f>
        <v>3500</v>
      </c>
      <c r="I36" s="14">
        <v>0</v>
      </c>
      <c r="J36" s="3"/>
      <c r="K36" s="5">
        <f>((((100/9)*(0.5*N36*N36-0.5*N36+1))/(X3*8))*3600/86400)*X8</f>
        <v>5.7870370370370371E-2</v>
      </c>
      <c r="L36" s="19">
        <f t="shared" si="5"/>
        <v>8.6805555555555552E-2</v>
      </c>
      <c r="M36" s="22"/>
      <c r="N36" s="25">
        <v>1</v>
      </c>
      <c r="O36" s="250"/>
      <c r="P36" s="241">
        <f>IF(ISNA(VLOOKUP(D36,Lagerkapazität!$C$4:$E$54,3,TRUE)+1),0,VLOOKUP(D36,Lagerkapazität!$C$4:$E$54,3,TRUE)+1)</f>
        <v>0</v>
      </c>
      <c r="Q36" s="242">
        <f>IF(ISNA(VLOOKUP(E36,Lagerkapazität!$C$4:$E$54,3,TRUE)+1),0,VLOOKUP(E36,Lagerkapazität!$C$4:$E$54,3,TRUE)+1)</f>
        <v>0</v>
      </c>
      <c r="R36" s="242">
        <f>IF(ISNA(VLOOKUP(F36,Lagerkapazität!$C$4:$E$54,3,TRUE)+1),0,VLOOKUP(F36,Lagerkapazität!$C$4:$E$54,3,TRUE)+1)</f>
        <v>0</v>
      </c>
      <c r="S36" s="242">
        <f>IF(ISNA(VLOOKUP(G36,Lagerkapazität!$C$4:$E$54,3,TRUE)+1),0,VLOOKUP(G36,Lagerkapazität!$C$4:$E$54,3,TRUE)+1)</f>
        <v>0</v>
      </c>
      <c r="T36" s="242">
        <f>IF(ISNA(VLOOKUP(H36,Lagerkapazität!$C$4:$E$54,3,TRUE)+1),0,VLOOKUP(H36,Lagerkapazität!$C$4:$E$54,3,TRUE)+1)</f>
        <v>0</v>
      </c>
      <c r="U36" s="243">
        <f>IF(ISNA(VLOOKUP(I36,Lagerkapazität!$D$4:$E$54,2,TRUE)+1),0,VLOOKUP(I36,Lagerkapazität!$D$4:$E$54,2,TRUE)+1)</f>
        <v>0</v>
      </c>
      <c r="V36" s="60"/>
    </row>
    <row r="37" spans="2:22" x14ac:dyDescent="0.25">
      <c r="B37" s="10"/>
      <c r="C37" s="3"/>
      <c r="D37" s="15"/>
      <c r="E37" s="15"/>
      <c r="F37" s="15"/>
      <c r="G37" s="15"/>
      <c r="H37" s="15"/>
      <c r="I37" s="15"/>
      <c r="J37" s="3"/>
      <c r="K37" s="6"/>
      <c r="L37" s="20"/>
      <c r="M37" s="6"/>
      <c r="N37" s="24"/>
      <c r="O37" s="250"/>
      <c r="P37" s="289"/>
      <c r="Q37" s="290"/>
      <c r="R37" s="290"/>
      <c r="S37" s="290"/>
      <c r="T37" s="290"/>
      <c r="U37" s="291"/>
      <c r="V37" s="60"/>
    </row>
    <row r="38" spans="2:22" x14ac:dyDescent="0.25">
      <c r="B38" s="11" t="s">
        <v>36</v>
      </c>
      <c r="C38" s="3"/>
      <c r="D38" s="14">
        <f>N38*6400+8000-MAX(0,2-N38)*6400</f>
        <v>8000</v>
      </c>
      <c r="E38" s="14">
        <f>N38*3200+4000-MAX(0,2-N38)*3200</f>
        <v>4000</v>
      </c>
      <c r="F38" s="14">
        <f>N38*9600+12000-MAX(0,2-N38)*9600</f>
        <v>12000</v>
      </c>
      <c r="G38" s="14">
        <f>N38*3200+4000-MAX(0,2-N38)*3200</f>
        <v>4000</v>
      </c>
      <c r="H38" s="14">
        <v>0</v>
      </c>
      <c r="I38" s="14">
        <v>0</v>
      </c>
      <c r="J38" s="3"/>
      <c r="K38" s="5">
        <f>(((((100/9)*(0.5*N38*N38-0.5*N38+1))/(X3*5))*3600) / 4/86400)*X8</f>
        <v>2.3148148148148147E-2</v>
      </c>
      <c r="L38" s="19">
        <f t="shared" ref="L38:L41" si="6">K38*(MAX(N38/$X$5,1.5))</f>
        <v>3.4722222222222224E-2</v>
      </c>
      <c r="M38" s="22"/>
      <c r="N38" s="25">
        <v>1</v>
      </c>
      <c r="O38" s="250"/>
      <c r="P38" s="241">
        <f>IF(ISNA(VLOOKUP(D38,Lagerkapazität!$C$4:$E$54,3,TRUE)+1),0,VLOOKUP(D38,Lagerkapazität!$C$4:$E$54,3,TRUE)+1)</f>
        <v>0</v>
      </c>
      <c r="Q38" s="251">
        <f>IF(ISNA(VLOOKUP(E38,Lagerkapazität!$C$4:$E$54,3,TRUE)+1),0,VLOOKUP(E38,Lagerkapazität!$C$4:$E$54,3,TRUE)+1)</f>
        <v>0</v>
      </c>
      <c r="R38" s="251">
        <f>IF(ISNA(VLOOKUP(F38,Lagerkapazität!$C$4:$E$54,3,TRUE)+1),0,VLOOKUP(F38,Lagerkapazität!$C$4:$E$54,3,TRUE)+1)</f>
        <v>1</v>
      </c>
      <c r="S38" s="251">
        <f>IF(ISNA(VLOOKUP(G38,Lagerkapazität!$C$4:$E$54,3,TRUE)+1),0,VLOOKUP(G38,Lagerkapazität!$C$4:$E$54,3,TRUE)+1)</f>
        <v>0</v>
      </c>
      <c r="T38" s="251">
        <f>IF(ISNA(VLOOKUP(H38,Lagerkapazität!$C$4:$E$54,3,TRUE)+1),0,VLOOKUP(H38,Lagerkapazität!$C$4:$E$54,3,TRUE)+1)</f>
        <v>0</v>
      </c>
      <c r="U38" s="252">
        <f>IF(ISNA(VLOOKUP(I38,Lagerkapazität!$D$4:$E$54,2,TRUE)+1),0,VLOOKUP(I38,Lagerkapazität!$D$4:$E$54,2,TRUE)+1)</f>
        <v>0</v>
      </c>
      <c r="V38" s="67"/>
    </row>
    <row r="39" spans="2:22" x14ac:dyDescent="0.25">
      <c r="B39" s="11" t="s">
        <v>37</v>
      </c>
      <c r="C39" s="3"/>
      <c r="D39" s="14">
        <f>N39*24000+30000-MAX(0,2-N39)*24000</f>
        <v>30000</v>
      </c>
      <c r="E39" s="14">
        <f>N39*20000+25000-MAX(0,2-N39)*20000</f>
        <v>25000</v>
      </c>
      <c r="F39" s="14">
        <v>0</v>
      </c>
      <c r="G39" s="29">
        <f>N39*5600+7000-MAX(0,2-N39)*5600</f>
        <v>7000</v>
      </c>
      <c r="H39" s="29">
        <v>0</v>
      </c>
      <c r="I39" s="14">
        <v>0</v>
      </c>
      <c r="J39" s="3"/>
      <c r="K39" s="5">
        <f>(((((100/9)*(0.5*N39*N39-0.5*N39+1))/(X3*5))*3600) / 4/86400)*X8</f>
        <v>2.3148148148148147E-2</v>
      </c>
      <c r="L39" s="19">
        <f t="shared" si="6"/>
        <v>3.4722222222222224E-2</v>
      </c>
      <c r="M39" s="22"/>
      <c r="N39" s="25">
        <v>1</v>
      </c>
      <c r="O39" s="250"/>
      <c r="P39" s="241">
        <f>IF(ISNA(VLOOKUP(D39,Lagerkapazität!$C$4:$E$54,3,TRUE)+1),0,VLOOKUP(D39,Lagerkapazität!$C$4:$E$54,3,TRUE)+1)</f>
        <v>3</v>
      </c>
      <c r="Q39" s="251">
        <f>IF(ISNA(VLOOKUP(E39,Lagerkapazität!$C$4:$E$54,3,TRUE)+1),0,VLOOKUP(E39,Lagerkapazität!$C$4:$E$54,3,TRUE)+1)</f>
        <v>3</v>
      </c>
      <c r="R39" s="251">
        <f>IF(ISNA(VLOOKUP(F39,Lagerkapazität!$C$4:$E$54,3,TRUE)+1),0,VLOOKUP(F39,Lagerkapazität!$C$4:$E$54,3,TRUE)+1)</f>
        <v>0</v>
      </c>
      <c r="S39" s="251">
        <f>IF(ISNA(VLOOKUP(G39,Lagerkapazität!$C$4:$E$54,3,TRUE)+1),0,VLOOKUP(G39,Lagerkapazität!$C$4:$E$54,3,TRUE)+1)</f>
        <v>0</v>
      </c>
      <c r="T39" s="251">
        <f>IF(ISNA(VLOOKUP(H39,Lagerkapazität!$C$4:$E$54,3,TRUE)+1),0,VLOOKUP(H39,Lagerkapazität!$C$4:$E$54,3,TRUE)+1)</f>
        <v>0</v>
      </c>
      <c r="U39" s="252">
        <f>IF(ISNA(VLOOKUP(I39,Lagerkapazität!$D$4:$E$54,2,TRUE)+1),0,VLOOKUP(I39,Lagerkapazität!$D$4:$E$54,2,TRUE)+1)</f>
        <v>0</v>
      </c>
      <c r="V39" s="40"/>
    </row>
    <row r="40" spans="2:22" x14ac:dyDescent="0.25">
      <c r="B40" s="11" t="s">
        <v>34</v>
      </c>
      <c r="C40" s="3"/>
      <c r="D40" s="14">
        <f>N40*9600+12000-MAX(0,2-N40)*9600</f>
        <v>12000</v>
      </c>
      <c r="E40" s="14">
        <f>N40*3200+4000-MAX(0,2-N40)*3200</f>
        <v>4000</v>
      </c>
      <c r="F40" s="29">
        <v>0</v>
      </c>
      <c r="G40" s="29">
        <v>0</v>
      </c>
      <c r="H40" s="29">
        <f>N40*4000+5000-MAX(0,2-N40)*4000</f>
        <v>5000</v>
      </c>
      <c r="I40" s="14">
        <v>0</v>
      </c>
      <c r="J40" s="3"/>
      <c r="K40" s="5">
        <f>(((((100/9)*(0.5*N40*N40-0.5*N40+1))/(X3*5))*3600) / 4/86400)*X8</f>
        <v>2.3148148148148147E-2</v>
      </c>
      <c r="L40" s="19">
        <f t="shared" si="6"/>
        <v>3.4722222222222224E-2</v>
      </c>
      <c r="M40" s="22"/>
      <c r="N40" s="25">
        <v>1</v>
      </c>
      <c r="O40" s="250"/>
      <c r="P40" s="241">
        <f>IF(ISNA(VLOOKUP(D40,Lagerkapazität!$C$4:$E$54,3,TRUE)+1),0,VLOOKUP(D40,Lagerkapazität!$C$4:$E$54,3,TRUE)+1)</f>
        <v>1</v>
      </c>
      <c r="Q40" s="251">
        <f>IF(ISNA(VLOOKUP(E40,Lagerkapazität!$C$4:$E$54,3,TRUE)+1),0,VLOOKUP(E40,Lagerkapazität!$C$4:$E$54,3,TRUE)+1)</f>
        <v>0</v>
      </c>
      <c r="R40" s="251">
        <f>IF(ISNA(VLOOKUP(F40,Lagerkapazität!$C$4:$E$54,3,TRUE)+1),0,VLOOKUP(F40,Lagerkapazität!$C$4:$E$54,3,TRUE)+1)</f>
        <v>0</v>
      </c>
      <c r="S40" s="251">
        <f>IF(ISNA(VLOOKUP(G40,Lagerkapazität!$C$4:$E$54,3,TRUE)+1),0,VLOOKUP(G40,Lagerkapazität!$C$4:$E$54,3,TRUE)+1)</f>
        <v>0</v>
      </c>
      <c r="T40" s="251">
        <f>IF(ISNA(VLOOKUP(H40,Lagerkapazität!$C$4:$E$54,3,TRUE)+1),0,VLOOKUP(H40,Lagerkapazität!$C$4:$E$54,3,TRUE)+1)</f>
        <v>0</v>
      </c>
      <c r="U40" s="252">
        <f>IF(ISNA(VLOOKUP(I40,Lagerkapazität!$D$4:$E$54,2,TRUE)+1),0,VLOOKUP(I40,Lagerkapazität!$D$4:$E$54,2,TRUE)+1)</f>
        <v>0</v>
      </c>
      <c r="V40" s="40"/>
    </row>
    <row r="41" spans="2:22" ht="15.75" thickBot="1" x14ac:dyDescent="0.3">
      <c r="B41" s="12" t="s">
        <v>35</v>
      </c>
      <c r="C41" s="13"/>
      <c r="D41" s="16">
        <f>N41*6400+8000-MAX(0,2-N41)*6400</f>
        <v>8000</v>
      </c>
      <c r="E41" s="16">
        <f>N41*2000+2500-MAX(0,2-N41)*2000</f>
        <v>2500</v>
      </c>
      <c r="F41" s="30">
        <v>0</v>
      </c>
      <c r="G41" s="30">
        <v>0</v>
      </c>
      <c r="H41" s="30">
        <f>N41*3200+4000-MAX(0,2-N41)*3200</f>
        <v>4000</v>
      </c>
      <c r="I41" s="16">
        <v>0</v>
      </c>
      <c r="J41" s="13"/>
      <c r="K41" s="21">
        <f>(((((100/9)*(0.5*N41*N41-0.5*N41+1))/(X3*5))*3600) / 4/86400)*X8</f>
        <v>2.3148148148148147E-2</v>
      </c>
      <c r="L41" s="21">
        <f t="shared" si="6"/>
        <v>3.4722222222222224E-2</v>
      </c>
      <c r="M41" s="23"/>
      <c r="N41" s="26">
        <v>1</v>
      </c>
      <c r="O41" s="250"/>
      <c r="P41" s="244">
        <f>IF(ISNA(VLOOKUP(D41,Lagerkapazität!$C$4:$E$54,3,TRUE)+1),0,VLOOKUP(D41,Lagerkapazität!$C$4:$E$54,3,TRUE)+1)</f>
        <v>0</v>
      </c>
      <c r="Q41" s="245">
        <f>IF(ISNA(VLOOKUP(E41,Lagerkapazität!$C$4:$E$54,3,TRUE)+1),0,VLOOKUP(E41,Lagerkapazität!$C$4:$E$54,3,TRUE)+1)</f>
        <v>0</v>
      </c>
      <c r="R41" s="245">
        <f>IF(ISNA(VLOOKUP(F41,Lagerkapazität!$C$4:$E$54,3,TRUE)+1),0,VLOOKUP(F41,Lagerkapazität!$C$4:$E$54,3,TRUE)+1)</f>
        <v>0</v>
      </c>
      <c r="S41" s="245">
        <f>IF(ISNA(VLOOKUP(G41,Lagerkapazität!$C$4:$E$54,3,TRUE)+1),0,VLOOKUP(G41,Lagerkapazität!$C$4:$E$54,3,TRUE)+1)</f>
        <v>0</v>
      </c>
      <c r="T41" s="245">
        <f>IF(ISNA(VLOOKUP(H41,Lagerkapazität!$C$4:$E$54,3,TRUE)+1),0,VLOOKUP(H41,Lagerkapazität!$C$4:$E$54,3,TRUE)+1)</f>
        <v>0</v>
      </c>
      <c r="U41" s="246">
        <f>IF(ISNA(VLOOKUP(I41,Lagerkapazität!$D$4:$E$54,2,TRUE)+1),0,VLOOKUP(I41,Lagerkapazität!$D$4:$E$54,2,TRUE)+1)</f>
        <v>0</v>
      </c>
      <c r="V41" s="40"/>
    </row>
    <row r="42" spans="2:22" x14ac:dyDescent="0.25">
      <c r="P42" s="40"/>
      <c r="Q42" s="40"/>
      <c r="R42" s="40"/>
      <c r="S42" s="40"/>
      <c r="T42" s="40"/>
      <c r="U42" s="40"/>
      <c r="V42" s="40"/>
    </row>
    <row r="43" spans="2:22" x14ac:dyDescent="0.25">
      <c r="P43" s="40"/>
      <c r="Q43" s="40"/>
      <c r="R43" s="40"/>
      <c r="S43" s="40"/>
      <c r="T43" s="40"/>
      <c r="U43" s="40"/>
      <c r="V43" s="40"/>
    </row>
    <row r="44" spans="2:22" x14ac:dyDescent="0.25">
      <c r="P44" s="40"/>
      <c r="Q44" s="40"/>
      <c r="R44" s="40"/>
      <c r="S44" s="40"/>
      <c r="T44" s="40"/>
      <c r="U44" s="40"/>
      <c r="V44" s="40"/>
    </row>
    <row r="45" spans="2:22" x14ac:dyDescent="0.25">
      <c r="P45" s="40"/>
      <c r="Q45" s="40"/>
      <c r="R45" s="40"/>
      <c r="S45" s="40"/>
      <c r="T45" s="40"/>
      <c r="U45" s="40"/>
      <c r="V45" s="40"/>
    </row>
    <row r="46" spans="2:22" x14ac:dyDescent="0.25">
      <c r="P46" s="40"/>
      <c r="Q46" s="40"/>
      <c r="R46" s="40"/>
      <c r="S46" s="40"/>
      <c r="T46" s="40"/>
      <c r="U46" s="40"/>
      <c r="V46" s="40"/>
    </row>
    <row r="47" spans="2:22" x14ac:dyDescent="0.25">
      <c r="P47" s="40"/>
      <c r="Q47" s="40"/>
      <c r="R47" s="40"/>
      <c r="S47" s="40"/>
      <c r="T47" s="40"/>
      <c r="U47" s="40"/>
      <c r="V47" s="40"/>
    </row>
  </sheetData>
  <mergeCells count="8">
    <mergeCell ref="P37:U37"/>
    <mergeCell ref="P3:U3"/>
    <mergeCell ref="P4:U4"/>
    <mergeCell ref="P9:U9"/>
    <mergeCell ref="P16:U16"/>
    <mergeCell ref="P23:U23"/>
    <mergeCell ref="P26:U26"/>
    <mergeCell ref="P33:U33"/>
  </mergeCells>
  <pageMargins left="0.7" right="0.7" top="0.78740157499999996" bottom="0.78740157499999996" header="0.3" footer="0.3"/>
  <pageSetup paperSize="9" orientation="portrait" r:id="rId1"/>
  <headerFooter>
    <oddHeader>&amp;R&amp;"Arial"&amp;9&amp;K737373 Copyright Protection: Confidential - ISO 16016&amp;1#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D7F26-07CB-407D-8806-B328BBA96B09}">
  <dimension ref="B1:W33"/>
  <sheetViews>
    <sheetView showGridLines="0" workbookViewId="0">
      <selection activeCell="M17" sqref="M17"/>
    </sheetView>
  </sheetViews>
  <sheetFormatPr baseColWidth="10" defaultRowHeight="15" x14ac:dyDescent="0.25"/>
  <cols>
    <col min="2" max="2" width="25.7109375" customWidth="1"/>
    <col min="3" max="3" width="25.140625" customWidth="1"/>
    <col min="4" max="9" width="7.85546875" customWidth="1"/>
    <col min="10" max="10" width="25.140625" customWidth="1"/>
    <col min="11" max="11" width="25.7109375" customWidth="1"/>
    <col min="13" max="13" width="28.140625" bestFit="1" customWidth="1"/>
    <col min="15" max="15" width="0" hidden="1" customWidth="1"/>
    <col min="17" max="17" width="24.28515625" customWidth="1"/>
    <col min="18" max="18" width="6.42578125" customWidth="1"/>
    <col min="19" max="19" width="6.42578125" hidden="1" customWidth="1"/>
    <col min="21" max="21" width="24.28515625" customWidth="1"/>
    <col min="22" max="22" width="6.42578125" customWidth="1"/>
    <col min="23" max="23" width="6.42578125" hidden="1" customWidth="1"/>
  </cols>
  <sheetData>
    <row r="1" spans="2:23" ht="30" customHeight="1" thickBot="1" x14ac:dyDescent="0.3"/>
    <row r="2" spans="2:23" ht="18.75" customHeight="1" x14ac:dyDescent="0.25">
      <c r="B2" s="266" t="s">
        <v>158</v>
      </c>
      <c r="C2" s="267" t="s">
        <v>167</v>
      </c>
      <c r="D2" s="352" t="s">
        <v>182</v>
      </c>
      <c r="E2" s="353"/>
      <c r="F2" s="353"/>
      <c r="G2" s="353"/>
      <c r="H2" s="353"/>
      <c r="I2" s="354"/>
      <c r="J2" s="267" t="s">
        <v>171</v>
      </c>
      <c r="K2" s="258" t="s">
        <v>159</v>
      </c>
      <c r="M2" s="260" t="s">
        <v>12</v>
      </c>
      <c r="N2" s="261">
        <v>0</v>
      </c>
      <c r="Q2" s="355" t="s">
        <v>184</v>
      </c>
      <c r="R2" s="356"/>
      <c r="S2" s="280"/>
      <c r="U2" s="355" t="s">
        <v>185</v>
      </c>
      <c r="V2" s="356"/>
      <c r="W2" s="285"/>
    </row>
    <row r="3" spans="2:23" ht="18.75" customHeight="1" x14ac:dyDescent="0.25">
      <c r="B3" s="268" t="s">
        <v>162</v>
      </c>
      <c r="C3" s="269" t="s">
        <v>169</v>
      </c>
      <c r="D3" s="278">
        <f>N8/55</f>
        <v>0</v>
      </c>
      <c r="E3" s="278">
        <f>N8/73</f>
        <v>0</v>
      </c>
      <c r="F3" s="278">
        <f>N8/65</f>
        <v>0</v>
      </c>
      <c r="G3" s="278">
        <v>0</v>
      </c>
      <c r="H3" s="278">
        <v>0</v>
      </c>
      <c r="I3" s="278">
        <v>0</v>
      </c>
      <c r="J3" s="270">
        <v>-0.03</v>
      </c>
      <c r="K3" s="271">
        <f>IF((150/45 * (10% * N3 + 30% * N4 + 10% * N2) / O6)&gt;1,1,150/45 * (10% * N3 + 30% * N4 + 10% * N2) / O6)</f>
        <v>0</v>
      </c>
      <c r="M3" s="263" t="s">
        <v>160</v>
      </c>
      <c r="N3" s="262">
        <v>0</v>
      </c>
      <c r="Q3" s="283" t="s">
        <v>9</v>
      </c>
      <c r="R3" s="287">
        <v>0</v>
      </c>
      <c r="S3" s="281">
        <f>R3*7</f>
        <v>0</v>
      </c>
      <c r="U3" s="283" t="s">
        <v>47</v>
      </c>
      <c r="V3" s="287">
        <v>0</v>
      </c>
      <c r="W3" s="281">
        <f>V3*5</f>
        <v>0</v>
      </c>
    </row>
    <row r="4" spans="2:23" ht="18.75" customHeight="1" thickBot="1" x14ac:dyDescent="0.3">
      <c r="B4" s="268" t="s">
        <v>163</v>
      </c>
      <c r="C4" s="269" t="s">
        <v>170</v>
      </c>
      <c r="D4" s="278">
        <v>0</v>
      </c>
      <c r="E4" s="278">
        <f>N8/41</f>
        <v>0</v>
      </c>
      <c r="F4" s="278">
        <v>0</v>
      </c>
      <c r="G4" s="278">
        <f>N8/35</f>
        <v>0</v>
      </c>
      <c r="H4" s="278">
        <f>N8/43</f>
        <v>0</v>
      </c>
      <c r="I4" s="278">
        <v>0</v>
      </c>
      <c r="J4" s="270">
        <v>-0.1</v>
      </c>
      <c r="K4" s="271">
        <f>IF((45/45 * (10% * N3 + 30% * N4 + 10% * N2) / O6)&gt;1,1,45/45 * (10% * N3 + 30% * N4 + 10% * N2) / O6)</f>
        <v>0</v>
      </c>
      <c r="M4" s="264" t="s">
        <v>161</v>
      </c>
      <c r="N4" s="265">
        <v>0</v>
      </c>
      <c r="Q4" s="283" t="s">
        <v>10</v>
      </c>
      <c r="R4" s="287">
        <v>0</v>
      </c>
      <c r="S4" s="281">
        <f>IF(R4=0,0,ROUND((R4*R4+5)/10,0))</f>
        <v>0</v>
      </c>
      <c r="U4" s="283" t="s">
        <v>48</v>
      </c>
      <c r="V4" s="287">
        <v>0</v>
      </c>
      <c r="W4" s="281">
        <f t="shared" ref="W4:W5" si="0">V4*5</f>
        <v>0</v>
      </c>
    </row>
    <row r="5" spans="2:23" ht="18.75" customHeight="1" thickBot="1" x14ac:dyDescent="0.3">
      <c r="B5" s="268" t="s">
        <v>164</v>
      </c>
      <c r="C5" s="269" t="s">
        <v>172</v>
      </c>
      <c r="D5" s="278">
        <f>N8*3</f>
        <v>0</v>
      </c>
      <c r="E5" s="278">
        <f>N8*2.5</f>
        <v>0</v>
      </c>
      <c r="F5" s="278">
        <f>N8*1.7</f>
        <v>0</v>
      </c>
      <c r="G5" s="278">
        <v>0</v>
      </c>
      <c r="H5" s="278">
        <v>0</v>
      </c>
      <c r="I5" s="278">
        <v>0</v>
      </c>
      <c r="J5" s="270">
        <v>-0.25</v>
      </c>
      <c r="K5" s="271">
        <f>IF((18/45 * (10% * N3 + 30% * N4 + 10% * N2) / O6)&gt;1,1,18/45 * (10% * N3 + 30% * N4 + 10% * N2) / O6)</f>
        <v>0</v>
      </c>
      <c r="N5" s="1"/>
      <c r="Q5" s="283" t="s">
        <v>11</v>
      </c>
      <c r="R5" s="287">
        <v>0</v>
      </c>
      <c r="S5" s="281">
        <f>R5*12</f>
        <v>0</v>
      </c>
      <c r="U5" s="283" t="s">
        <v>49</v>
      </c>
      <c r="V5" s="287">
        <v>0</v>
      </c>
      <c r="W5" s="281">
        <f t="shared" si="0"/>
        <v>0</v>
      </c>
    </row>
    <row r="6" spans="2:23" ht="18.75" customHeight="1" thickBot="1" x14ac:dyDescent="0.3">
      <c r="B6" s="268" t="s">
        <v>165</v>
      </c>
      <c r="C6" s="269" t="s">
        <v>173</v>
      </c>
      <c r="D6" s="278">
        <f>N8*8.2</f>
        <v>0</v>
      </c>
      <c r="E6" s="278">
        <v>0</v>
      </c>
      <c r="F6" s="278">
        <f>N8*5.6</f>
        <v>0</v>
      </c>
      <c r="G6" s="278">
        <f>N8*11.3</f>
        <v>0</v>
      </c>
      <c r="H6" s="278">
        <f>N8*13.7</f>
        <v>0</v>
      </c>
      <c r="I6" s="278">
        <v>0</v>
      </c>
      <c r="J6" s="270">
        <v>-0.15</v>
      </c>
      <c r="K6" s="271">
        <f>IF((30/45 * (10% * N3 + 30% * N4 + 10% * N2) / O6)&gt;1,1,30/45 * (10% * N3 + 30% * N4 + 10% * N2) / O6)</f>
        <v>0</v>
      </c>
      <c r="M6" s="194" t="s">
        <v>29</v>
      </c>
      <c r="N6" s="195">
        <v>0</v>
      </c>
      <c r="O6">
        <f>IF(N6=0,1,N6)</f>
        <v>1</v>
      </c>
      <c r="Q6" s="283" t="s">
        <v>12</v>
      </c>
      <c r="R6" s="287">
        <v>0</v>
      </c>
      <c r="S6" s="281">
        <f>R6*10</f>
        <v>0</v>
      </c>
      <c r="U6" s="283" t="s">
        <v>50</v>
      </c>
      <c r="V6" s="287">
        <v>0</v>
      </c>
      <c r="W6" s="281">
        <f>V6*20</f>
        <v>0</v>
      </c>
    </row>
    <row r="7" spans="2:23" ht="18.75" customHeight="1" thickBot="1" x14ac:dyDescent="0.3">
      <c r="B7" s="268" t="s">
        <v>166</v>
      </c>
      <c r="C7" s="269" t="s">
        <v>168</v>
      </c>
      <c r="D7" s="278">
        <v>0</v>
      </c>
      <c r="E7" s="278">
        <v>0</v>
      </c>
      <c r="F7" s="278">
        <v>0</v>
      </c>
      <c r="G7" s="278">
        <v>0</v>
      </c>
      <c r="H7" s="278">
        <v>0</v>
      </c>
      <c r="I7" s="278">
        <f>N8/50</f>
        <v>0</v>
      </c>
      <c r="J7" s="270">
        <v>-0.25</v>
      </c>
      <c r="K7" s="271">
        <f>IF((45/45 * (10% * N3 + 30% * N4 + 10% * N2) / O6)&gt;1,1,45/45 * (10% * N3 + 30% * N4 + 10% * N2) / O6)</f>
        <v>0</v>
      </c>
      <c r="Q7" s="283" t="s">
        <v>186</v>
      </c>
      <c r="R7" s="287">
        <v>0</v>
      </c>
      <c r="S7" s="281">
        <f>R7*2</f>
        <v>0</v>
      </c>
      <c r="U7" s="283" t="s">
        <v>51</v>
      </c>
      <c r="V7" s="287">
        <v>0</v>
      </c>
      <c r="W7" s="281">
        <f>V7*15</f>
        <v>0</v>
      </c>
    </row>
    <row r="8" spans="2:23" ht="18.75" customHeight="1" thickBot="1" x14ac:dyDescent="0.3">
      <c r="B8" s="268" t="s">
        <v>174</v>
      </c>
      <c r="C8" s="269" t="s">
        <v>175</v>
      </c>
      <c r="D8" s="278">
        <f>N8*9</f>
        <v>0</v>
      </c>
      <c r="E8" s="278">
        <f>N8*7.5</f>
        <v>0</v>
      </c>
      <c r="F8" s="278">
        <f>N8*5.1</f>
        <v>0</v>
      </c>
      <c r="G8" s="278">
        <v>0</v>
      </c>
      <c r="H8" s="278">
        <v>0</v>
      </c>
      <c r="I8" s="278">
        <v>0</v>
      </c>
      <c r="J8" s="270">
        <v>-0.25</v>
      </c>
      <c r="K8" s="271">
        <f>IF((18/45 * (10% * N3 + 30% * N4 + 10% * N2) / O6)&gt;1,1,18/45 * (10% * N3 + 30% * N4 + 10% * N2) / O6)</f>
        <v>0</v>
      </c>
      <c r="M8" s="276" t="s">
        <v>183</v>
      </c>
      <c r="N8" s="277">
        <f>S30+W33</f>
        <v>0</v>
      </c>
      <c r="Q8" s="283" t="s">
        <v>187</v>
      </c>
      <c r="R8" s="287">
        <v>0</v>
      </c>
      <c r="S8" s="281">
        <f>R8*2</f>
        <v>0</v>
      </c>
      <c r="U8" s="283" t="s">
        <v>200</v>
      </c>
      <c r="V8" s="287">
        <v>0</v>
      </c>
      <c r="W8" s="281">
        <f>V8*30</f>
        <v>0</v>
      </c>
    </row>
    <row r="9" spans="2:23" ht="18.75" customHeight="1" x14ac:dyDescent="0.25">
      <c r="B9" s="268" t="s">
        <v>176</v>
      </c>
      <c r="C9" s="269" t="s">
        <v>177</v>
      </c>
      <c r="D9" s="278">
        <f>N8*7.1</f>
        <v>0</v>
      </c>
      <c r="E9" s="278">
        <f>N8*6.4</f>
        <v>0</v>
      </c>
      <c r="F9" s="278">
        <f>N8*4.4</f>
        <v>0</v>
      </c>
      <c r="G9" s="278">
        <f>N8*2.3</f>
        <v>0</v>
      </c>
      <c r="H9" s="278">
        <f>N8*3.6</f>
        <v>0</v>
      </c>
      <c r="I9" s="278">
        <v>0</v>
      </c>
      <c r="J9" s="270">
        <v>-0.5</v>
      </c>
      <c r="K9" s="271">
        <f>IF((9/45 * (10% * N3 + 30% * N4 + 10% * N2) / O6)&gt;1,1,9/45 * (10% * N3 + 30% * N4 + 10% * N2) / O6)</f>
        <v>0</v>
      </c>
      <c r="Q9" s="283" t="s">
        <v>188</v>
      </c>
      <c r="R9" s="287">
        <v>0</v>
      </c>
      <c r="S9" s="281">
        <f>R9*3</f>
        <v>0</v>
      </c>
      <c r="U9" s="283" t="s">
        <v>201</v>
      </c>
      <c r="V9" s="287">
        <v>0</v>
      </c>
      <c r="W9" s="281">
        <f>V9*10</f>
        <v>0</v>
      </c>
    </row>
    <row r="10" spans="2:23" ht="18.75" customHeight="1" x14ac:dyDescent="0.25">
      <c r="B10" s="268" t="s">
        <v>178</v>
      </c>
      <c r="C10" s="269" t="s">
        <v>179</v>
      </c>
      <c r="D10" s="278">
        <f>N8*5.8</f>
        <v>0</v>
      </c>
      <c r="E10" s="278">
        <f>N8*6.9</f>
        <v>0</v>
      </c>
      <c r="F10" s="278">
        <f>N8*8.8</f>
        <v>0</v>
      </c>
      <c r="G10" s="278">
        <f>N8*2.7</f>
        <v>0</v>
      </c>
      <c r="H10" s="278">
        <f>N8*1.8</f>
        <v>0</v>
      </c>
      <c r="I10" s="278">
        <v>0</v>
      </c>
      <c r="J10" s="270">
        <v>-0.75</v>
      </c>
      <c r="K10" s="271">
        <f>IF((6/45 * (10% * N3 + 30% * N4 + 10% * N2) / O6)&gt;1,1,6/45 * (10% * N3 + 30% * N4 + 10% * N2) / O6)</f>
        <v>0</v>
      </c>
      <c r="Q10" s="283" t="s">
        <v>189</v>
      </c>
      <c r="R10" s="287">
        <v>0</v>
      </c>
      <c r="S10" s="281">
        <f>R10*3</f>
        <v>0</v>
      </c>
      <c r="U10" s="283" t="s">
        <v>54</v>
      </c>
      <c r="V10" s="287">
        <v>0</v>
      </c>
      <c r="W10" s="281">
        <f>V10*75</f>
        <v>0</v>
      </c>
    </row>
    <row r="11" spans="2:23" ht="18.75" customHeight="1" thickBot="1" x14ac:dyDescent="0.3">
      <c r="B11" s="272" t="s">
        <v>180</v>
      </c>
      <c r="C11" s="273" t="s">
        <v>181</v>
      </c>
      <c r="D11" s="279">
        <f>N8*12.3</f>
        <v>0</v>
      </c>
      <c r="E11" s="279">
        <f>N8*13.9</f>
        <v>0</v>
      </c>
      <c r="F11" s="279">
        <f>N8*11.7</f>
        <v>0</v>
      </c>
      <c r="G11" s="279">
        <f>N8*17.9</f>
        <v>0</v>
      </c>
      <c r="H11" s="279">
        <f>N8*21.9</f>
        <v>0</v>
      </c>
      <c r="I11" s="279">
        <v>0</v>
      </c>
      <c r="J11" s="274">
        <v>-0.9</v>
      </c>
      <c r="K11" s="275">
        <f>IF((5/45 * (10% * N3 + 30% * N4 + 10% * N2) / O6)&gt;1,1,5/45 * (10% * N3 + 30% * N4 + 10% * N2) / O6)</f>
        <v>0</v>
      </c>
      <c r="Q11" s="283" t="s">
        <v>190</v>
      </c>
      <c r="R11" s="287">
        <v>0</v>
      </c>
      <c r="S11" s="281">
        <f>R11*4</f>
        <v>0</v>
      </c>
      <c r="U11" s="283" t="s">
        <v>55</v>
      </c>
      <c r="V11" s="287">
        <v>0</v>
      </c>
      <c r="W11" s="281">
        <f>V11*9</f>
        <v>0</v>
      </c>
    </row>
    <row r="12" spans="2:23" ht="18.75" customHeight="1" x14ac:dyDescent="0.25">
      <c r="Q12" s="283" t="s">
        <v>191</v>
      </c>
      <c r="R12" s="287">
        <v>0</v>
      </c>
      <c r="S12" s="281">
        <f>R12*6</f>
        <v>0</v>
      </c>
      <c r="U12" s="283" t="s">
        <v>56</v>
      </c>
      <c r="V12" s="287">
        <v>0</v>
      </c>
      <c r="W12" s="281">
        <f>V12*19</f>
        <v>0</v>
      </c>
    </row>
    <row r="13" spans="2:23" ht="18.75" customHeight="1" x14ac:dyDescent="0.25">
      <c r="Q13" s="283" t="s">
        <v>192</v>
      </c>
      <c r="R13" s="287">
        <v>0</v>
      </c>
      <c r="S13" s="281">
        <f>R13*2</f>
        <v>0</v>
      </c>
      <c r="U13" s="283" t="s">
        <v>57</v>
      </c>
      <c r="V13" s="287">
        <v>0</v>
      </c>
      <c r="W13" s="281">
        <f>V13*15</f>
        <v>0</v>
      </c>
    </row>
    <row r="14" spans="2:23" ht="18.75" customHeight="1" x14ac:dyDescent="0.25">
      <c r="Q14" s="283" t="s">
        <v>193</v>
      </c>
      <c r="R14" s="287">
        <v>0</v>
      </c>
      <c r="S14" s="281">
        <f t="shared" ref="S14:S18" si="1">R14*2</f>
        <v>0</v>
      </c>
      <c r="U14" s="283" t="s">
        <v>58</v>
      </c>
      <c r="V14" s="287">
        <v>0</v>
      </c>
      <c r="W14" s="281">
        <f>V14*8</f>
        <v>0</v>
      </c>
    </row>
    <row r="15" spans="2:23" ht="18.75" customHeight="1" x14ac:dyDescent="0.25">
      <c r="Q15" s="283" t="s">
        <v>194</v>
      </c>
      <c r="R15" s="287">
        <v>0</v>
      </c>
      <c r="S15" s="281">
        <f t="shared" si="1"/>
        <v>0</v>
      </c>
      <c r="U15" s="283" t="s">
        <v>59</v>
      </c>
      <c r="V15" s="287">
        <v>0</v>
      </c>
      <c r="W15" s="281">
        <f>V15*5</f>
        <v>0</v>
      </c>
    </row>
    <row r="16" spans="2:23" ht="18.75" customHeight="1" x14ac:dyDescent="0.25">
      <c r="Q16" s="283" t="s">
        <v>195</v>
      </c>
      <c r="R16" s="287">
        <v>0</v>
      </c>
      <c r="S16" s="281">
        <f t="shared" si="1"/>
        <v>0</v>
      </c>
      <c r="U16" s="283" t="s">
        <v>60</v>
      </c>
      <c r="V16" s="287">
        <v>0</v>
      </c>
      <c r="W16" s="281">
        <f>V16*35</f>
        <v>0</v>
      </c>
    </row>
    <row r="17" spans="17:23" ht="18.75" customHeight="1" x14ac:dyDescent="0.25">
      <c r="Q17" s="283" t="s">
        <v>196</v>
      </c>
      <c r="R17" s="287">
        <v>0</v>
      </c>
      <c r="S17" s="281">
        <f t="shared" si="1"/>
        <v>0</v>
      </c>
      <c r="U17" s="283" t="s">
        <v>61</v>
      </c>
      <c r="V17" s="287">
        <v>0</v>
      </c>
      <c r="W17" s="281">
        <f>V17*2</f>
        <v>0</v>
      </c>
    </row>
    <row r="18" spans="17:23" ht="18.75" customHeight="1" x14ac:dyDescent="0.25">
      <c r="Q18" s="283" t="s">
        <v>197</v>
      </c>
      <c r="R18" s="287">
        <v>0</v>
      </c>
      <c r="S18" s="281">
        <f t="shared" si="1"/>
        <v>0</v>
      </c>
      <c r="U18" s="283" t="s">
        <v>202</v>
      </c>
      <c r="V18" s="287">
        <v>0</v>
      </c>
      <c r="W18" s="281">
        <f>V18*4</f>
        <v>0</v>
      </c>
    </row>
    <row r="19" spans="17:23" ht="18.75" customHeight="1" x14ac:dyDescent="0.25">
      <c r="Q19" s="283" t="s">
        <v>25</v>
      </c>
      <c r="R19" s="287">
        <v>0</v>
      </c>
      <c r="S19" s="281">
        <f>R19*20</f>
        <v>0</v>
      </c>
      <c r="U19" s="283" t="s">
        <v>63</v>
      </c>
      <c r="V19" s="287">
        <v>0</v>
      </c>
      <c r="W19" s="281">
        <f>V19*16</f>
        <v>0</v>
      </c>
    </row>
    <row r="20" spans="17:23" ht="18.75" customHeight="1" x14ac:dyDescent="0.25">
      <c r="Q20" s="283" t="s">
        <v>26</v>
      </c>
      <c r="R20" s="287">
        <v>0</v>
      </c>
      <c r="S20" s="281">
        <f>R20*100</f>
        <v>0</v>
      </c>
      <c r="U20" s="283" t="s">
        <v>203</v>
      </c>
      <c r="V20" s="287">
        <v>0</v>
      </c>
      <c r="W20" s="281">
        <f>V20*7</f>
        <v>0</v>
      </c>
    </row>
    <row r="21" spans="17:23" ht="18.75" customHeight="1" x14ac:dyDescent="0.25">
      <c r="Q21" s="283" t="s">
        <v>198</v>
      </c>
      <c r="R21" s="287">
        <v>0</v>
      </c>
      <c r="S21" s="281">
        <f>R21*50</f>
        <v>0</v>
      </c>
      <c r="U21" s="283" t="s">
        <v>65</v>
      </c>
      <c r="V21" s="287">
        <v>0</v>
      </c>
      <c r="W21" s="281">
        <f>V21*10</f>
        <v>0</v>
      </c>
    </row>
    <row r="22" spans="17:23" ht="18.75" customHeight="1" x14ac:dyDescent="0.25">
      <c r="Q22" s="283" t="s">
        <v>28</v>
      </c>
      <c r="R22" s="287">
        <v>0</v>
      </c>
      <c r="S22" s="281">
        <f>R22*50</f>
        <v>0</v>
      </c>
      <c r="U22" s="283" t="s">
        <v>66</v>
      </c>
      <c r="V22" s="287">
        <v>0</v>
      </c>
      <c r="W22" s="281">
        <f>V22*3</f>
        <v>0</v>
      </c>
    </row>
    <row r="23" spans="17:23" ht="18.75" customHeight="1" x14ac:dyDescent="0.25">
      <c r="Q23" s="283" t="s">
        <v>29</v>
      </c>
      <c r="R23" s="287">
        <v>0</v>
      </c>
      <c r="S23" s="281">
        <f>R23*35</f>
        <v>0</v>
      </c>
      <c r="U23" s="283" t="s">
        <v>67</v>
      </c>
      <c r="V23" s="287">
        <v>0</v>
      </c>
      <c r="W23" s="281">
        <f>V23*6</f>
        <v>0</v>
      </c>
    </row>
    <row r="24" spans="17:23" ht="18.75" customHeight="1" x14ac:dyDescent="0.25">
      <c r="Q24" s="283" t="s">
        <v>30</v>
      </c>
      <c r="R24" s="287">
        <v>0</v>
      </c>
      <c r="S24" s="281">
        <f>R24*15</f>
        <v>0</v>
      </c>
      <c r="U24" s="283" t="s">
        <v>68</v>
      </c>
      <c r="V24" s="287">
        <v>0</v>
      </c>
      <c r="W24" s="281">
        <f>V24*13</f>
        <v>0</v>
      </c>
    </row>
    <row r="25" spans="17:23" ht="18.75" customHeight="1" x14ac:dyDescent="0.25">
      <c r="Q25" s="283" t="s">
        <v>44</v>
      </c>
      <c r="R25" s="287">
        <v>0</v>
      </c>
      <c r="S25" s="281">
        <f>R25*30</f>
        <v>0</v>
      </c>
      <c r="U25" s="283" t="s">
        <v>69</v>
      </c>
      <c r="V25" s="287">
        <v>0</v>
      </c>
      <c r="W25" s="281">
        <f>V25*30</f>
        <v>0</v>
      </c>
    </row>
    <row r="26" spans="17:23" ht="18.75" customHeight="1" x14ac:dyDescent="0.25">
      <c r="Q26" s="283" t="s">
        <v>199</v>
      </c>
      <c r="R26" s="287">
        <v>0</v>
      </c>
      <c r="S26" s="281">
        <f>R26*70</f>
        <v>0</v>
      </c>
      <c r="U26" s="283" t="s">
        <v>70</v>
      </c>
      <c r="V26" s="287">
        <v>0</v>
      </c>
      <c r="W26" s="281">
        <f>V26*100</f>
        <v>0</v>
      </c>
    </row>
    <row r="27" spans="17:23" ht="18.75" customHeight="1" x14ac:dyDescent="0.25">
      <c r="Q27" s="283" t="s">
        <v>31</v>
      </c>
      <c r="R27" s="287">
        <v>0</v>
      </c>
      <c r="S27" s="281">
        <f>R27*80</f>
        <v>0</v>
      </c>
      <c r="U27" s="283" t="s">
        <v>71</v>
      </c>
      <c r="V27" s="287">
        <v>0</v>
      </c>
      <c r="W27" s="281">
        <f>V27*65</f>
        <v>0</v>
      </c>
    </row>
    <row r="28" spans="17:23" ht="18.75" customHeight="1" x14ac:dyDescent="0.25">
      <c r="Q28" s="283" t="s">
        <v>32</v>
      </c>
      <c r="R28" s="287">
        <v>0</v>
      </c>
      <c r="S28" s="281">
        <f>R28*40</f>
        <v>0</v>
      </c>
      <c r="U28" s="283" t="s">
        <v>72</v>
      </c>
      <c r="V28" s="287">
        <v>0</v>
      </c>
      <c r="W28" s="281">
        <f>V28*10</f>
        <v>0</v>
      </c>
    </row>
    <row r="29" spans="17:23" ht="18.75" customHeight="1" thickBot="1" x14ac:dyDescent="0.3">
      <c r="Q29" s="284" t="s">
        <v>33</v>
      </c>
      <c r="R29" s="288">
        <v>0</v>
      </c>
      <c r="S29" s="282">
        <f>R29*35</f>
        <v>0</v>
      </c>
      <c r="U29" s="283" t="s">
        <v>73</v>
      </c>
      <c r="V29" s="287">
        <v>0</v>
      </c>
      <c r="W29" s="281">
        <f>V29*12</f>
        <v>0</v>
      </c>
    </row>
    <row r="30" spans="17:23" ht="18.75" customHeight="1" x14ac:dyDescent="0.25">
      <c r="S30" s="286">
        <f>SUM(S3:S29)</f>
        <v>0</v>
      </c>
      <c r="U30" s="283" t="s">
        <v>74</v>
      </c>
      <c r="V30" s="287">
        <v>0</v>
      </c>
      <c r="W30" s="281">
        <f>V30*18</f>
        <v>0</v>
      </c>
    </row>
    <row r="31" spans="17:23" ht="18.75" customHeight="1" x14ac:dyDescent="0.25">
      <c r="U31" s="283" t="s">
        <v>75</v>
      </c>
      <c r="V31" s="287">
        <v>0</v>
      </c>
      <c r="W31" s="281">
        <f>V31*50</f>
        <v>0</v>
      </c>
    </row>
    <row r="32" spans="17:23" ht="18.75" customHeight="1" thickBot="1" x14ac:dyDescent="0.3">
      <c r="U32" s="284" t="s">
        <v>76</v>
      </c>
      <c r="V32" s="288">
        <v>0</v>
      </c>
      <c r="W32" s="282">
        <f>V32*80</f>
        <v>0</v>
      </c>
    </row>
    <row r="33" spans="23:23" x14ac:dyDescent="0.25">
      <c r="W33">
        <f>SUM(W3:W32)</f>
        <v>0</v>
      </c>
    </row>
  </sheetData>
  <mergeCells count="3">
    <mergeCell ref="D2:I2"/>
    <mergeCell ref="Q2:R2"/>
    <mergeCell ref="U2:V2"/>
  </mergeCells>
  <pageMargins left="0.7" right="0.7" top="0.78740157499999996" bottom="0.78740157499999996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FD970-C187-4792-81C7-A63C9D801B5E}">
  <dimension ref="B2:D10"/>
  <sheetViews>
    <sheetView showGridLines="0" workbookViewId="0">
      <selection activeCell="G9" sqref="G9"/>
    </sheetView>
  </sheetViews>
  <sheetFormatPr baseColWidth="10" defaultRowHeight="15" x14ac:dyDescent="0.25"/>
  <cols>
    <col min="2" max="2" width="6.7109375" customWidth="1"/>
    <col min="3" max="3" width="12.28515625" customWidth="1"/>
  </cols>
  <sheetData>
    <row r="2" spans="2:4" ht="15.75" thickBot="1" x14ac:dyDescent="0.3"/>
    <row r="3" spans="2:4" x14ac:dyDescent="0.25">
      <c r="B3" s="357" t="s">
        <v>111</v>
      </c>
      <c r="C3" s="358"/>
      <c r="D3" s="181" t="s">
        <v>115</v>
      </c>
    </row>
    <row r="4" spans="2:4" x14ac:dyDescent="0.25">
      <c r="B4" s="174" t="s">
        <v>112</v>
      </c>
      <c r="C4" s="178">
        <v>40000</v>
      </c>
      <c r="D4" s="182"/>
    </row>
    <row r="5" spans="2:4" ht="15.75" thickBot="1" x14ac:dyDescent="0.3">
      <c r="B5" s="175" t="s">
        <v>113</v>
      </c>
      <c r="C5" s="179">
        <v>40000</v>
      </c>
      <c r="D5" s="183">
        <f>C9/3</f>
        <v>6000</v>
      </c>
    </row>
    <row r="6" spans="2:4" x14ac:dyDescent="0.25">
      <c r="B6" s="176"/>
      <c r="C6" s="177"/>
    </row>
    <row r="7" spans="2:4" ht="15.75" thickBot="1" x14ac:dyDescent="0.3"/>
    <row r="8" spans="2:4" x14ac:dyDescent="0.25">
      <c r="B8" s="357" t="s">
        <v>114</v>
      </c>
      <c r="C8" s="358"/>
      <c r="D8" s="181" t="s">
        <v>115</v>
      </c>
    </row>
    <row r="9" spans="2:4" x14ac:dyDescent="0.25">
      <c r="B9" s="174" t="s">
        <v>112</v>
      </c>
      <c r="C9" s="178">
        <v>18000</v>
      </c>
      <c r="D9" s="180"/>
    </row>
    <row r="10" spans="2:4" ht="15.75" thickBot="1" x14ac:dyDescent="0.3">
      <c r="B10" s="175" t="s">
        <v>113</v>
      </c>
      <c r="C10" s="179">
        <v>30000</v>
      </c>
      <c r="D10" s="183">
        <f>C4/3</f>
        <v>13333.333333333334</v>
      </c>
    </row>
  </sheetData>
  <mergeCells count="2">
    <mergeCell ref="B3:C3"/>
    <mergeCell ref="B8:C8"/>
  </mergeCells>
  <conditionalFormatting sqref="D4:D5">
    <cfRule type="cellIs" dxfId="1" priority="2" operator="greaterThanOrEqual">
      <formula>$C$5</formula>
    </cfRule>
  </conditionalFormatting>
  <conditionalFormatting sqref="D10">
    <cfRule type="cellIs" dxfId="0" priority="1" operator="greaterThanOrEqual">
      <formula>$C$10</formula>
    </cfRule>
  </conditionalFormatting>
  <pageMargins left="0.7" right="0.7" top="0.78740157499999996" bottom="0.78740157499999996" header="0.3" footer="0.3"/>
  <pageSetup paperSize="9" orientation="portrait" r:id="rId1"/>
  <headerFooter>
    <oddHeader>&amp;R&amp;"Arial"&amp;9&amp;K737373 Copyright Protection: Confidential - ISO 16016&amp;1#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DBC8-E3F3-4475-A1AE-84ADA5E48381}">
  <sheetPr codeName="Tabelle10"/>
  <dimension ref="B1:D14"/>
  <sheetViews>
    <sheetView showGridLines="0" tabSelected="1" workbookViewId="0">
      <selection activeCell="D21" sqref="D21"/>
    </sheetView>
  </sheetViews>
  <sheetFormatPr baseColWidth="10" defaultColWidth="11.42578125" defaultRowHeight="12.75" x14ac:dyDescent="0.2"/>
  <cols>
    <col min="1" max="3" width="11.42578125" style="40"/>
    <col min="4" max="4" width="123.5703125" style="40" customWidth="1"/>
    <col min="5" max="16384" width="11.42578125" style="40"/>
  </cols>
  <sheetData>
    <row r="1" spans="2:4" ht="13.5" thickBot="1" x14ac:dyDescent="0.25"/>
    <row r="2" spans="2:4" ht="18" customHeight="1" x14ac:dyDescent="0.2">
      <c r="B2" s="226" t="s">
        <v>130</v>
      </c>
      <c r="C2" s="227" t="s">
        <v>131</v>
      </c>
      <c r="D2" s="228" t="s">
        <v>132</v>
      </c>
    </row>
    <row r="3" spans="2:4" x14ac:dyDescent="0.2">
      <c r="B3" s="229" t="s">
        <v>133</v>
      </c>
      <c r="C3" s="230">
        <v>43795</v>
      </c>
      <c r="D3" s="231" t="s">
        <v>136</v>
      </c>
    </row>
    <row r="4" spans="2:4" x14ac:dyDescent="0.2">
      <c r="B4" s="229" t="s">
        <v>134</v>
      </c>
      <c r="C4" s="230">
        <v>43795</v>
      </c>
      <c r="D4" s="231" t="s">
        <v>138</v>
      </c>
    </row>
    <row r="5" spans="2:4" ht="25.5" x14ac:dyDescent="0.2">
      <c r="B5" s="229" t="s">
        <v>135</v>
      </c>
      <c r="C5" s="230">
        <v>43795</v>
      </c>
      <c r="D5" s="231" t="s">
        <v>137</v>
      </c>
    </row>
    <row r="6" spans="2:4" x14ac:dyDescent="0.2">
      <c r="B6" s="229" t="s">
        <v>139</v>
      </c>
      <c r="C6" s="230">
        <v>43797</v>
      </c>
      <c r="D6" s="231" t="s">
        <v>140</v>
      </c>
    </row>
    <row r="7" spans="2:4" ht="18" customHeight="1" x14ac:dyDescent="0.2">
      <c r="B7" s="229" t="s">
        <v>141</v>
      </c>
      <c r="C7" s="230">
        <v>43797</v>
      </c>
      <c r="D7" s="232" t="s">
        <v>142</v>
      </c>
    </row>
    <row r="8" spans="2:4" ht="25.5" x14ac:dyDescent="0.2">
      <c r="B8" s="233" t="s">
        <v>144</v>
      </c>
      <c r="C8" s="234">
        <v>43798</v>
      </c>
      <c r="D8" s="235" t="s">
        <v>145</v>
      </c>
    </row>
    <row r="9" spans="2:4" x14ac:dyDescent="0.2">
      <c r="B9" s="233" t="s">
        <v>146</v>
      </c>
      <c r="C9" s="234">
        <v>43798</v>
      </c>
      <c r="D9" s="235" t="s">
        <v>147</v>
      </c>
    </row>
    <row r="10" spans="2:4" x14ac:dyDescent="0.2">
      <c r="B10" s="233" t="s">
        <v>148</v>
      </c>
      <c r="C10" s="234">
        <v>43798</v>
      </c>
      <c r="D10" s="235" t="s">
        <v>149</v>
      </c>
    </row>
    <row r="11" spans="2:4" ht="38.25" x14ac:dyDescent="0.2">
      <c r="B11" s="233" t="s">
        <v>155</v>
      </c>
      <c r="C11" s="234">
        <v>43804</v>
      </c>
      <c r="D11" s="235" t="s">
        <v>156</v>
      </c>
    </row>
    <row r="12" spans="2:4" ht="25.5" x14ac:dyDescent="0.2">
      <c r="B12" s="233" t="s">
        <v>157</v>
      </c>
      <c r="C12" s="234">
        <v>43814</v>
      </c>
      <c r="D12" s="235" t="s">
        <v>204</v>
      </c>
    </row>
    <row r="13" spans="2:4" x14ac:dyDescent="0.2">
      <c r="B13" s="233" t="s">
        <v>205</v>
      </c>
      <c r="C13" s="234">
        <v>43814</v>
      </c>
      <c r="D13" s="235" t="s">
        <v>206</v>
      </c>
    </row>
    <row r="14" spans="2:4" ht="13.5" thickBot="1" x14ac:dyDescent="0.25">
      <c r="B14" s="236"/>
      <c r="C14" s="237"/>
      <c r="D14" s="238"/>
    </row>
  </sheetData>
  <pageMargins left="0.7" right="0.7" top="0.78740157499999996" bottom="0.78740157499999996" header="0.3" footer="0.3"/>
  <pageSetup paperSize="9" orientation="portrait" r:id="rId1"/>
  <headerFooter>
    <oddHeader>&amp;R&amp;"Arial"&amp;9&amp;K737373 Copyright Protection: Confidential - ISO 16016&amp;1#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E5291-BE47-4F96-B117-A94C73D11EFD}">
  <dimension ref="B1:W47"/>
  <sheetViews>
    <sheetView showGridLines="0" topLeftCell="A19" workbookViewId="0">
      <selection activeCell="I43" sqref="I43"/>
    </sheetView>
  </sheetViews>
  <sheetFormatPr baseColWidth="10" defaultRowHeight="12.75" outlineLevelCol="1" x14ac:dyDescent="0.2"/>
  <cols>
    <col min="1" max="1" width="11.42578125" style="40"/>
    <col min="2" max="2" width="24.28515625" style="40" customWidth="1"/>
    <col min="3" max="3" width="4.28515625" style="40" customWidth="1"/>
    <col min="4" max="9" width="11.42578125" style="40" customWidth="1"/>
    <col min="10" max="10" width="4.28515625" style="40" customWidth="1"/>
    <col min="11" max="11" width="11.42578125" style="41"/>
    <col min="12" max="12" width="4.28515625" style="41" customWidth="1"/>
    <col min="13" max="13" width="11.42578125" style="41"/>
    <col min="14" max="14" width="6.7109375" style="41" customWidth="1" outlineLevel="1"/>
    <col min="15" max="20" width="3.28515625" style="41" customWidth="1" outlineLevel="1"/>
    <col min="21" max="21" width="6.7109375" style="41" customWidth="1"/>
    <col min="22" max="22" width="25.7109375" style="40" customWidth="1"/>
    <col min="23" max="260" width="11.42578125" style="40"/>
    <col min="261" max="261" width="21" style="40" customWidth="1"/>
    <col min="262" max="262" width="16.85546875" style="40" customWidth="1"/>
    <col min="263" max="263" width="16.140625" style="40" customWidth="1"/>
    <col min="264" max="264" width="13.28515625" style="40" customWidth="1"/>
    <col min="265" max="265" width="14.5703125" style="40" customWidth="1"/>
    <col min="266" max="266" width="14.42578125" style="40" customWidth="1"/>
    <col min="267" max="267" width="15.28515625" style="40" bestFit="1" customWidth="1"/>
    <col min="268" max="268" width="3.7109375" style="40" customWidth="1"/>
    <col min="269" max="269" width="11.42578125" style="40"/>
    <col min="270" max="270" width="3.85546875" style="40" customWidth="1"/>
    <col min="271" max="271" width="11.42578125" style="40"/>
    <col min="272" max="272" width="3.140625" style="40" customWidth="1"/>
    <col min="273" max="273" width="7.140625" style="40" customWidth="1"/>
    <col min="274" max="274" width="14.85546875" style="40" customWidth="1"/>
    <col min="275" max="516" width="11.42578125" style="40"/>
    <col min="517" max="517" width="21" style="40" customWidth="1"/>
    <col min="518" max="518" width="16.85546875" style="40" customWidth="1"/>
    <col min="519" max="519" width="16.140625" style="40" customWidth="1"/>
    <col min="520" max="520" width="13.28515625" style="40" customWidth="1"/>
    <col min="521" max="521" width="14.5703125" style="40" customWidth="1"/>
    <col min="522" max="522" width="14.42578125" style="40" customWidth="1"/>
    <col min="523" max="523" width="15.28515625" style="40" bestFit="1" customWidth="1"/>
    <col min="524" max="524" width="3.7109375" style="40" customWidth="1"/>
    <col min="525" max="525" width="11.42578125" style="40"/>
    <col min="526" max="526" width="3.85546875" style="40" customWidth="1"/>
    <col min="527" max="527" width="11.42578125" style="40"/>
    <col min="528" max="528" width="3.140625" style="40" customWidth="1"/>
    <col min="529" max="529" width="7.140625" style="40" customWidth="1"/>
    <col min="530" max="530" width="14.85546875" style="40" customWidth="1"/>
    <col min="531" max="772" width="11.42578125" style="40"/>
    <col min="773" max="773" width="21" style="40" customWidth="1"/>
    <col min="774" max="774" width="16.85546875" style="40" customWidth="1"/>
    <col min="775" max="775" width="16.140625" style="40" customWidth="1"/>
    <col min="776" max="776" width="13.28515625" style="40" customWidth="1"/>
    <col min="777" max="777" width="14.5703125" style="40" customWidth="1"/>
    <col min="778" max="778" width="14.42578125" style="40" customWidth="1"/>
    <col min="779" max="779" width="15.28515625" style="40" bestFit="1" customWidth="1"/>
    <col min="780" max="780" width="3.7109375" style="40" customWidth="1"/>
    <col min="781" max="781" width="11.42578125" style="40"/>
    <col min="782" max="782" width="3.85546875" style="40" customWidth="1"/>
    <col min="783" max="783" width="11.42578125" style="40"/>
    <col min="784" max="784" width="3.140625" style="40" customWidth="1"/>
    <col min="785" max="785" width="7.140625" style="40" customWidth="1"/>
    <col min="786" max="786" width="14.85546875" style="40" customWidth="1"/>
    <col min="787" max="1028" width="11.42578125" style="40"/>
    <col min="1029" max="1029" width="21" style="40" customWidth="1"/>
    <col min="1030" max="1030" width="16.85546875" style="40" customWidth="1"/>
    <col min="1031" max="1031" width="16.140625" style="40" customWidth="1"/>
    <col min="1032" max="1032" width="13.28515625" style="40" customWidth="1"/>
    <col min="1033" max="1033" width="14.5703125" style="40" customWidth="1"/>
    <col min="1034" max="1034" width="14.42578125" style="40" customWidth="1"/>
    <col min="1035" max="1035" width="15.28515625" style="40" bestFit="1" customWidth="1"/>
    <col min="1036" max="1036" width="3.7109375" style="40" customWidth="1"/>
    <col min="1037" max="1037" width="11.42578125" style="40"/>
    <col min="1038" max="1038" width="3.85546875" style="40" customWidth="1"/>
    <col min="1039" max="1039" width="11.42578125" style="40"/>
    <col min="1040" max="1040" width="3.140625" style="40" customWidth="1"/>
    <col min="1041" max="1041" width="7.140625" style="40" customWidth="1"/>
    <col min="1042" max="1042" width="14.85546875" style="40" customWidth="1"/>
    <col min="1043" max="1284" width="11.42578125" style="40"/>
    <col min="1285" max="1285" width="21" style="40" customWidth="1"/>
    <col min="1286" max="1286" width="16.85546875" style="40" customWidth="1"/>
    <col min="1287" max="1287" width="16.140625" style="40" customWidth="1"/>
    <col min="1288" max="1288" width="13.28515625" style="40" customWidth="1"/>
    <col min="1289" max="1289" width="14.5703125" style="40" customWidth="1"/>
    <col min="1290" max="1290" width="14.42578125" style="40" customWidth="1"/>
    <col min="1291" max="1291" width="15.28515625" style="40" bestFit="1" customWidth="1"/>
    <col min="1292" max="1292" width="3.7109375" style="40" customWidth="1"/>
    <col min="1293" max="1293" width="11.42578125" style="40"/>
    <col min="1294" max="1294" width="3.85546875" style="40" customWidth="1"/>
    <col min="1295" max="1295" width="11.42578125" style="40"/>
    <col min="1296" max="1296" width="3.140625" style="40" customWidth="1"/>
    <col min="1297" max="1297" width="7.140625" style="40" customWidth="1"/>
    <col min="1298" max="1298" width="14.85546875" style="40" customWidth="1"/>
    <col min="1299" max="1540" width="11.42578125" style="40"/>
    <col min="1541" max="1541" width="21" style="40" customWidth="1"/>
    <col min="1542" max="1542" width="16.85546875" style="40" customWidth="1"/>
    <col min="1543" max="1543" width="16.140625" style="40" customWidth="1"/>
    <col min="1544" max="1544" width="13.28515625" style="40" customWidth="1"/>
    <col min="1545" max="1545" width="14.5703125" style="40" customWidth="1"/>
    <col min="1546" max="1546" width="14.42578125" style="40" customWidth="1"/>
    <col min="1547" max="1547" width="15.28515625" style="40" bestFit="1" customWidth="1"/>
    <col min="1548" max="1548" width="3.7109375" style="40" customWidth="1"/>
    <col min="1549" max="1549" width="11.42578125" style="40"/>
    <col min="1550" max="1550" width="3.85546875" style="40" customWidth="1"/>
    <col min="1551" max="1551" width="11.42578125" style="40"/>
    <col min="1552" max="1552" width="3.140625" style="40" customWidth="1"/>
    <col min="1553" max="1553" width="7.140625" style="40" customWidth="1"/>
    <col min="1554" max="1554" width="14.85546875" style="40" customWidth="1"/>
    <col min="1555" max="1796" width="11.42578125" style="40"/>
    <col min="1797" max="1797" width="21" style="40" customWidth="1"/>
    <col min="1798" max="1798" width="16.85546875" style="40" customWidth="1"/>
    <col min="1799" max="1799" width="16.140625" style="40" customWidth="1"/>
    <col min="1800" max="1800" width="13.28515625" style="40" customWidth="1"/>
    <col min="1801" max="1801" width="14.5703125" style="40" customWidth="1"/>
    <col min="1802" max="1802" width="14.42578125" style="40" customWidth="1"/>
    <col min="1803" max="1803" width="15.28515625" style="40" bestFit="1" customWidth="1"/>
    <col min="1804" max="1804" width="3.7109375" style="40" customWidth="1"/>
    <col min="1805" max="1805" width="11.42578125" style="40"/>
    <col min="1806" max="1806" width="3.85546875" style="40" customWidth="1"/>
    <col min="1807" max="1807" width="11.42578125" style="40"/>
    <col min="1808" max="1808" width="3.140625" style="40" customWidth="1"/>
    <col min="1809" max="1809" width="7.140625" style="40" customWidth="1"/>
    <col min="1810" max="1810" width="14.85546875" style="40" customWidth="1"/>
    <col min="1811" max="2052" width="11.42578125" style="40"/>
    <col min="2053" max="2053" width="21" style="40" customWidth="1"/>
    <col min="2054" max="2054" width="16.85546875" style="40" customWidth="1"/>
    <col min="2055" max="2055" width="16.140625" style="40" customWidth="1"/>
    <col min="2056" max="2056" width="13.28515625" style="40" customWidth="1"/>
    <col min="2057" max="2057" width="14.5703125" style="40" customWidth="1"/>
    <col min="2058" max="2058" width="14.42578125" style="40" customWidth="1"/>
    <col min="2059" max="2059" width="15.28515625" style="40" bestFit="1" customWidth="1"/>
    <col min="2060" max="2060" width="3.7109375" style="40" customWidth="1"/>
    <col min="2061" max="2061" width="11.42578125" style="40"/>
    <col min="2062" max="2062" width="3.85546875" style="40" customWidth="1"/>
    <col min="2063" max="2063" width="11.42578125" style="40"/>
    <col min="2064" max="2064" width="3.140625" style="40" customWidth="1"/>
    <col min="2065" max="2065" width="7.140625" style="40" customWidth="1"/>
    <col min="2066" max="2066" width="14.85546875" style="40" customWidth="1"/>
    <col min="2067" max="2308" width="11.42578125" style="40"/>
    <col min="2309" max="2309" width="21" style="40" customWidth="1"/>
    <col min="2310" max="2310" width="16.85546875" style="40" customWidth="1"/>
    <col min="2311" max="2311" width="16.140625" style="40" customWidth="1"/>
    <col min="2312" max="2312" width="13.28515625" style="40" customWidth="1"/>
    <col min="2313" max="2313" width="14.5703125" style="40" customWidth="1"/>
    <col min="2314" max="2314" width="14.42578125" style="40" customWidth="1"/>
    <col min="2315" max="2315" width="15.28515625" style="40" bestFit="1" customWidth="1"/>
    <col min="2316" max="2316" width="3.7109375" style="40" customWidth="1"/>
    <col min="2317" max="2317" width="11.42578125" style="40"/>
    <col min="2318" max="2318" width="3.85546875" style="40" customWidth="1"/>
    <col min="2319" max="2319" width="11.42578125" style="40"/>
    <col min="2320" max="2320" width="3.140625" style="40" customWidth="1"/>
    <col min="2321" max="2321" width="7.140625" style="40" customWidth="1"/>
    <col min="2322" max="2322" width="14.85546875" style="40" customWidth="1"/>
    <col min="2323" max="2564" width="11.42578125" style="40"/>
    <col min="2565" max="2565" width="21" style="40" customWidth="1"/>
    <col min="2566" max="2566" width="16.85546875" style="40" customWidth="1"/>
    <col min="2567" max="2567" width="16.140625" style="40" customWidth="1"/>
    <col min="2568" max="2568" width="13.28515625" style="40" customWidth="1"/>
    <col min="2569" max="2569" width="14.5703125" style="40" customWidth="1"/>
    <col min="2570" max="2570" width="14.42578125" style="40" customWidth="1"/>
    <col min="2571" max="2571" width="15.28515625" style="40" bestFit="1" customWidth="1"/>
    <col min="2572" max="2572" width="3.7109375" style="40" customWidth="1"/>
    <col min="2573" max="2573" width="11.42578125" style="40"/>
    <col min="2574" max="2574" width="3.85546875" style="40" customWidth="1"/>
    <col min="2575" max="2575" width="11.42578125" style="40"/>
    <col min="2576" max="2576" width="3.140625" style="40" customWidth="1"/>
    <col min="2577" max="2577" width="7.140625" style="40" customWidth="1"/>
    <col min="2578" max="2578" width="14.85546875" style="40" customWidth="1"/>
    <col min="2579" max="2820" width="11.42578125" style="40"/>
    <col min="2821" max="2821" width="21" style="40" customWidth="1"/>
    <col min="2822" max="2822" width="16.85546875" style="40" customWidth="1"/>
    <col min="2823" max="2823" width="16.140625" style="40" customWidth="1"/>
    <col min="2824" max="2824" width="13.28515625" style="40" customWidth="1"/>
    <col min="2825" max="2825" width="14.5703125" style="40" customWidth="1"/>
    <col min="2826" max="2826" width="14.42578125" style="40" customWidth="1"/>
    <col min="2827" max="2827" width="15.28515625" style="40" bestFit="1" customWidth="1"/>
    <col min="2828" max="2828" width="3.7109375" style="40" customWidth="1"/>
    <col min="2829" max="2829" width="11.42578125" style="40"/>
    <col min="2830" max="2830" width="3.85546875" style="40" customWidth="1"/>
    <col min="2831" max="2831" width="11.42578125" style="40"/>
    <col min="2832" max="2832" width="3.140625" style="40" customWidth="1"/>
    <col min="2833" max="2833" width="7.140625" style="40" customWidth="1"/>
    <col min="2834" max="2834" width="14.85546875" style="40" customWidth="1"/>
    <col min="2835" max="3076" width="11.42578125" style="40"/>
    <col min="3077" max="3077" width="21" style="40" customWidth="1"/>
    <col min="3078" max="3078" width="16.85546875" style="40" customWidth="1"/>
    <col min="3079" max="3079" width="16.140625" style="40" customWidth="1"/>
    <col min="3080" max="3080" width="13.28515625" style="40" customWidth="1"/>
    <col min="3081" max="3081" width="14.5703125" style="40" customWidth="1"/>
    <col min="3082" max="3082" width="14.42578125" style="40" customWidth="1"/>
    <col min="3083" max="3083" width="15.28515625" style="40" bestFit="1" customWidth="1"/>
    <col min="3084" max="3084" width="3.7109375" style="40" customWidth="1"/>
    <col min="3085" max="3085" width="11.42578125" style="40"/>
    <col min="3086" max="3086" width="3.85546875" style="40" customWidth="1"/>
    <col min="3087" max="3087" width="11.42578125" style="40"/>
    <col min="3088" max="3088" width="3.140625" style="40" customWidth="1"/>
    <col min="3089" max="3089" width="7.140625" style="40" customWidth="1"/>
    <col min="3090" max="3090" width="14.85546875" style="40" customWidth="1"/>
    <col min="3091" max="3332" width="11.42578125" style="40"/>
    <col min="3333" max="3333" width="21" style="40" customWidth="1"/>
    <col min="3334" max="3334" width="16.85546875" style="40" customWidth="1"/>
    <col min="3335" max="3335" width="16.140625" style="40" customWidth="1"/>
    <col min="3336" max="3336" width="13.28515625" style="40" customWidth="1"/>
    <col min="3337" max="3337" width="14.5703125" style="40" customWidth="1"/>
    <col min="3338" max="3338" width="14.42578125" style="40" customWidth="1"/>
    <col min="3339" max="3339" width="15.28515625" style="40" bestFit="1" customWidth="1"/>
    <col min="3340" max="3340" width="3.7109375" style="40" customWidth="1"/>
    <col min="3341" max="3341" width="11.42578125" style="40"/>
    <col min="3342" max="3342" width="3.85546875" style="40" customWidth="1"/>
    <col min="3343" max="3343" width="11.42578125" style="40"/>
    <col min="3344" max="3344" width="3.140625" style="40" customWidth="1"/>
    <col min="3345" max="3345" width="7.140625" style="40" customWidth="1"/>
    <col min="3346" max="3346" width="14.85546875" style="40" customWidth="1"/>
    <col min="3347" max="3588" width="11.42578125" style="40"/>
    <col min="3589" max="3589" width="21" style="40" customWidth="1"/>
    <col min="3590" max="3590" width="16.85546875" style="40" customWidth="1"/>
    <col min="3591" max="3591" width="16.140625" style="40" customWidth="1"/>
    <col min="3592" max="3592" width="13.28515625" style="40" customWidth="1"/>
    <col min="3593" max="3593" width="14.5703125" style="40" customWidth="1"/>
    <col min="3594" max="3594" width="14.42578125" style="40" customWidth="1"/>
    <col min="3595" max="3595" width="15.28515625" style="40" bestFit="1" customWidth="1"/>
    <col min="3596" max="3596" width="3.7109375" style="40" customWidth="1"/>
    <col min="3597" max="3597" width="11.42578125" style="40"/>
    <col min="3598" max="3598" width="3.85546875" style="40" customWidth="1"/>
    <col min="3599" max="3599" width="11.42578125" style="40"/>
    <col min="3600" max="3600" width="3.140625" style="40" customWidth="1"/>
    <col min="3601" max="3601" width="7.140625" style="40" customWidth="1"/>
    <col min="3602" max="3602" width="14.85546875" style="40" customWidth="1"/>
    <col min="3603" max="3844" width="11.42578125" style="40"/>
    <col min="3845" max="3845" width="21" style="40" customWidth="1"/>
    <col min="3846" max="3846" width="16.85546875" style="40" customWidth="1"/>
    <col min="3847" max="3847" width="16.140625" style="40" customWidth="1"/>
    <col min="3848" max="3848" width="13.28515625" style="40" customWidth="1"/>
    <col min="3849" max="3849" width="14.5703125" style="40" customWidth="1"/>
    <col min="3850" max="3850" width="14.42578125" style="40" customWidth="1"/>
    <col min="3851" max="3851" width="15.28515625" style="40" bestFit="1" customWidth="1"/>
    <col min="3852" max="3852" width="3.7109375" style="40" customWidth="1"/>
    <col min="3853" max="3853" width="11.42578125" style="40"/>
    <col min="3854" max="3854" width="3.85546875" style="40" customWidth="1"/>
    <col min="3855" max="3855" width="11.42578125" style="40"/>
    <col min="3856" max="3856" width="3.140625" style="40" customWidth="1"/>
    <col min="3857" max="3857" width="7.140625" style="40" customWidth="1"/>
    <col min="3858" max="3858" width="14.85546875" style="40" customWidth="1"/>
    <col min="3859" max="4100" width="11.42578125" style="40"/>
    <col min="4101" max="4101" width="21" style="40" customWidth="1"/>
    <col min="4102" max="4102" width="16.85546875" style="40" customWidth="1"/>
    <col min="4103" max="4103" width="16.140625" style="40" customWidth="1"/>
    <col min="4104" max="4104" width="13.28515625" style="40" customWidth="1"/>
    <col min="4105" max="4105" width="14.5703125" style="40" customWidth="1"/>
    <col min="4106" max="4106" width="14.42578125" style="40" customWidth="1"/>
    <col min="4107" max="4107" width="15.28515625" style="40" bestFit="1" customWidth="1"/>
    <col min="4108" max="4108" width="3.7109375" style="40" customWidth="1"/>
    <col min="4109" max="4109" width="11.42578125" style="40"/>
    <col min="4110" max="4110" width="3.85546875" style="40" customWidth="1"/>
    <col min="4111" max="4111" width="11.42578125" style="40"/>
    <col min="4112" max="4112" width="3.140625" style="40" customWidth="1"/>
    <col min="4113" max="4113" width="7.140625" style="40" customWidth="1"/>
    <col min="4114" max="4114" width="14.85546875" style="40" customWidth="1"/>
    <col min="4115" max="4356" width="11.42578125" style="40"/>
    <col min="4357" max="4357" width="21" style="40" customWidth="1"/>
    <col min="4358" max="4358" width="16.85546875" style="40" customWidth="1"/>
    <col min="4359" max="4359" width="16.140625" style="40" customWidth="1"/>
    <col min="4360" max="4360" width="13.28515625" style="40" customWidth="1"/>
    <col min="4361" max="4361" width="14.5703125" style="40" customWidth="1"/>
    <col min="4362" max="4362" width="14.42578125" style="40" customWidth="1"/>
    <col min="4363" max="4363" width="15.28515625" style="40" bestFit="1" customWidth="1"/>
    <col min="4364" max="4364" width="3.7109375" style="40" customWidth="1"/>
    <col min="4365" max="4365" width="11.42578125" style="40"/>
    <col min="4366" max="4366" width="3.85546875" style="40" customWidth="1"/>
    <col min="4367" max="4367" width="11.42578125" style="40"/>
    <col min="4368" max="4368" width="3.140625" style="40" customWidth="1"/>
    <col min="4369" max="4369" width="7.140625" style="40" customWidth="1"/>
    <col min="4370" max="4370" width="14.85546875" style="40" customWidth="1"/>
    <col min="4371" max="4612" width="11.42578125" style="40"/>
    <col min="4613" max="4613" width="21" style="40" customWidth="1"/>
    <col min="4614" max="4614" width="16.85546875" style="40" customWidth="1"/>
    <col min="4615" max="4615" width="16.140625" style="40" customWidth="1"/>
    <col min="4616" max="4616" width="13.28515625" style="40" customWidth="1"/>
    <col min="4617" max="4617" width="14.5703125" style="40" customWidth="1"/>
    <col min="4618" max="4618" width="14.42578125" style="40" customWidth="1"/>
    <col min="4619" max="4619" width="15.28515625" style="40" bestFit="1" customWidth="1"/>
    <col min="4620" max="4620" width="3.7109375" style="40" customWidth="1"/>
    <col min="4621" max="4621" width="11.42578125" style="40"/>
    <col min="4622" max="4622" width="3.85546875" style="40" customWidth="1"/>
    <col min="4623" max="4623" width="11.42578125" style="40"/>
    <col min="4624" max="4624" width="3.140625" style="40" customWidth="1"/>
    <col min="4625" max="4625" width="7.140625" style="40" customWidth="1"/>
    <col min="4626" max="4626" width="14.85546875" style="40" customWidth="1"/>
    <col min="4627" max="4868" width="11.42578125" style="40"/>
    <col min="4869" max="4869" width="21" style="40" customWidth="1"/>
    <col min="4870" max="4870" width="16.85546875" style="40" customWidth="1"/>
    <col min="4871" max="4871" width="16.140625" style="40" customWidth="1"/>
    <col min="4872" max="4872" width="13.28515625" style="40" customWidth="1"/>
    <col min="4873" max="4873" width="14.5703125" style="40" customWidth="1"/>
    <col min="4874" max="4874" width="14.42578125" style="40" customWidth="1"/>
    <col min="4875" max="4875" width="15.28515625" style="40" bestFit="1" customWidth="1"/>
    <col min="4876" max="4876" width="3.7109375" style="40" customWidth="1"/>
    <col min="4877" max="4877" width="11.42578125" style="40"/>
    <col min="4878" max="4878" width="3.85546875" style="40" customWidth="1"/>
    <col min="4879" max="4879" width="11.42578125" style="40"/>
    <col min="4880" max="4880" width="3.140625" style="40" customWidth="1"/>
    <col min="4881" max="4881" width="7.140625" style="40" customWidth="1"/>
    <col min="4882" max="4882" width="14.85546875" style="40" customWidth="1"/>
    <col min="4883" max="5124" width="11.42578125" style="40"/>
    <col min="5125" max="5125" width="21" style="40" customWidth="1"/>
    <col min="5126" max="5126" width="16.85546875" style="40" customWidth="1"/>
    <col min="5127" max="5127" width="16.140625" style="40" customWidth="1"/>
    <col min="5128" max="5128" width="13.28515625" style="40" customWidth="1"/>
    <col min="5129" max="5129" width="14.5703125" style="40" customWidth="1"/>
    <col min="5130" max="5130" width="14.42578125" style="40" customWidth="1"/>
    <col min="5131" max="5131" width="15.28515625" style="40" bestFit="1" customWidth="1"/>
    <col min="5132" max="5132" width="3.7109375" style="40" customWidth="1"/>
    <col min="5133" max="5133" width="11.42578125" style="40"/>
    <col min="5134" max="5134" width="3.85546875" style="40" customWidth="1"/>
    <col min="5135" max="5135" width="11.42578125" style="40"/>
    <col min="5136" max="5136" width="3.140625" style="40" customWidth="1"/>
    <col min="5137" max="5137" width="7.140625" style="40" customWidth="1"/>
    <col min="5138" max="5138" width="14.85546875" style="40" customWidth="1"/>
    <col min="5139" max="5380" width="11.42578125" style="40"/>
    <col min="5381" max="5381" width="21" style="40" customWidth="1"/>
    <col min="5382" max="5382" width="16.85546875" style="40" customWidth="1"/>
    <col min="5383" max="5383" width="16.140625" style="40" customWidth="1"/>
    <col min="5384" max="5384" width="13.28515625" style="40" customWidth="1"/>
    <col min="5385" max="5385" width="14.5703125" style="40" customWidth="1"/>
    <col min="5386" max="5386" width="14.42578125" style="40" customWidth="1"/>
    <col min="5387" max="5387" width="15.28515625" style="40" bestFit="1" customWidth="1"/>
    <col min="5388" max="5388" width="3.7109375" style="40" customWidth="1"/>
    <col min="5389" max="5389" width="11.42578125" style="40"/>
    <col min="5390" max="5390" width="3.85546875" style="40" customWidth="1"/>
    <col min="5391" max="5391" width="11.42578125" style="40"/>
    <col min="5392" max="5392" width="3.140625" style="40" customWidth="1"/>
    <col min="5393" max="5393" width="7.140625" style="40" customWidth="1"/>
    <col min="5394" max="5394" width="14.85546875" style="40" customWidth="1"/>
    <col min="5395" max="5636" width="11.42578125" style="40"/>
    <col min="5637" max="5637" width="21" style="40" customWidth="1"/>
    <col min="5638" max="5638" width="16.85546875" style="40" customWidth="1"/>
    <col min="5639" max="5639" width="16.140625" style="40" customWidth="1"/>
    <col min="5640" max="5640" width="13.28515625" style="40" customWidth="1"/>
    <col min="5641" max="5641" width="14.5703125" style="40" customWidth="1"/>
    <col min="5642" max="5642" width="14.42578125" style="40" customWidth="1"/>
    <col min="5643" max="5643" width="15.28515625" style="40" bestFit="1" customWidth="1"/>
    <col min="5644" max="5644" width="3.7109375" style="40" customWidth="1"/>
    <col min="5645" max="5645" width="11.42578125" style="40"/>
    <col min="5646" max="5646" width="3.85546875" style="40" customWidth="1"/>
    <col min="5647" max="5647" width="11.42578125" style="40"/>
    <col min="5648" max="5648" width="3.140625" style="40" customWidth="1"/>
    <col min="5649" max="5649" width="7.140625" style="40" customWidth="1"/>
    <col min="5650" max="5650" width="14.85546875" style="40" customWidth="1"/>
    <col min="5651" max="5892" width="11.42578125" style="40"/>
    <col min="5893" max="5893" width="21" style="40" customWidth="1"/>
    <col min="5894" max="5894" width="16.85546875" style="40" customWidth="1"/>
    <col min="5895" max="5895" width="16.140625" style="40" customWidth="1"/>
    <col min="5896" max="5896" width="13.28515625" style="40" customWidth="1"/>
    <col min="5897" max="5897" width="14.5703125" style="40" customWidth="1"/>
    <col min="5898" max="5898" width="14.42578125" style="40" customWidth="1"/>
    <col min="5899" max="5899" width="15.28515625" style="40" bestFit="1" customWidth="1"/>
    <col min="5900" max="5900" width="3.7109375" style="40" customWidth="1"/>
    <col min="5901" max="5901" width="11.42578125" style="40"/>
    <col min="5902" max="5902" width="3.85546875" style="40" customWidth="1"/>
    <col min="5903" max="5903" width="11.42578125" style="40"/>
    <col min="5904" max="5904" width="3.140625" style="40" customWidth="1"/>
    <col min="5905" max="5905" width="7.140625" style="40" customWidth="1"/>
    <col min="5906" max="5906" width="14.85546875" style="40" customWidth="1"/>
    <col min="5907" max="6148" width="11.42578125" style="40"/>
    <col min="6149" max="6149" width="21" style="40" customWidth="1"/>
    <col min="6150" max="6150" width="16.85546875" style="40" customWidth="1"/>
    <col min="6151" max="6151" width="16.140625" style="40" customWidth="1"/>
    <col min="6152" max="6152" width="13.28515625" style="40" customWidth="1"/>
    <col min="6153" max="6153" width="14.5703125" style="40" customWidth="1"/>
    <col min="6154" max="6154" width="14.42578125" style="40" customWidth="1"/>
    <col min="6155" max="6155" width="15.28515625" style="40" bestFit="1" customWidth="1"/>
    <col min="6156" max="6156" width="3.7109375" style="40" customWidth="1"/>
    <col min="6157" max="6157" width="11.42578125" style="40"/>
    <col min="6158" max="6158" width="3.85546875" style="40" customWidth="1"/>
    <col min="6159" max="6159" width="11.42578125" style="40"/>
    <col min="6160" max="6160" width="3.140625" style="40" customWidth="1"/>
    <col min="6161" max="6161" width="7.140625" style="40" customWidth="1"/>
    <col min="6162" max="6162" width="14.85546875" style="40" customWidth="1"/>
    <col min="6163" max="6404" width="11.42578125" style="40"/>
    <col min="6405" max="6405" width="21" style="40" customWidth="1"/>
    <col min="6406" max="6406" width="16.85546875" style="40" customWidth="1"/>
    <col min="6407" max="6407" width="16.140625" style="40" customWidth="1"/>
    <col min="6408" max="6408" width="13.28515625" style="40" customWidth="1"/>
    <col min="6409" max="6409" width="14.5703125" style="40" customWidth="1"/>
    <col min="6410" max="6410" width="14.42578125" style="40" customWidth="1"/>
    <col min="6411" max="6411" width="15.28515625" style="40" bestFit="1" customWidth="1"/>
    <col min="6412" max="6412" width="3.7109375" style="40" customWidth="1"/>
    <col min="6413" max="6413" width="11.42578125" style="40"/>
    <col min="6414" max="6414" width="3.85546875" style="40" customWidth="1"/>
    <col min="6415" max="6415" width="11.42578125" style="40"/>
    <col min="6416" max="6416" width="3.140625" style="40" customWidth="1"/>
    <col min="6417" max="6417" width="7.140625" style="40" customWidth="1"/>
    <col min="6418" max="6418" width="14.85546875" style="40" customWidth="1"/>
    <col min="6419" max="6660" width="11.42578125" style="40"/>
    <col min="6661" max="6661" width="21" style="40" customWidth="1"/>
    <col min="6662" max="6662" width="16.85546875" style="40" customWidth="1"/>
    <col min="6663" max="6663" width="16.140625" style="40" customWidth="1"/>
    <col min="6664" max="6664" width="13.28515625" style="40" customWidth="1"/>
    <col min="6665" max="6665" width="14.5703125" style="40" customWidth="1"/>
    <col min="6666" max="6666" width="14.42578125" style="40" customWidth="1"/>
    <col min="6667" max="6667" width="15.28515625" style="40" bestFit="1" customWidth="1"/>
    <col min="6668" max="6668" width="3.7109375" style="40" customWidth="1"/>
    <col min="6669" max="6669" width="11.42578125" style="40"/>
    <col min="6670" max="6670" width="3.85546875" style="40" customWidth="1"/>
    <col min="6671" max="6671" width="11.42578125" style="40"/>
    <col min="6672" max="6672" width="3.140625" style="40" customWidth="1"/>
    <col min="6673" max="6673" width="7.140625" style="40" customWidth="1"/>
    <col min="6674" max="6674" width="14.85546875" style="40" customWidth="1"/>
    <col min="6675" max="6916" width="11.42578125" style="40"/>
    <col min="6917" max="6917" width="21" style="40" customWidth="1"/>
    <col min="6918" max="6918" width="16.85546875" style="40" customWidth="1"/>
    <col min="6919" max="6919" width="16.140625" style="40" customWidth="1"/>
    <col min="6920" max="6920" width="13.28515625" style="40" customWidth="1"/>
    <col min="6921" max="6921" width="14.5703125" style="40" customWidth="1"/>
    <col min="6922" max="6922" width="14.42578125" style="40" customWidth="1"/>
    <col min="6923" max="6923" width="15.28515625" style="40" bestFit="1" customWidth="1"/>
    <col min="6924" max="6924" width="3.7109375" style="40" customWidth="1"/>
    <col min="6925" max="6925" width="11.42578125" style="40"/>
    <col min="6926" max="6926" width="3.85546875" style="40" customWidth="1"/>
    <col min="6927" max="6927" width="11.42578125" style="40"/>
    <col min="6928" max="6928" width="3.140625" style="40" customWidth="1"/>
    <col min="6929" max="6929" width="7.140625" style="40" customWidth="1"/>
    <col min="6930" max="6930" width="14.85546875" style="40" customWidth="1"/>
    <col min="6931" max="7172" width="11.42578125" style="40"/>
    <col min="7173" max="7173" width="21" style="40" customWidth="1"/>
    <col min="7174" max="7174" width="16.85546875" style="40" customWidth="1"/>
    <col min="7175" max="7175" width="16.140625" style="40" customWidth="1"/>
    <col min="7176" max="7176" width="13.28515625" style="40" customWidth="1"/>
    <col min="7177" max="7177" width="14.5703125" style="40" customWidth="1"/>
    <col min="7178" max="7178" width="14.42578125" style="40" customWidth="1"/>
    <col min="7179" max="7179" width="15.28515625" style="40" bestFit="1" customWidth="1"/>
    <col min="7180" max="7180" width="3.7109375" style="40" customWidth="1"/>
    <col min="7181" max="7181" width="11.42578125" style="40"/>
    <col min="7182" max="7182" width="3.85546875" style="40" customWidth="1"/>
    <col min="7183" max="7183" width="11.42578125" style="40"/>
    <col min="7184" max="7184" width="3.140625" style="40" customWidth="1"/>
    <col min="7185" max="7185" width="7.140625" style="40" customWidth="1"/>
    <col min="7186" max="7186" width="14.85546875" style="40" customWidth="1"/>
    <col min="7187" max="7428" width="11.42578125" style="40"/>
    <col min="7429" max="7429" width="21" style="40" customWidth="1"/>
    <col min="7430" max="7430" width="16.85546875" style="40" customWidth="1"/>
    <col min="7431" max="7431" width="16.140625" style="40" customWidth="1"/>
    <col min="7432" max="7432" width="13.28515625" style="40" customWidth="1"/>
    <col min="7433" max="7433" width="14.5703125" style="40" customWidth="1"/>
    <col min="7434" max="7434" width="14.42578125" style="40" customWidth="1"/>
    <col min="7435" max="7435" width="15.28515625" style="40" bestFit="1" customWidth="1"/>
    <col min="7436" max="7436" width="3.7109375" style="40" customWidth="1"/>
    <col min="7437" max="7437" width="11.42578125" style="40"/>
    <col min="7438" max="7438" width="3.85546875" style="40" customWidth="1"/>
    <col min="7439" max="7439" width="11.42578125" style="40"/>
    <col min="7440" max="7440" width="3.140625" style="40" customWidth="1"/>
    <col min="7441" max="7441" width="7.140625" style="40" customWidth="1"/>
    <col min="7442" max="7442" width="14.85546875" style="40" customWidth="1"/>
    <col min="7443" max="7684" width="11.42578125" style="40"/>
    <col min="7685" max="7685" width="21" style="40" customWidth="1"/>
    <col min="7686" max="7686" width="16.85546875" style="40" customWidth="1"/>
    <col min="7687" max="7687" width="16.140625" style="40" customWidth="1"/>
    <col min="7688" max="7688" width="13.28515625" style="40" customWidth="1"/>
    <col min="7689" max="7689" width="14.5703125" style="40" customWidth="1"/>
    <col min="7690" max="7690" width="14.42578125" style="40" customWidth="1"/>
    <col min="7691" max="7691" width="15.28515625" style="40" bestFit="1" customWidth="1"/>
    <col min="7692" max="7692" width="3.7109375" style="40" customWidth="1"/>
    <col min="7693" max="7693" width="11.42578125" style="40"/>
    <col min="7694" max="7694" width="3.85546875" style="40" customWidth="1"/>
    <col min="7695" max="7695" width="11.42578125" style="40"/>
    <col min="7696" max="7696" width="3.140625" style="40" customWidth="1"/>
    <col min="7697" max="7697" width="7.140625" style="40" customWidth="1"/>
    <col min="7698" max="7698" width="14.85546875" style="40" customWidth="1"/>
    <col min="7699" max="7940" width="11.42578125" style="40"/>
    <col min="7941" max="7941" width="21" style="40" customWidth="1"/>
    <col min="7942" max="7942" width="16.85546875" style="40" customWidth="1"/>
    <col min="7943" max="7943" width="16.140625" style="40" customWidth="1"/>
    <col min="7944" max="7944" width="13.28515625" style="40" customWidth="1"/>
    <col min="7945" max="7945" width="14.5703125" style="40" customWidth="1"/>
    <col min="7946" max="7946" width="14.42578125" style="40" customWidth="1"/>
    <col min="7947" max="7947" width="15.28515625" style="40" bestFit="1" customWidth="1"/>
    <col min="7948" max="7948" width="3.7109375" style="40" customWidth="1"/>
    <col min="7949" max="7949" width="11.42578125" style="40"/>
    <col min="7950" max="7950" width="3.85546875" style="40" customWidth="1"/>
    <col min="7951" max="7951" width="11.42578125" style="40"/>
    <col min="7952" max="7952" width="3.140625" style="40" customWidth="1"/>
    <col min="7953" max="7953" width="7.140625" style="40" customWidth="1"/>
    <col min="7954" max="7954" width="14.85546875" style="40" customWidth="1"/>
    <col min="7955" max="8196" width="11.42578125" style="40"/>
    <col min="8197" max="8197" width="21" style="40" customWidth="1"/>
    <col min="8198" max="8198" width="16.85546875" style="40" customWidth="1"/>
    <col min="8199" max="8199" width="16.140625" style="40" customWidth="1"/>
    <col min="8200" max="8200" width="13.28515625" style="40" customWidth="1"/>
    <col min="8201" max="8201" width="14.5703125" style="40" customWidth="1"/>
    <col min="8202" max="8202" width="14.42578125" style="40" customWidth="1"/>
    <col min="8203" max="8203" width="15.28515625" style="40" bestFit="1" customWidth="1"/>
    <col min="8204" max="8204" width="3.7109375" style="40" customWidth="1"/>
    <col min="8205" max="8205" width="11.42578125" style="40"/>
    <col min="8206" max="8206" width="3.85546875" style="40" customWidth="1"/>
    <col min="8207" max="8207" width="11.42578125" style="40"/>
    <col min="8208" max="8208" width="3.140625" style="40" customWidth="1"/>
    <col min="8209" max="8209" width="7.140625" style="40" customWidth="1"/>
    <col min="8210" max="8210" width="14.85546875" style="40" customWidth="1"/>
    <col min="8211" max="8452" width="11.42578125" style="40"/>
    <col min="8453" max="8453" width="21" style="40" customWidth="1"/>
    <col min="8454" max="8454" width="16.85546875" style="40" customWidth="1"/>
    <col min="8455" max="8455" width="16.140625" style="40" customWidth="1"/>
    <col min="8456" max="8456" width="13.28515625" style="40" customWidth="1"/>
    <col min="8457" max="8457" width="14.5703125" style="40" customWidth="1"/>
    <col min="8458" max="8458" width="14.42578125" style="40" customWidth="1"/>
    <col min="8459" max="8459" width="15.28515625" style="40" bestFit="1" customWidth="1"/>
    <col min="8460" max="8460" width="3.7109375" style="40" customWidth="1"/>
    <col min="8461" max="8461" width="11.42578125" style="40"/>
    <col min="8462" max="8462" width="3.85546875" style="40" customWidth="1"/>
    <col min="8463" max="8463" width="11.42578125" style="40"/>
    <col min="8464" max="8464" width="3.140625" style="40" customWidth="1"/>
    <col min="8465" max="8465" width="7.140625" style="40" customWidth="1"/>
    <col min="8466" max="8466" width="14.85546875" style="40" customWidth="1"/>
    <col min="8467" max="8708" width="11.42578125" style="40"/>
    <col min="8709" max="8709" width="21" style="40" customWidth="1"/>
    <col min="8710" max="8710" width="16.85546875" style="40" customWidth="1"/>
    <col min="8711" max="8711" width="16.140625" style="40" customWidth="1"/>
    <col min="8712" max="8712" width="13.28515625" style="40" customWidth="1"/>
    <col min="8713" max="8713" width="14.5703125" style="40" customWidth="1"/>
    <col min="8714" max="8714" width="14.42578125" style="40" customWidth="1"/>
    <col min="8715" max="8715" width="15.28515625" style="40" bestFit="1" customWidth="1"/>
    <col min="8716" max="8716" width="3.7109375" style="40" customWidth="1"/>
    <col min="8717" max="8717" width="11.42578125" style="40"/>
    <col min="8718" max="8718" width="3.85546875" style="40" customWidth="1"/>
    <col min="8719" max="8719" width="11.42578125" style="40"/>
    <col min="8720" max="8720" width="3.140625" style="40" customWidth="1"/>
    <col min="8721" max="8721" width="7.140625" style="40" customWidth="1"/>
    <col min="8722" max="8722" width="14.85546875" style="40" customWidth="1"/>
    <col min="8723" max="8964" width="11.42578125" style="40"/>
    <col min="8965" max="8965" width="21" style="40" customWidth="1"/>
    <col min="8966" max="8966" width="16.85546875" style="40" customWidth="1"/>
    <col min="8967" max="8967" width="16.140625" style="40" customWidth="1"/>
    <col min="8968" max="8968" width="13.28515625" style="40" customWidth="1"/>
    <col min="8969" max="8969" width="14.5703125" style="40" customWidth="1"/>
    <col min="8970" max="8970" width="14.42578125" style="40" customWidth="1"/>
    <col min="8971" max="8971" width="15.28515625" style="40" bestFit="1" customWidth="1"/>
    <col min="8972" max="8972" width="3.7109375" style="40" customWidth="1"/>
    <col min="8973" max="8973" width="11.42578125" style="40"/>
    <col min="8974" max="8974" width="3.85546875" style="40" customWidth="1"/>
    <col min="8975" max="8975" width="11.42578125" style="40"/>
    <col min="8976" max="8976" width="3.140625" style="40" customWidth="1"/>
    <col min="8977" max="8977" width="7.140625" style="40" customWidth="1"/>
    <col min="8978" max="8978" width="14.85546875" style="40" customWidth="1"/>
    <col min="8979" max="9220" width="11.42578125" style="40"/>
    <col min="9221" max="9221" width="21" style="40" customWidth="1"/>
    <col min="9222" max="9222" width="16.85546875" style="40" customWidth="1"/>
    <col min="9223" max="9223" width="16.140625" style="40" customWidth="1"/>
    <col min="9224" max="9224" width="13.28515625" style="40" customWidth="1"/>
    <col min="9225" max="9225" width="14.5703125" style="40" customWidth="1"/>
    <col min="9226" max="9226" width="14.42578125" style="40" customWidth="1"/>
    <col min="9227" max="9227" width="15.28515625" style="40" bestFit="1" customWidth="1"/>
    <col min="9228" max="9228" width="3.7109375" style="40" customWidth="1"/>
    <col min="9229" max="9229" width="11.42578125" style="40"/>
    <col min="9230" max="9230" width="3.85546875" style="40" customWidth="1"/>
    <col min="9231" max="9231" width="11.42578125" style="40"/>
    <col min="9232" max="9232" width="3.140625" style="40" customWidth="1"/>
    <col min="9233" max="9233" width="7.140625" style="40" customWidth="1"/>
    <col min="9234" max="9234" width="14.85546875" style="40" customWidth="1"/>
    <col min="9235" max="9476" width="11.42578125" style="40"/>
    <col min="9477" max="9477" width="21" style="40" customWidth="1"/>
    <col min="9478" max="9478" width="16.85546875" style="40" customWidth="1"/>
    <col min="9479" max="9479" width="16.140625" style="40" customWidth="1"/>
    <col min="9480" max="9480" width="13.28515625" style="40" customWidth="1"/>
    <col min="9481" max="9481" width="14.5703125" style="40" customWidth="1"/>
    <col min="9482" max="9482" width="14.42578125" style="40" customWidth="1"/>
    <col min="9483" max="9483" width="15.28515625" style="40" bestFit="1" customWidth="1"/>
    <col min="9484" max="9484" width="3.7109375" style="40" customWidth="1"/>
    <col min="9485" max="9485" width="11.42578125" style="40"/>
    <col min="9486" max="9486" width="3.85546875" style="40" customWidth="1"/>
    <col min="9487" max="9487" width="11.42578125" style="40"/>
    <col min="9488" max="9488" width="3.140625" style="40" customWidth="1"/>
    <col min="9489" max="9489" width="7.140625" style="40" customWidth="1"/>
    <col min="9490" max="9490" width="14.85546875" style="40" customWidth="1"/>
    <col min="9491" max="9732" width="11.42578125" style="40"/>
    <col min="9733" max="9733" width="21" style="40" customWidth="1"/>
    <col min="9734" max="9734" width="16.85546875" style="40" customWidth="1"/>
    <col min="9735" max="9735" width="16.140625" style="40" customWidth="1"/>
    <col min="9736" max="9736" width="13.28515625" style="40" customWidth="1"/>
    <col min="9737" max="9737" width="14.5703125" style="40" customWidth="1"/>
    <col min="9738" max="9738" width="14.42578125" style="40" customWidth="1"/>
    <col min="9739" max="9739" width="15.28515625" style="40" bestFit="1" customWidth="1"/>
    <col min="9740" max="9740" width="3.7109375" style="40" customWidth="1"/>
    <col min="9741" max="9741" width="11.42578125" style="40"/>
    <col min="9742" max="9742" width="3.85546875" style="40" customWidth="1"/>
    <col min="9743" max="9743" width="11.42578125" style="40"/>
    <col min="9744" max="9744" width="3.140625" style="40" customWidth="1"/>
    <col min="9745" max="9745" width="7.140625" style="40" customWidth="1"/>
    <col min="9746" max="9746" width="14.85546875" style="40" customWidth="1"/>
    <col min="9747" max="9988" width="11.42578125" style="40"/>
    <col min="9989" max="9989" width="21" style="40" customWidth="1"/>
    <col min="9990" max="9990" width="16.85546875" style="40" customWidth="1"/>
    <col min="9991" max="9991" width="16.140625" style="40" customWidth="1"/>
    <col min="9992" max="9992" width="13.28515625" style="40" customWidth="1"/>
    <col min="9993" max="9993" width="14.5703125" style="40" customWidth="1"/>
    <col min="9994" max="9994" width="14.42578125" style="40" customWidth="1"/>
    <col min="9995" max="9995" width="15.28515625" style="40" bestFit="1" customWidth="1"/>
    <col min="9996" max="9996" width="3.7109375" style="40" customWidth="1"/>
    <col min="9997" max="9997" width="11.42578125" style="40"/>
    <col min="9998" max="9998" width="3.85546875" style="40" customWidth="1"/>
    <col min="9999" max="9999" width="11.42578125" style="40"/>
    <col min="10000" max="10000" width="3.140625" style="40" customWidth="1"/>
    <col min="10001" max="10001" width="7.140625" style="40" customWidth="1"/>
    <col min="10002" max="10002" width="14.85546875" style="40" customWidth="1"/>
    <col min="10003" max="10244" width="11.42578125" style="40"/>
    <col min="10245" max="10245" width="21" style="40" customWidth="1"/>
    <col min="10246" max="10246" width="16.85546875" style="40" customWidth="1"/>
    <col min="10247" max="10247" width="16.140625" style="40" customWidth="1"/>
    <col min="10248" max="10248" width="13.28515625" style="40" customWidth="1"/>
    <col min="10249" max="10249" width="14.5703125" style="40" customWidth="1"/>
    <col min="10250" max="10250" width="14.42578125" style="40" customWidth="1"/>
    <col min="10251" max="10251" width="15.28515625" style="40" bestFit="1" customWidth="1"/>
    <col min="10252" max="10252" width="3.7109375" style="40" customWidth="1"/>
    <col min="10253" max="10253" width="11.42578125" style="40"/>
    <col min="10254" max="10254" width="3.85546875" style="40" customWidth="1"/>
    <col min="10255" max="10255" width="11.42578125" style="40"/>
    <col min="10256" max="10256" width="3.140625" style="40" customWidth="1"/>
    <col min="10257" max="10257" width="7.140625" style="40" customWidth="1"/>
    <col min="10258" max="10258" width="14.85546875" style="40" customWidth="1"/>
    <col min="10259" max="10500" width="11.42578125" style="40"/>
    <col min="10501" max="10501" width="21" style="40" customWidth="1"/>
    <col min="10502" max="10502" width="16.85546875" style="40" customWidth="1"/>
    <col min="10503" max="10503" width="16.140625" style="40" customWidth="1"/>
    <col min="10504" max="10504" width="13.28515625" style="40" customWidth="1"/>
    <col min="10505" max="10505" width="14.5703125" style="40" customWidth="1"/>
    <col min="10506" max="10506" width="14.42578125" style="40" customWidth="1"/>
    <col min="10507" max="10507" width="15.28515625" style="40" bestFit="1" customWidth="1"/>
    <col min="10508" max="10508" width="3.7109375" style="40" customWidth="1"/>
    <col min="10509" max="10509" width="11.42578125" style="40"/>
    <col min="10510" max="10510" width="3.85546875" style="40" customWidth="1"/>
    <col min="10511" max="10511" width="11.42578125" style="40"/>
    <col min="10512" max="10512" width="3.140625" style="40" customWidth="1"/>
    <col min="10513" max="10513" width="7.140625" style="40" customWidth="1"/>
    <col min="10514" max="10514" width="14.85546875" style="40" customWidth="1"/>
    <col min="10515" max="10756" width="11.42578125" style="40"/>
    <col min="10757" max="10757" width="21" style="40" customWidth="1"/>
    <col min="10758" max="10758" width="16.85546875" style="40" customWidth="1"/>
    <col min="10759" max="10759" width="16.140625" style="40" customWidth="1"/>
    <col min="10760" max="10760" width="13.28515625" style="40" customWidth="1"/>
    <col min="10761" max="10761" width="14.5703125" style="40" customWidth="1"/>
    <col min="10762" max="10762" width="14.42578125" style="40" customWidth="1"/>
    <col min="10763" max="10763" width="15.28515625" style="40" bestFit="1" customWidth="1"/>
    <col min="10764" max="10764" width="3.7109375" style="40" customWidth="1"/>
    <col min="10765" max="10765" width="11.42578125" style="40"/>
    <col min="10766" max="10766" width="3.85546875" style="40" customWidth="1"/>
    <col min="10767" max="10767" width="11.42578125" style="40"/>
    <col min="10768" max="10768" width="3.140625" style="40" customWidth="1"/>
    <col min="10769" max="10769" width="7.140625" style="40" customWidth="1"/>
    <col min="10770" max="10770" width="14.85546875" style="40" customWidth="1"/>
    <col min="10771" max="11012" width="11.42578125" style="40"/>
    <col min="11013" max="11013" width="21" style="40" customWidth="1"/>
    <col min="11014" max="11014" width="16.85546875" style="40" customWidth="1"/>
    <col min="11015" max="11015" width="16.140625" style="40" customWidth="1"/>
    <col min="11016" max="11016" width="13.28515625" style="40" customWidth="1"/>
    <col min="11017" max="11017" width="14.5703125" style="40" customWidth="1"/>
    <col min="11018" max="11018" width="14.42578125" style="40" customWidth="1"/>
    <col min="11019" max="11019" width="15.28515625" style="40" bestFit="1" customWidth="1"/>
    <col min="11020" max="11020" width="3.7109375" style="40" customWidth="1"/>
    <col min="11021" max="11021" width="11.42578125" style="40"/>
    <col min="11022" max="11022" width="3.85546875" style="40" customWidth="1"/>
    <col min="11023" max="11023" width="11.42578125" style="40"/>
    <col min="11024" max="11024" width="3.140625" style="40" customWidth="1"/>
    <col min="11025" max="11025" width="7.140625" style="40" customWidth="1"/>
    <col min="11026" max="11026" width="14.85546875" style="40" customWidth="1"/>
    <col min="11027" max="11268" width="11.42578125" style="40"/>
    <col min="11269" max="11269" width="21" style="40" customWidth="1"/>
    <col min="11270" max="11270" width="16.85546875" style="40" customWidth="1"/>
    <col min="11271" max="11271" width="16.140625" style="40" customWidth="1"/>
    <col min="11272" max="11272" width="13.28515625" style="40" customWidth="1"/>
    <col min="11273" max="11273" width="14.5703125" style="40" customWidth="1"/>
    <col min="11274" max="11274" width="14.42578125" style="40" customWidth="1"/>
    <col min="11275" max="11275" width="15.28515625" style="40" bestFit="1" customWidth="1"/>
    <col min="11276" max="11276" width="3.7109375" style="40" customWidth="1"/>
    <col min="11277" max="11277" width="11.42578125" style="40"/>
    <col min="11278" max="11278" width="3.85546875" style="40" customWidth="1"/>
    <col min="11279" max="11279" width="11.42578125" style="40"/>
    <col min="11280" max="11280" width="3.140625" style="40" customWidth="1"/>
    <col min="11281" max="11281" width="7.140625" style="40" customWidth="1"/>
    <col min="11282" max="11282" width="14.85546875" style="40" customWidth="1"/>
    <col min="11283" max="11524" width="11.42578125" style="40"/>
    <col min="11525" max="11525" width="21" style="40" customWidth="1"/>
    <col min="11526" max="11526" width="16.85546875" style="40" customWidth="1"/>
    <col min="11527" max="11527" width="16.140625" style="40" customWidth="1"/>
    <col min="11528" max="11528" width="13.28515625" style="40" customWidth="1"/>
    <col min="11529" max="11529" width="14.5703125" style="40" customWidth="1"/>
    <col min="11530" max="11530" width="14.42578125" style="40" customWidth="1"/>
    <col min="11531" max="11531" width="15.28515625" style="40" bestFit="1" customWidth="1"/>
    <col min="11532" max="11532" width="3.7109375" style="40" customWidth="1"/>
    <col min="11533" max="11533" width="11.42578125" style="40"/>
    <col min="11534" max="11534" width="3.85546875" style="40" customWidth="1"/>
    <col min="11535" max="11535" width="11.42578125" style="40"/>
    <col min="11536" max="11536" width="3.140625" style="40" customWidth="1"/>
    <col min="11537" max="11537" width="7.140625" style="40" customWidth="1"/>
    <col min="11538" max="11538" width="14.85546875" style="40" customWidth="1"/>
    <col min="11539" max="11780" width="11.42578125" style="40"/>
    <col min="11781" max="11781" width="21" style="40" customWidth="1"/>
    <col min="11782" max="11782" width="16.85546875" style="40" customWidth="1"/>
    <col min="11783" max="11783" width="16.140625" style="40" customWidth="1"/>
    <col min="11784" max="11784" width="13.28515625" style="40" customWidth="1"/>
    <col min="11785" max="11785" width="14.5703125" style="40" customWidth="1"/>
    <col min="11786" max="11786" width="14.42578125" style="40" customWidth="1"/>
    <col min="11787" max="11787" width="15.28515625" style="40" bestFit="1" customWidth="1"/>
    <col min="11788" max="11788" width="3.7109375" style="40" customWidth="1"/>
    <col min="11789" max="11789" width="11.42578125" style="40"/>
    <col min="11790" max="11790" width="3.85546875" style="40" customWidth="1"/>
    <col min="11791" max="11791" width="11.42578125" style="40"/>
    <col min="11792" max="11792" width="3.140625" style="40" customWidth="1"/>
    <col min="11793" max="11793" width="7.140625" style="40" customWidth="1"/>
    <col min="11794" max="11794" width="14.85546875" style="40" customWidth="1"/>
    <col min="11795" max="12036" width="11.42578125" style="40"/>
    <col min="12037" max="12037" width="21" style="40" customWidth="1"/>
    <col min="12038" max="12038" width="16.85546875" style="40" customWidth="1"/>
    <col min="12039" max="12039" width="16.140625" style="40" customWidth="1"/>
    <col min="12040" max="12040" width="13.28515625" style="40" customWidth="1"/>
    <col min="12041" max="12041" width="14.5703125" style="40" customWidth="1"/>
    <col min="12042" max="12042" width="14.42578125" style="40" customWidth="1"/>
    <col min="12043" max="12043" width="15.28515625" style="40" bestFit="1" customWidth="1"/>
    <col min="12044" max="12044" width="3.7109375" style="40" customWidth="1"/>
    <col min="12045" max="12045" width="11.42578125" style="40"/>
    <col min="12046" max="12046" width="3.85546875" style="40" customWidth="1"/>
    <col min="12047" max="12047" width="11.42578125" style="40"/>
    <col min="12048" max="12048" width="3.140625" style="40" customWidth="1"/>
    <col min="12049" max="12049" width="7.140625" style="40" customWidth="1"/>
    <col min="12050" max="12050" width="14.85546875" style="40" customWidth="1"/>
    <col min="12051" max="12292" width="11.42578125" style="40"/>
    <col min="12293" max="12293" width="21" style="40" customWidth="1"/>
    <col min="12294" max="12294" width="16.85546875" style="40" customWidth="1"/>
    <col min="12295" max="12295" width="16.140625" style="40" customWidth="1"/>
    <col min="12296" max="12296" width="13.28515625" style="40" customWidth="1"/>
    <col min="12297" max="12297" width="14.5703125" style="40" customWidth="1"/>
    <col min="12298" max="12298" width="14.42578125" style="40" customWidth="1"/>
    <col min="12299" max="12299" width="15.28515625" style="40" bestFit="1" customWidth="1"/>
    <col min="12300" max="12300" width="3.7109375" style="40" customWidth="1"/>
    <col min="12301" max="12301" width="11.42578125" style="40"/>
    <col min="12302" max="12302" width="3.85546875" style="40" customWidth="1"/>
    <col min="12303" max="12303" width="11.42578125" style="40"/>
    <col min="12304" max="12304" width="3.140625" style="40" customWidth="1"/>
    <col min="12305" max="12305" width="7.140625" style="40" customWidth="1"/>
    <col min="12306" max="12306" width="14.85546875" style="40" customWidth="1"/>
    <col min="12307" max="12548" width="11.42578125" style="40"/>
    <col min="12549" max="12549" width="21" style="40" customWidth="1"/>
    <col min="12550" max="12550" width="16.85546875" style="40" customWidth="1"/>
    <col min="12551" max="12551" width="16.140625" style="40" customWidth="1"/>
    <col min="12552" max="12552" width="13.28515625" style="40" customWidth="1"/>
    <col min="12553" max="12553" width="14.5703125" style="40" customWidth="1"/>
    <col min="12554" max="12554" width="14.42578125" style="40" customWidth="1"/>
    <col min="12555" max="12555" width="15.28515625" style="40" bestFit="1" customWidth="1"/>
    <col min="12556" max="12556" width="3.7109375" style="40" customWidth="1"/>
    <col min="12557" max="12557" width="11.42578125" style="40"/>
    <col min="12558" max="12558" width="3.85546875" style="40" customWidth="1"/>
    <col min="12559" max="12559" width="11.42578125" style="40"/>
    <col min="12560" max="12560" width="3.140625" style="40" customWidth="1"/>
    <col min="12561" max="12561" width="7.140625" style="40" customWidth="1"/>
    <col min="12562" max="12562" width="14.85546875" style="40" customWidth="1"/>
    <col min="12563" max="12804" width="11.42578125" style="40"/>
    <col min="12805" max="12805" width="21" style="40" customWidth="1"/>
    <col min="12806" max="12806" width="16.85546875" style="40" customWidth="1"/>
    <col min="12807" max="12807" width="16.140625" style="40" customWidth="1"/>
    <col min="12808" max="12808" width="13.28515625" style="40" customWidth="1"/>
    <col min="12809" max="12809" width="14.5703125" style="40" customWidth="1"/>
    <col min="12810" max="12810" width="14.42578125" style="40" customWidth="1"/>
    <col min="12811" max="12811" width="15.28515625" style="40" bestFit="1" customWidth="1"/>
    <col min="12812" max="12812" width="3.7109375" style="40" customWidth="1"/>
    <col min="12813" max="12813" width="11.42578125" style="40"/>
    <col min="12814" max="12814" width="3.85546875" style="40" customWidth="1"/>
    <col min="12815" max="12815" width="11.42578125" style="40"/>
    <col min="12816" max="12816" width="3.140625" style="40" customWidth="1"/>
    <col min="12817" max="12817" width="7.140625" style="40" customWidth="1"/>
    <col min="12818" max="12818" width="14.85546875" style="40" customWidth="1"/>
    <col min="12819" max="13060" width="11.42578125" style="40"/>
    <col min="13061" max="13061" width="21" style="40" customWidth="1"/>
    <col min="13062" max="13062" width="16.85546875" style="40" customWidth="1"/>
    <col min="13063" max="13063" width="16.140625" style="40" customWidth="1"/>
    <col min="13064" max="13064" width="13.28515625" style="40" customWidth="1"/>
    <col min="13065" max="13065" width="14.5703125" style="40" customWidth="1"/>
    <col min="13066" max="13066" width="14.42578125" style="40" customWidth="1"/>
    <col min="13067" max="13067" width="15.28515625" style="40" bestFit="1" customWidth="1"/>
    <col min="13068" max="13068" width="3.7109375" style="40" customWidth="1"/>
    <col min="13069" max="13069" width="11.42578125" style="40"/>
    <col min="13070" max="13070" width="3.85546875" style="40" customWidth="1"/>
    <col min="13071" max="13071" width="11.42578125" style="40"/>
    <col min="13072" max="13072" width="3.140625" style="40" customWidth="1"/>
    <col min="13073" max="13073" width="7.140625" style="40" customWidth="1"/>
    <col min="13074" max="13074" width="14.85546875" style="40" customWidth="1"/>
    <col min="13075" max="13316" width="11.42578125" style="40"/>
    <col min="13317" max="13317" width="21" style="40" customWidth="1"/>
    <col min="13318" max="13318" width="16.85546875" style="40" customWidth="1"/>
    <col min="13319" max="13319" width="16.140625" style="40" customWidth="1"/>
    <col min="13320" max="13320" width="13.28515625" style="40" customWidth="1"/>
    <col min="13321" max="13321" width="14.5703125" style="40" customWidth="1"/>
    <col min="13322" max="13322" width="14.42578125" style="40" customWidth="1"/>
    <col min="13323" max="13323" width="15.28515625" style="40" bestFit="1" customWidth="1"/>
    <col min="13324" max="13324" width="3.7109375" style="40" customWidth="1"/>
    <col min="13325" max="13325" width="11.42578125" style="40"/>
    <col min="13326" max="13326" width="3.85546875" style="40" customWidth="1"/>
    <col min="13327" max="13327" width="11.42578125" style="40"/>
    <col min="13328" max="13328" width="3.140625" style="40" customWidth="1"/>
    <col min="13329" max="13329" width="7.140625" style="40" customWidth="1"/>
    <col min="13330" max="13330" width="14.85546875" style="40" customWidth="1"/>
    <col min="13331" max="13572" width="11.42578125" style="40"/>
    <col min="13573" max="13573" width="21" style="40" customWidth="1"/>
    <col min="13574" max="13574" width="16.85546875" style="40" customWidth="1"/>
    <col min="13575" max="13575" width="16.140625" style="40" customWidth="1"/>
    <col min="13576" max="13576" width="13.28515625" style="40" customWidth="1"/>
    <col min="13577" max="13577" width="14.5703125" style="40" customWidth="1"/>
    <col min="13578" max="13578" width="14.42578125" style="40" customWidth="1"/>
    <col min="13579" max="13579" width="15.28515625" style="40" bestFit="1" customWidth="1"/>
    <col min="13580" max="13580" width="3.7109375" style="40" customWidth="1"/>
    <col min="13581" max="13581" width="11.42578125" style="40"/>
    <col min="13582" max="13582" width="3.85546875" style="40" customWidth="1"/>
    <col min="13583" max="13583" width="11.42578125" style="40"/>
    <col min="13584" max="13584" width="3.140625" style="40" customWidth="1"/>
    <col min="13585" max="13585" width="7.140625" style="40" customWidth="1"/>
    <col min="13586" max="13586" width="14.85546875" style="40" customWidth="1"/>
    <col min="13587" max="13828" width="11.42578125" style="40"/>
    <col min="13829" max="13829" width="21" style="40" customWidth="1"/>
    <col min="13830" max="13830" width="16.85546875" style="40" customWidth="1"/>
    <col min="13831" max="13831" width="16.140625" style="40" customWidth="1"/>
    <col min="13832" max="13832" width="13.28515625" style="40" customWidth="1"/>
    <col min="13833" max="13833" width="14.5703125" style="40" customWidth="1"/>
    <col min="13834" max="13834" width="14.42578125" style="40" customWidth="1"/>
    <col min="13835" max="13835" width="15.28515625" style="40" bestFit="1" customWidth="1"/>
    <col min="13836" max="13836" width="3.7109375" style="40" customWidth="1"/>
    <col min="13837" max="13837" width="11.42578125" style="40"/>
    <col min="13838" max="13838" width="3.85546875" style="40" customWidth="1"/>
    <col min="13839" max="13839" width="11.42578125" style="40"/>
    <col min="13840" max="13840" width="3.140625" style="40" customWidth="1"/>
    <col min="13841" max="13841" width="7.140625" style="40" customWidth="1"/>
    <col min="13842" max="13842" width="14.85546875" style="40" customWidth="1"/>
    <col min="13843" max="14084" width="11.42578125" style="40"/>
    <col min="14085" max="14085" width="21" style="40" customWidth="1"/>
    <col min="14086" max="14086" width="16.85546875" style="40" customWidth="1"/>
    <col min="14087" max="14087" width="16.140625" style="40" customWidth="1"/>
    <col min="14088" max="14088" width="13.28515625" style="40" customWidth="1"/>
    <col min="14089" max="14089" width="14.5703125" style="40" customWidth="1"/>
    <col min="14090" max="14090" width="14.42578125" style="40" customWidth="1"/>
    <col min="14091" max="14091" width="15.28515625" style="40" bestFit="1" customWidth="1"/>
    <col min="14092" max="14092" width="3.7109375" style="40" customWidth="1"/>
    <col min="14093" max="14093" width="11.42578125" style="40"/>
    <col min="14094" max="14094" width="3.85546875" style="40" customWidth="1"/>
    <col min="14095" max="14095" width="11.42578125" style="40"/>
    <col min="14096" max="14096" width="3.140625" style="40" customWidth="1"/>
    <col min="14097" max="14097" width="7.140625" style="40" customWidth="1"/>
    <col min="14098" max="14098" width="14.85546875" style="40" customWidth="1"/>
    <col min="14099" max="14340" width="11.42578125" style="40"/>
    <col min="14341" max="14341" width="21" style="40" customWidth="1"/>
    <col min="14342" max="14342" width="16.85546875" style="40" customWidth="1"/>
    <col min="14343" max="14343" width="16.140625" style="40" customWidth="1"/>
    <col min="14344" max="14344" width="13.28515625" style="40" customWidth="1"/>
    <col min="14345" max="14345" width="14.5703125" style="40" customWidth="1"/>
    <col min="14346" max="14346" width="14.42578125" style="40" customWidth="1"/>
    <col min="14347" max="14347" width="15.28515625" style="40" bestFit="1" customWidth="1"/>
    <col min="14348" max="14348" width="3.7109375" style="40" customWidth="1"/>
    <col min="14349" max="14349" width="11.42578125" style="40"/>
    <col min="14350" max="14350" width="3.85546875" style="40" customWidth="1"/>
    <col min="14351" max="14351" width="11.42578125" style="40"/>
    <col min="14352" max="14352" width="3.140625" style="40" customWidth="1"/>
    <col min="14353" max="14353" width="7.140625" style="40" customWidth="1"/>
    <col min="14354" max="14354" width="14.85546875" style="40" customWidth="1"/>
    <col min="14355" max="14596" width="11.42578125" style="40"/>
    <col min="14597" max="14597" width="21" style="40" customWidth="1"/>
    <col min="14598" max="14598" width="16.85546875" style="40" customWidth="1"/>
    <col min="14599" max="14599" width="16.140625" style="40" customWidth="1"/>
    <col min="14600" max="14600" width="13.28515625" style="40" customWidth="1"/>
    <col min="14601" max="14601" width="14.5703125" style="40" customWidth="1"/>
    <col min="14602" max="14602" width="14.42578125" style="40" customWidth="1"/>
    <col min="14603" max="14603" width="15.28515625" style="40" bestFit="1" customWidth="1"/>
    <col min="14604" max="14604" width="3.7109375" style="40" customWidth="1"/>
    <col min="14605" max="14605" width="11.42578125" style="40"/>
    <col min="14606" max="14606" width="3.85546875" style="40" customWidth="1"/>
    <col min="14607" max="14607" width="11.42578125" style="40"/>
    <col min="14608" max="14608" width="3.140625" style="40" customWidth="1"/>
    <col min="14609" max="14609" width="7.140625" style="40" customWidth="1"/>
    <col min="14610" max="14610" width="14.85546875" style="40" customWidth="1"/>
    <col min="14611" max="14852" width="11.42578125" style="40"/>
    <col min="14853" max="14853" width="21" style="40" customWidth="1"/>
    <col min="14854" max="14854" width="16.85546875" style="40" customWidth="1"/>
    <col min="14855" max="14855" width="16.140625" style="40" customWidth="1"/>
    <col min="14856" max="14856" width="13.28515625" style="40" customWidth="1"/>
    <col min="14857" max="14857" width="14.5703125" style="40" customWidth="1"/>
    <col min="14858" max="14858" width="14.42578125" style="40" customWidth="1"/>
    <col min="14859" max="14859" width="15.28515625" style="40" bestFit="1" customWidth="1"/>
    <col min="14860" max="14860" width="3.7109375" style="40" customWidth="1"/>
    <col min="14861" max="14861" width="11.42578125" style="40"/>
    <col min="14862" max="14862" width="3.85546875" style="40" customWidth="1"/>
    <col min="14863" max="14863" width="11.42578125" style="40"/>
    <col min="14864" max="14864" width="3.140625" style="40" customWidth="1"/>
    <col min="14865" max="14865" width="7.140625" style="40" customWidth="1"/>
    <col min="14866" max="14866" width="14.85546875" style="40" customWidth="1"/>
    <col min="14867" max="15108" width="11.42578125" style="40"/>
    <col min="15109" max="15109" width="21" style="40" customWidth="1"/>
    <col min="15110" max="15110" width="16.85546875" style="40" customWidth="1"/>
    <col min="15111" max="15111" width="16.140625" style="40" customWidth="1"/>
    <col min="15112" max="15112" width="13.28515625" style="40" customWidth="1"/>
    <col min="15113" max="15113" width="14.5703125" style="40" customWidth="1"/>
    <col min="15114" max="15114" width="14.42578125" style="40" customWidth="1"/>
    <col min="15115" max="15115" width="15.28515625" style="40" bestFit="1" customWidth="1"/>
    <col min="15116" max="15116" width="3.7109375" style="40" customWidth="1"/>
    <col min="15117" max="15117" width="11.42578125" style="40"/>
    <col min="15118" max="15118" width="3.85546875" style="40" customWidth="1"/>
    <col min="15119" max="15119" width="11.42578125" style="40"/>
    <col min="15120" max="15120" width="3.140625" style="40" customWidth="1"/>
    <col min="15121" max="15121" width="7.140625" style="40" customWidth="1"/>
    <col min="15122" max="15122" width="14.85546875" style="40" customWidth="1"/>
    <col min="15123" max="15364" width="11.42578125" style="40"/>
    <col min="15365" max="15365" width="21" style="40" customWidth="1"/>
    <col min="15366" max="15366" width="16.85546875" style="40" customWidth="1"/>
    <col min="15367" max="15367" width="16.140625" style="40" customWidth="1"/>
    <col min="15368" max="15368" width="13.28515625" style="40" customWidth="1"/>
    <col min="15369" max="15369" width="14.5703125" style="40" customWidth="1"/>
    <col min="15370" max="15370" width="14.42578125" style="40" customWidth="1"/>
    <col min="15371" max="15371" width="15.28515625" style="40" bestFit="1" customWidth="1"/>
    <col min="15372" max="15372" width="3.7109375" style="40" customWidth="1"/>
    <col min="15373" max="15373" width="11.42578125" style="40"/>
    <col min="15374" max="15374" width="3.85546875" style="40" customWidth="1"/>
    <col min="15375" max="15375" width="11.42578125" style="40"/>
    <col min="15376" max="15376" width="3.140625" style="40" customWidth="1"/>
    <col min="15377" max="15377" width="7.140625" style="40" customWidth="1"/>
    <col min="15378" max="15378" width="14.85546875" style="40" customWidth="1"/>
    <col min="15379" max="15620" width="11.42578125" style="40"/>
    <col min="15621" max="15621" width="21" style="40" customWidth="1"/>
    <col min="15622" max="15622" width="16.85546875" style="40" customWidth="1"/>
    <col min="15623" max="15623" width="16.140625" style="40" customWidth="1"/>
    <col min="15624" max="15624" width="13.28515625" style="40" customWidth="1"/>
    <col min="15625" max="15625" width="14.5703125" style="40" customWidth="1"/>
    <col min="15626" max="15626" width="14.42578125" style="40" customWidth="1"/>
    <col min="15627" max="15627" width="15.28515625" style="40" bestFit="1" customWidth="1"/>
    <col min="15628" max="15628" width="3.7109375" style="40" customWidth="1"/>
    <col min="15629" max="15629" width="11.42578125" style="40"/>
    <col min="15630" max="15630" width="3.85546875" style="40" customWidth="1"/>
    <col min="15631" max="15631" width="11.42578125" style="40"/>
    <col min="15632" max="15632" width="3.140625" style="40" customWidth="1"/>
    <col min="15633" max="15633" width="7.140625" style="40" customWidth="1"/>
    <col min="15634" max="15634" width="14.85546875" style="40" customWidth="1"/>
    <col min="15635" max="15876" width="11.42578125" style="40"/>
    <col min="15877" max="15877" width="21" style="40" customWidth="1"/>
    <col min="15878" max="15878" width="16.85546875" style="40" customWidth="1"/>
    <col min="15879" max="15879" width="16.140625" style="40" customWidth="1"/>
    <col min="15880" max="15880" width="13.28515625" style="40" customWidth="1"/>
    <col min="15881" max="15881" width="14.5703125" style="40" customWidth="1"/>
    <col min="15882" max="15882" width="14.42578125" style="40" customWidth="1"/>
    <col min="15883" max="15883" width="15.28515625" style="40" bestFit="1" customWidth="1"/>
    <col min="15884" max="15884" width="3.7109375" style="40" customWidth="1"/>
    <col min="15885" max="15885" width="11.42578125" style="40"/>
    <col min="15886" max="15886" width="3.85546875" style="40" customWidth="1"/>
    <col min="15887" max="15887" width="11.42578125" style="40"/>
    <col min="15888" max="15888" width="3.140625" style="40" customWidth="1"/>
    <col min="15889" max="15889" width="7.140625" style="40" customWidth="1"/>
    <col min="15890" max="15890" width="14.85546875" style="40" customWidth="1"/>
    <col min="15891" max="16132" width="11.42578125" style="40"/>
    <col min="16133" max="16133" width="21" style="40" customWidth="1"/>
    <col min="16134" max="16134" width="16.85546875" style="40" customWidth="1"/>
    <col min="16135" max="16135" width="16.140625" style="40" customWidth="1"/>
    <col min="16136" max="16136" width="13.28515625" style="40" customWidth="1"/>
    <col min="16137" max="16137" width="14.5703125" style="40" customWidth="1"/>
    <col min="16138" max="16138" width="14.42578125" style="40" customWidth="1"/>
    <col min="16139" max="16139" width="15.28515625" style="40" bestFit="1" customWidth="1"/>
    <col min="16140" max="16140" width="3.7109375" style="40" customWidth="1"/>
    <col min="16141" max="16141" width="11.42578125" style="40"/>
    <col min="16142" max="16142" width="3.85546875" style="40" customWidth="1"/>
    <col min="16143" max="16143" width="11.42578125" style="40"/>
    <col min="16144" max="16144" width="3.140625" style="40" customWidth="1"/>
    <col min="16145" max="16145" width="7.140625" style="40" customWidth="1"/>
    <col min="16146" max="16146" width="14.85546875" style="40" customWidth="1"/>
    <col min="16147" max="16384" width="11.42578125" style="40"/>
  </cols>
  <sheetData>
    <row r="1" spans="2:23" ht="15" customHeight="1" x14ac:dyDescent="0.2"/>
    <row r="2" spans="2:23" ht="15" customHeight="1" thickBot="1" x14ac:dyDescent="0.25">
      <c r="U2" s="65"/>
    </row>
    <row r="3" spans="2:23" ht="15" customHeight="1" thickBot="1" x14ac:dyDescent="0.25">
      <c r="B3" s="77" t="s">
        <v>78</v>
      </c>
      <c r="C3" s="50"/>
      <c r="D3" s="51" t="s">
        <v>1</v>
      </c>
      <c r="E3" s="51" t="s">
        <v>2</v>
      </c>
      <c r="F3" s="51" t="s">
        <v>3</v>
      </c>
      <c r="G3" s="51" t="s">
        <v>4</v>
      </c>
      <c r="H3" s="51" t="s">
        <v>5</v>
      </c>
      <c r="I3" s="51" t="s">
        <v>6</v>
      </c>
      <c r="J3" s="52"/>
      <c r="K3" s="61" t="s">
        <v>46</v>
      </c>
      <c r="L3" s="61"/>
      <c r="M3" s="53" t="s">
        <v>40</v>
      </c>
      <c r="N3" s="66"/>
      <c r="O3" s="292" t="s">
        <v>143</v>
      </c>
      <c r="P3" s="293"/>
      <c r="Q3" s="293"/>
      <c r="R3" s="293"/>
      <c r="S3" s="293"/>
      <c r="T3" s="294"/>
      <c r="U3" s="66"/>
      <c r="V3" s="186" t="s">
        <v>77</v>
      </c>
      <c r="W3" s="187">
        <v>21</v>
      </c>
    </row>
    <row r="4" spans="2:23" ht="15" customHeight="1" x14ac:dyDescent="0.2">
      <c r="B4" s="70"/>
      <c r="C4" s="46"/>
      <c r="D4" s="42"/>
      <c r="E4" s="43"/>
      <c r="F4" s="42"/>
      <c r="G4" s="43"/>
      <c r="H4" s="42"/>
      <c r="I4" s="43"/>
      <c r="J4" s="44"/>
      <c r="K4" s="45"/>
      <c r="L4" s="45"/>
      <c r="M4" s="47"/>
      <c r="N4" s="65"/>
      <c r="O4" s="295"/>
      <c r="P4" s="296"/>
      <c r="Q4" s="296"/>
      <c r="R4" s="296"/>
      <c r="S4" s="296"/>
      <c r="T4" s="297"/>
      <c r="U4" s="65"/>
      <c r="V4" s="67"/>
    </row>
    <row r="5" spans="2:23" ht="15" customHeight="1" x14ac:dyDescent="0.25">
      <c r="B5" s="71" t="s">
        <v>47</v>
      </c>
      <c r="C5" s="48"/>
      <c r="D5" s="54">
        <v>0</v>
      </c>
      <c r="E5" s="54">
        <f>25*(M5^2)+75</f>
        <v>100</v>
      </c>
      <c r="F5" s="54">
        <f>50*(M5^2)+150</f>
        <v>200</v>
      </c>
      <c r="G5" s="54">
        <v>0</v>
      </c>
      <c r="H5" s="54">
        <v>0</v>
      </c>
      <c r="I5" s="54">
        <v>0</v>
      </c>
      <c r="J5" s="55"/>
      <c r="K5" s="62">
        <f>((1800*M5)*0.9)/$W$3/86400</f>
        <v>8.9285714285714283E-4</v>
      </c>
      <c r="L5" s="68"/>
      <c r="M5" s="74">
        <v>1</v>
      </c>
      <c r="N5" s="240"/>
      <c r="O5" s="241">
        <f>IF(ISNA(VLOOKUP(D5,Lagerkapazität!$C$4:$E$54,3,TRUE)+1),0,VLOOKUP(D5,Lagerkapazität!$C$4:$E$54,3,TRUE)+1)</f>
        <v>0</v>
      </c>
      <c r="P5" s="242">
        <f>IF(ISNA(VLOOKUP(E5,Lagerkapazität!$C$4:$E$54,3,TRUE)+1),0,VLOOKUP(E5,Lagerkapazität!$C$4:$E$54,3,TRUE)+1)</f>
        <v>0</v>
      </c>
      <c r="Q5" s="242">
        <f>IF(ISNA(VLOOKUP(F5,Lagerkapazität!$C$4:$E$54,3,TRUE)+1),0,VLOOKUP(F5,Lagerkapazität!$C$4:$E$54,3,TRUE)+1)</f>
        <v>0</v>
      </c>
      <c r="R5" s="242">
        <f>IF(ISNA(VLOOKUP(G5,Lagerkapazität!$C$4:$E$54,3,TRUE)+1),0,VLOOKUP(G5,Lagerkapazität!$C$4:$E$54,3,TRUE)+1)</f>
        <v>0</v>
      </c>
      <c r="S5" s="242">
        <f>IF(ISNA(VLOOKUP(H5,Lagerkapazität!$C$4:$E$54,3,TRUE)+1),0,VLOOKUP(H5,Lagerkapazität!$C$4:$E$54,3,TRUE)+1)</f>
        <v>0</v>
      </c>
      <c r="T5" s="243">
        <f>IF(ISNA(VLOOKUP(I5,Lagerkapazität!$D$4:$E$54,2,TRUE)+1),0,VLOOKUP(I5,Lagerkapazität!$D$4:$E$54,2,TRUE)+1)</f>
        <v>0</v>
      </c>
      <c r="U5" s="60"/>
      <c r="V5" s="65"/>
    </row>
    <row r="6" spans="2:23" ht="15" customHeight="1" x14ac:dyDescent="0.25">
      <c r="B6" s="71" t="s">
        <v>48</v>
      </c>
      <c r="C6" s="48"/>
      <c r="D6" s="54">
        <v>0</v>
      </c>
      <c r="E6" s="54">
        <f>1000*(M6^2)+3000</f>
        <v>4000</v>
      </c>
      <c r="F6" s="54">
        <f>1950*(M6^2)+5850</f>
        <v>7800</v>
      </c>
      <c r="G6" s="54">
        <v>0</v>
      </c>
      <c r="H6" s="54">
        <v>0</v>
      </c>
      <c r="I6" s="54">
        <v>0</v>
      </c>
      <c r="J6" s="55"/>
      <c r="K6" s="62">
        <f>((100000*M6)*0.9)/$W$3/86400</f>
        <v>4.96031746031746E-2</v>
      </c>
      <c r="L6" s="68"/>
      <c r="M6" s="74">
        <v>1</v>
      </c>
      <c r="N6" s="240"/>
      <c r="O6" s="241">
        <f>IF(ISNA(VLOOKUP(D6,Lagerkapazität!$C$4:$E$54,3,TRUE)+1),0,VLOOKUP(D6,Lagerkapazität!$C$4:$E$54,3,TRUE)+1)</f>
        <v>0</v>
      </c>
      <c r="P6" s="242">
        <f>IF(ISNA(VLOOKUP(E6,Lagerkapazität!$C$4:$E$54,3,TRUE)+1),0,VLOOKUP(E6,Lagerkapazität!$C$4:$E$54,3,TRUE)+1)</f>
        <v>0</v>
      </c>
      <c r="Q6" s="242">
        <f>IF(ISNA(VLOOKUP(F6,Lagerkapazität!$C$4:$E$54,3,TRUE)+1),0,VLOOKUP(F6,Lagerkapazität!$C$4:$E$54,3,TRUE)+1)</f>
        <v>0</v>
      </c>
      <c r="R6" s="242">
        <f>IF(ISNA(VLOOKUP(G6,Lagerkapazität!$C$4:$E$54,3,TRUE)+1),0,VLOOKUP(G6,Lagerkapazität!$C$4:$E$54,3,TRUE)+1)</f>
        <v>0</v>
      </c>
      <c r="S6" s="242">
        <f>IF(ISNA(VLOOKUP(H6,Lagerkapazität!$C$4:$E$54,3,TRUE)+1),0,VLOOKUP(H6,Lagerkapazität!$C$4:$E$54,3,TRUE)+1)</f>
        <v>0</v>
      </c>
      <c r="T6" s="243">
        <f>IF(ISNA(VLOOKUP(I6,Lagerkapazität!$D$4:$E$54,2,TRUE)+1),0,VLOOKUP(I6,Lagerkapazität!$D$4:$E$54,2,TRUE)+1)</f>
        <v>0</v>
      </c>
      <c r="U6" s="60"/>
    </row>
    <row r="7" spans="2:23" ht="15" customHeight="1" x14ac:dyDescent="0.25">
      <c r="B7" s="71" t="s">
        <v>49</v>
      </c>
      <c r="C7" s="48"/>
      <c r="D7" s="54">
        <v>0</v>
      </c>
      <c r="E7" s="54">
        <f>150*(2^M7)/(M7+1)</f>
        <v>150</v>
      </c>
      <c r="F7" s="54">
        <f>350*(2^M7)/(M7+1)</f>
        <v>350</v>
      </c>
      <c r="G7" s="54">
        <v>0</v>
      </c>
      <c r="H7" s="54">
        <v>0</v>
      </c>
      <c r="I7" s="54">
        <v>0</v>
      </c>
      <c r="J7" s="55"/>
      <c r="K7" s="62">
        <f>((7000*M7)*0.9)/$W$3/86400</f>
        <v>3.472222222222222E-3</v>
      </c>
      <c r="L7" s="68"/>
      <c r="M7" s="74">
        <v>1</v>
      </c>
      <c r="N7" s="240"/>
      <c r="O7" s="241">
        <f>IF(ISNA(VLOOKUP(D7,Lagerkapazität!$C$4:$E$54,3,TRUE)+1),0,VLOOKUP(D7,Lagerkapazität!$C$4:$E$54,3,TRUE)+1)</f>
        <v>0</v>
      </c>
      <c r="P7" s="242">
        <f>IF(ISNA(VLOOKUP(E7,Lagerkapazität!$C$4:$E$54,3,TRUE)+1),0,VLOOKUP(E7,Lagerkapazität!$C$4:$E$54,3,TRUE)+1)</f>
        <v>0</v>
      </c>
      <c r="Q7" s="242">
        <f>IF(ISNA(VLOOKUP(F7,Lagerkapazität!$C$4:$E$54,3,TRUE)+1),0,VLOOKUP(F7,Lagerkapazität!$C$4:$E$54,3,TRUE)+1)</f>
        <v>0</v>
      </c>
      <c r="R7" s="242">
        <f>IF(ISNA(VLOOKUP(G7,Lagerkapazität!$C$4:$E$54,3,TRUE)+1),0,VLOOKUP(G7,Lagerkapazität!$C$4:$E$54,3,TRUE)+1)</f>
        <v>0</v>
      </c>
      <c r="S7" s="242">
        <f>IF(ISNA(VLOOKUP(H7,Lagerkapazität!$C$4:$E$54,3,TRUE)+1),0,VLOOKUP(H7,Lagerkapazität!$C$4:$E$54,3,TRUE)+1)</f>
        <v>0</v>
      </c>
      <c r="T7" s="243">
        <f>IF(ISNA(VLOOKUP(I7,Lagerkapazität!$D$4:$E$54,2,TRUE)+1),0,VLOOKUP(I7,Lagerkapazität!$D$4:$E$54,2,TRUE)+1)</f>
        <v>0</v>
      </c>
      <c r="U7" s="60"/>
    </row>
    <row r="8" spans="2:23" ht="15" customHeight="1" x14ac:dyDescent="0.25">
      <c r="B8" s="71" t="s">
        <v>50</v>
      </c>
      <c r="C8" s="48"/>
      <c r="D8" s="54">
        <f>9000*(2^M8)/(M8+1)</f>
        <v>9000</v>
      </c>
      <c r="E8" s="54">
        <f>3500*(2^M8)/(M8+1)</f>
        <v>3500</v>
      </c>
      <c r="F8" s="54">
        <v>0</v>
      </c>
      <c r="G8" s="54">
        <v>0</v>
      </c>
      <c r="H8" s="54">
        <v>0</v>
      </c>
      <c r="I8" s="54">
        <v>0</v>
      </c>
      <c r="J8" s="55"/>
      <c r="K8" s="62">
        <f>((130000*M8)*0.9)/$W$3/86400</f>
        <v>6.4484126984126991E-2</v>
      </c>
      <c r="L8" s="68"/>
      <c r="M8" s="74">
        <v>1</v>
      </c>
      <c r="N8" s="240"/>
      <c r="O8" s="241">
        <f>IF(ISNA(VLOOKUP(D8,Lagerkapazität!$C$4:$E$54,3,TRUE)+1),0,VLOOKUP(D8,Lagerkapazität!$C$4:$E$54,3,TRUE)+1)</f>
        <v>0</v>
      </c>
      <c r="P8" s="242">
        <f>IF(ISNA(VLOOKUP(E8,Lagerkapazität!$C$4:$E$54,3,TRUE)+1),0,VLOOKUP(E8,Lagerkapazität!$C$4:$E$54,3,TRUE)+1)</f>
        <v>0</v>
      </c>
      <c r="Q8" s="242">
        <f>IF(ISNA(VLOOKUP(F8,Lagerkapazität!$C$4:$E$54,3,TRUE)+1),0,VLOOKUP(F8,Lagerkapazität!$C$4:$E$54,3,TRUE)+1)</f>
        <v>0</v>
      </c>
      <c r="R8" s="242">
        <f>IF(ISNA(VLOOKUP(G8,Lagerkapazität!$C$4:$E$54,3,TRUE)+1),0,VLOOKUP(G8,Lagerkapazität!$C$4:$E$54,3,TRUE)+1)</f>
        <v>0</v>
      </c>
      <c r="S8" s="242">
        <f>IF(ISNA(VLOOKUP(H8,Lagerkapazität!$C$4:$E$54,3,TRUE)+1),0,VLOOKUP(H8,Lagerkapazität!$C$4:$E$54,3,TRUE)+1)</f>
        <v>0</v>
      </c>
      <c r="T8" s="243">
        <f>IF(ISNA(VLOOKUP(I8,Lagerkapazität!$D$4:$E$54,2,TRUE)+1),0,VLOOKUP(I8,Lagerkapazität!$D$4:$E$54,2,TRUE)+1)</f>
        <v>0</v>
      </c>
      <c r="U8" s="60"/>
    </row>
    <row r="9" spans="2:23" ht="15" customHeight="1" x14ac:dyDescent="0.25">
      <c r="B9" s="71" t="s">
        <v>51</v>
      </c>
      <c r="C9" s="48"/>
      <c r="D9" s="54">
        <v>0</v>
      </c>
      <c r="E9" s="54">
        <v>0</v>
      </c>
      <c r="F9" s="54">
        <v>0</v>
      </c>
      <c r="G9" s="54">
        <v>0</v>
      </c>
      <c r="H9" s="54">
        <f>2500*2^M9/(M9+1)</f>
        <v>2500</v>
      </c>
      <c r="I9" s="54">
        <v>0</v>
      </c>
      <c r="J9" s="55"/>
      <c r="K9" s="62">
        <f>((110000*M9)*0.9)/$W$3/3/86400</f>
        <v>1.818783068783069E-2</v>
      </c>
      <c r="L9" s="68"/>
      <c r="M9" s="74">
        <v>1</v>
      </c>
      <c r="N9" s="240"/>
      <c r="O9" s="241">
        <f>IF(ISNA(VLOOKUP(D9,Lagerkapazität!$C$4:$E$54,3,TRUE)+1),0,VLOOKUP(D9,Lagerkapazität!$C$4:$E$54,3,TRUE)+1)</f>
        <v>0</v>
      </c>
      <c r="P9" s="242">
        <f>IF(ISNA(VLOOKUP(E9,Lagerkapazität!$C$4:$E$54,3,TRUE)+1),0,VLOOKUP(E9,Lagerkapazität!$C$4:$E$54,3,TRUE)+1)</f>
        <v>0</v>
      </c>
      <c r="Q9" s="242">
        <f>IF(ISNA(VLOOKUP(F9,Lagerkapazität!$C$4:$E$54,3,TRUE)+1),0,VLOOKUP(F9,Lagerkapazität!$C$4:$E$54,3,TRUE)+1)</f>
        <v>0</v>
      </c>
      <c r="R9" s="242">
        <f>IF(ISNA(VLOOKUP(G9,Lagerkapazität!$C$4:$E$54,3,TRUE)+1),0,VLOOKUP(G9,Lagerkapazität!$C$4:$E$54,3,TRUE)+1)</f>
        <v>0</v>
      </c>
      <c r="S9" s="242">
        <f>IF(ISNA(VLOOKUP(H9,Lagerkapazität!$C$4:$E$54,3,TRUE)+1),0,VLOOKUP(H9,Lagerkapazität!$C$4:$E$54,3,TRUE)+1)</f>
        <v>0</v>
      </c>
      <c r="T9" s="243">
        <f>IF(ISNA(VLOOKUP(I9,Lagerkapazität!$D$4:$E$54,2,TRUE)+1),0,VLOOKUP(I9,Lagerkapazität!$D$4:$E$54,2,TRUE)+1)</f>
        <v>0</v>
      </c>
      <c r="U9" s="60"/>
    </row>
    <row r="10" spans="2:23" ht="15" customHeight="1" x14ac:dyDescent="0.25">
      <c r="B10" s="71" t="s">
        <v>52</v>
      </c>
      <c r="C10" s="48"/>
      <c r="D10" s="54">
        <f>2000*(2^((M10-1)/2))</f>
        <v>2000</v>
      </c>
      <c r="E10" s="54">
        <f>1000*(2^((M10-1)/2))</f>
        <v>1000</v>
      </c>
      <c r="F10" s="54">
        <v>0</v>
      </c>
      <c r="G10" s="54">
        <v>0</v>
      </c>
      <c r="H10" s="54">
        <v>0</v>
      </c>
      <c r="I10" s="54">
        <v>0</v>
      </c>
      <c r="J10" s="55"/>
      <c r="K10" s="62">
        <f>((80000*M10)*0.9)/$W$3/2/86400</f>
        <v>1.984126984126984E-2</v>
      </c>
      <c r="L10" s="68"/>
      <c r="M10" s="74">
        <v>1</v>
      </c>
      <c r="N10" s="240"/>
      <c r="O10" s="241">
        <f>IF(ISNA(VLOOKUP(D10,Lagerkapazität!$C$4:$E$54,3,TRUE)+1),0,VLOOKUP(D10,Lagerkapazität!$C$4:$E$54,3,TRUE)+1)</f>
        <v>0</v>
      </c>
      <c r="P10" s="242">
        <f>IF(ISNA(VLOOKUP(E10,Lagerkapazität!$C$4:$E$54,3,TRUE)+1),0,VLOOKUP(E10,Lagerkapazität!$C$4:$E$54,3,TRUE)+1)</f>
        <v>0</v>
      </c>
      <c r="Q10" s="242">
        <f>IF(ISNA(VLOOKUP(F10,Lagerkapazität!$C$4:$E$54,3,TRUE)+1),0,VLOOKUP(F10,Lagerkapazität!$C$4:$E$54,3,TRUE)+1)</f>
        <v>0</v>
      </c>
      <c r="R10" s="242">
        <f>IF(ISNA(VLOOKUP(G10,Lagerkapazität!$C$4:$E$54,3,TRUE)+1),0,VLOOKUP(G10,Lagerkapazität!$C$4:$E$54,3,TRUE)+1)</f>
        <v>0</v>
      </c>
      <c r="S10" s="242">
        <f>IF(ISNA(VLOOKUP(H10,Lagerkapazität!$C$4:$E$54,3,TRUE)+1),0,VLOOKUP(H10,Lagerkapazität!$C$4:$E$54,3,TRUE)+1)</f>
        <v>0</v>
      </c>
      <c r="T10" s="243">
        <f>IF(ISNA(VLOOKUP(I10,Lagerkapazität!$D$4:$E$54,2,TRUE)+1),0,VLOOKUP(I10,Lagerkapazität!$D$4:$E$54,2,TRUE)+1)</f>
        <v>0</v>
      </c>
      <c r="U10" s="60"/>
    </row>
    <row r="11" spans="2:23" ht="15" customHeight="1" x14ac:dyDescent="0.25">
      <c r="B11" s="71" t="s">
        <v>53</v>
      </c>
      <c r="C11" s="48"/>
      <c r="D11" s="54">
        <f>2000*(2^((M11-1)/2))</f>
        <v>2000</v>
      </c>
      <c r="E11" s="54">
        <f>1000*(2^((M11-1)/2))</f>
        <v>1000</v>
      </c>
      <c r="F11" s="54">
        <v>0</v>
      </c>
      <c r="G11" s="54">
        <v>0</v>
      </c>
      <c r="H11" s="54">
        <v>0</v>
      </c>
      <c r="I11" s="54">
        <v>0</v>
      </c>
      <c r="J11" s="55"/>
      <c r="K11" s="62">
        <f>((510000*M11)*0.9)/$W$3/4/86400</f>
        <v>6.324404761904763E-2</v>
      </c>
      <c r="L11" s="68"/>
      <c r="M11" s="74">
        <v>1</v>
      </c>
      <c r="N11" s="240"/>
      <c r="O11" s="241">
        <f>IF(ISNA(VLOOKUP(D11,Lagerkapazität!$C$4:$E$54,3,TRUE)+1),0,VLOOKUP(D11,Lagerkapazität!$C$4:$E$54,3,TRUE)+1)</f>
        <v>0</v>
      </c>
      <c r="P11" s="242">
        <f>IF(ISNA(VLOOKUP(E11,Lagerkapazität!$C$4:$E$54,3,TRUE)+1),0,VLOOKUP(E11,Lagerkapazität!$C$4:$E$54,3,TRUE)+1)</f>
        <v>0</v>
      </c>
      <c r="Q11" s="242">
        <f>IF(ISNA(VLOOKUP(F11,Lagerkapazität!$C$4:$E$54,3,TRUE)+1),0,VLOOKUP(F11,Lagerkapazität!$C$4:$E$54,3,TRUE)+1)</f>
        <v>0</v>
      </c>
      <c r="R11" s="242">
        <f>IF(ISNA(VLOOKUP(G11,Lagerkapazität!$C$4:$E$54,3,TRUE)+1),0,VLOOKUP(G11,Lagerkapazität!$C$4:$E$54,3,TRUE)+1)</f>
        <v>0</v>
      </c>
      <c r="S11" s="242">
        <f>IF(ISNA(VLOOKUP(H11,Lagerkapazität!$C$4:$E$54,3,TRUE)+1),0,VLOOKUP(H11,Lagerkapazität!$C$4:$E$54,3,TRUE)+1)</f>
        <v>0</v>
      </c>
      <c r="T11" s="243">
        <f>IF(ISNA(VLOOKUP(I11,Lagerkapazität!$D$4:$E$54,2,TRUE)+1),0,VLOOKUP(I11,Lagerkapazität!$D$4:$E$54,2,TRUE)+1)</f>
        <v>0</v>
      </c>
      <c r="U11" s="60"/>
    </row>
    <row r="12" spans="2:23" ht="15" customHeight="1" x14ac:dyDescent="0.25">
      <c r="B12" s="71" t="s">
        <v>54</v>
      </c>
      <c r="C12" s="48"/>
      <c r="D12" s="54">
        <v>0</v>
      </c>
      <c r="E12" s="54">
        <v>0</v>
      </c>
      <c r="F12" s="54">
        <f>4500*(M12^2)+13500</f>
        <v>18000</v>
      </c>
      <c r="G12" s="54">
        <v>0</v>
      </c>
      <c r="H12" s="54">
        <v>0</v>
      </c>
      <c r="I12" s="54">
        <f>1500*(M12^2)+4500</f>
        <v>6000</v>
      </c>
      <c r="J12" s="55"/>
      <c r="K12" s="62">
        <f>((170000*M12)*0.9)/$W$3/86400</f>
        <v>8.4325396825396817E-2</v>
      </c>
      <c r="L12" s="68"/>
      <c r="M12" s="74">
        <v>1</v>
      </c>
      <c r="N12" s="240"/>
      <c r="O12" s="241">
        <f>IF(ISNA(VLOOKUP(D12,Lagerkapazität!$C$4:$E$54,3,TRUE)+1),0,VLOOKUP(D12,Lagerkapazität!$C$4:$E$54,3,TRUE)+1)</f>
        <v>0</v>
      </c>
      <c r="P12" s="242">
        <f>IF(ISNA(VLOOKUP(E12,Lagerkapazität!$C$4:$E$54,3,TRUE)+1),0,VLOOKUP(E12,Lagerkapazität!$C$4:$E$54,3,TRUE)+1)</f>
        <v>0</v>
      </c>
      <c r="Q12" s="242">
        <f>IF(ISNA(VLOOKUP(F12,Lagerkapazität!$C$4:$E$54,3,TRUE)+1),0,VLOOKUP(F12,Lagerkapazität!$C$4:$E$54,3,TRUE)+1)</f>
        <v>2</v>
      </c>
      <c r="R12" s="242">
        <f>IF(ISNA(VLOOKUP(G12,Lagerkapazität!$C$4:$E$54,3,TRUE)+1),0,VLOOKUP(G12,Lagerkapazität!$C$4:$E$54,3,TRUE)+1)</f>
        <v>0</v>
      </c>
      <c r="S12" s="242">
        <f>IF(ISNA(VLOOKUP(H12,Lagerkapazität!$C$4:$E$54,3,TRUE)+1),0,VLOOKUP(H12,Lagerkapazität!$C$4:$E$54,3,TRUE)+1)</f>
        <v>0</v>
      </c>
      <c r="T12" s="243">
        <f>IF(ISNA(VLOOKUP(I12,Lagerkapazität!$D$4:$E$54,2,TRUE)+1),0,VLOOKUP(I12,Lagerkapazität!$D$4:$E$54,2,TRUE)+1)</f>
        <v>1</v>
      </c>
      <c r="U12" s="60"/>
      <c r="V12" s="41"/>
    </row>
    <row r="13" spans="2:23" ht="15" customHeight="1" x14ac:dyDescent="0.25">
      <c r="B13" s="72"/>
      <c r="C13" s="48"/>
      <c r="D13" s="56"/>
      <c r="E13" s="57"/>
      <c r="F13" s="56"/>
      <c r="G13" s="57"/>
      <c r="H13" s="56"/>
      <c r="I13" s="57"/>
      <c r="J13" s="55"/>
      <c r="K13" s="63"/>
      <c r="L13" s="68"/>
      <c r="M13" s="75"/>
      <c r="N13" s="240"/>
      <c r="O13" s="301"/>
      <c r="P13" s="302"/>
      <c r="Q13" s="302"/>
      <c r="R13" s="302"/>
      <c r="S13" s="302"/>
      <c r="T13" s="303"/>
      <c r="U13" s="60"/>
      <c r="V13" s="41"/>
    </row>
    <row r="14" spans="2:23" ht="15" customHeight="1" x14ac:dyDescent="0.25">
      <c r="B14" s="71" t="s">
        <v>55</v>
      </c>
      <c r="C14" s="48"/>
      <c r="D14" s="54">
        <v>0</v>
      </c>
      <c r="E14" s="54">
        <v>0</v>
      </c>
      <c r="F14" s="54">
        <f>250*2^M14/(M14+1)</f>
        <v>250</v>
      </c>
      <c r="G14" s="54">
        <v>0</v>
      </c>
      <c r="H14" s="54">
        <f>450*2^M14/(M14+1)</f>
        <v>450</v>
      </c>
      <c r="I14" s="54">
        <v>0</v>
      </c>
      <c r="J14" s="55"/>
      <c r="K14" s="62">
        <f>((210000*M14)*0.9)/$W$3/5/86400</f>
        <v>2.0833333333333332E-2</v>
      </c>
      <c r="L14" s="68"/>
      <c r="M14" s="74">
        <v>1</v>
      </c>
      <c r="N14" s="240"/>
      <c r="O14" s="241">
        <f>IF(ISNA(VLOOKUP(D14,Lagerkapazität!$C$4:$E$54,3,TRUE)+1),0,VLOOKUP(D14,Lagerkapazität!$C$4:$E$54,3,TRUE)+1)</f>
        <v>0</v>
      </c>
      <c r="P14" s="242">
        <f>IF(ISNA(VLOOKUP(E14,Lagerkapazität!$C$4:$E$54,3,TRUE)+1),0,VLOOKUP(E14,Lagerkapazität!$C$4:$E$54,3,TRUE)+1)</f>
        <v>0</v>
      </c>
      <c r="Q14" s="242">
        <f>IF(ISNA(VLOOKUP(F14,Lagerkapazität!$C$4:$E$54,3,TRUE)+1),0,VLOOKUP(F14,Lagerkapazität!$C$4:$E$54,3,TRUE)+1)</f>
        <v>0</v>
      </c>
      <c r="R14" s="242">
        <f>IF(ISNA(VLOOKUP(G14,Lagerkapazität!$C$4:$E$54,3,TRUE)+1),0,VLOOKUP(G14,Lagerkapazität!$C$4:$E$54,3,TRUE)+1)</f>
        <v>0</v>
      </c>
      <c r="S14" s="242">
        <f>IF(ISNA(VLOOKUP(H14,Lagerkapazität!$C$4:$E$54,3,TRUE)+1),0,VLOOKUP(H14,Lagerkapazität!$C$4:$E$54,3,TRUE)+1)</f>
        <v>0</v>
      </c>
      <c r="T14" s="243">
        <f>IF(ISNA(VLOOKUP(I14,Lagerkapazität!$D$4:$E$54,2,TRUE)+1),0,VLOOKUP(I14,Lagerkapazität!$D$4:$E$54,2,TRUE)+1)</f>
        <v>0</v>
      </c>
      <c r="U14" s="60"/>
    </row>
    <row r="15" spans="2:23" ht="15" customHeight="1" x14ac:dyDescent="0.25">
      <c r="B15" s="71" t="s">
        <v>56</v>
      </c>
      <c r="C15" s="48"/>
      <c r="D15" s="54">
        <v>0</v>
      </c>
      <c r="E15" s="54">
        <v>0</v>
      </c>
      <c r="F15" s="54">
        <f>1500*2^M15/(M15+1)</f>
        <v>1500</v>
      </c>
      <c r="G15" s="54">
        <f>840*2^M15/(M15+1)</f>
        <v>840</v>
      </c>
      <c r="H15" s="54">
        <v>0</v>
      </c>
      <c r="I15" s="54">
        <v>0</v>
      </c>
      <c r="J15" s="55"/>
      <c r="K15" s="62">
        <f>((950000*M15)*0.9)/$W$3/12/86400</f>
        <v>3.9269179894179898E-2</v>
      </c>
      <c r="L15" s="68"/>
      <c r="M15" s="74">
        <v>1</v>
      </c>
      <c r="N15" s="240"/>
      <c r="O15" s="241">
        <f>IF(ISNA(VLOOKUP(D15,Lagerkapazität!$C$4:$E$54,3,TRUE)+1),0,VLOOKUP(D15,Lagerkapazität!$C$4:$E$54,3,TRUE)+1)</f>
        <v>0</v>
      </c>
      <c r="P15" s="242">
        <f>IF(ISNA(VLOOKUP(E15,Lagerkapazität!$C$4:$E$54,3,TRUE)+1),0,VLOOKUP(E15,Lagerkapazität!$C$4:$E$54,3,TRUE)+1)</f>
        <v>0</v>
      </c>
      <c r="Q15" s="242">
        <f>IF(ISNA(VLOOKUP(F15,Lagerkapazität!$C$4:$E$54,3,TRUE)+1),0,VLOOKUP(F15,Lagerkapazität!$C$4:$E$54,3,TRUE)+1)</f>
        <v>0</v>
      </c>
      <c r="R15" s="242">
        <f>IF(ISNA(VLOOKUP(G15,Lagerkapazität!$C$4:$E$54,3,TRUE)+1),0,VLOOKUP(G15,Lagerkapazität!$C$4:$E$54,3,TRUE)+1)</f>
        <v>0</v>
      </c>
      <c r="S15" s="242">
        <f>IF(ISNA(VLOOKUP(H15,Lagerkapazität!$C$4:$E$54,3,TRUE)+1),0,VLOOKUP(H15,Lagerkapazität!$C$4:$E$54,3,TRUE)+1)</f>
        <v>0</v>
      </c>
      <c r="T15" s="243">
        <f>IF(ISNA(VLOOKUP(I15,Lagerkapazität!$D$4:$E$54,2,TRUE)+1),0,VLOOKUP(I15,Lagerkapazität!$D$4:$E$54,2,TRUE)+1)</f>
        <v>0</v>
      </c>
      <c r="U15" s="60"/>
    </row>
    <row r="16" spans="2:23" ht="15" customHeight="1" x14ac:dyDescent="0.25">
      <c r="B16" s="71" t="s">
        <v>57</v>
      </c>
      <c r="C16" s="48"/>
      <c r="D16" s="54">
        <f>5000*2^M16/(M16+1)</f>
        <v>5000</v>
      </c>
      <c r="E16" s="54">
        <f>1500*2^M16/(M16+1)</f>
        <v>1500</v>
      </c>
      <c r="F16" s="54">
        <v>0</v>
      </c>
      <c r="G16" s="54">
        <v>0</v>
      </c>
      <c r="H16" s="54">
        <v>0</v>
      </c>
      <c r="I16" s="54">
        <v>0</v>
      </c>
      <c r="J16" s="55"/>
      <c r="K16" s="62">
        <f>((450000*M16)*0.9)/$W$3/3/86400</f>
        <v>7.4404761904761904E-2</v>
      </c>
      <c r="L16" s="68"/>
      <c r="M16" s="74">
        <v>1</v>
      </c>
      <c r="N16" s="240"/>
      <c r="O16" s="241">
        <f>IF(ISNA(VLOOKUP(D16,Lagerkapazität!$C$4:$E$54,3,TRUE)+1),0,VLOOKUP(D16,Lagerkapazität!$C$4:$E$54,3,TRUE)+1)</f>
        <v>0</v>
      </c>
      <c r="P16" s="242">
        <f>IF(ISNA(VLOOKUP(E16,Lagerkapazität!$C$4:$E$54,3,TRUE)+1),0,VLOOKUP(E16,Lagerkapazität!$C$4:$E$54,3,TRUE)+1)</f>
        <v>0</v>
      </c>
      <c r="Q16" s="242">
        <f>IF(ISNA(VLOOKUP(F16,Lagerkapazität!$C$4:$E$54,3,TRUE)+1),0,VLOOKUP(F16,Lagerkapazität!$C$4:$E$54,3,TRUE)+1)</f>
        <v>0</v>
      </c>
      <c r="R16" s="242">
        <f>IF(ISNA(VLOOKUP(G16,Lagerkapazität!$C$4:$E$54,3,TRUE)+1),0,VLOOKUP(G16,Lagerkapazität!$C$4:$E$54,3,TRUE)+1)</f>
        <v>0</v>
      </c>
      <c r="S16" s="242">
        <f>IF(ISNA(VLOOKUP(H16,Lagerkapazität!$C$4:$E$54,3,TRUE)+1),0,VLOOKUP(H16,Lagerkapazität!$C$4:$E$54,3,TRUE)+1)</f>
        <v>0</v>
      </c>
      <c r="T16" s="243">
        <f>IF(ISNA(VLOOKUP(I16,Lagerkapazität!$D$4:$E$54,2,TRUE)+1),0,VLOOKUP(I16,Lagerkapazität!$D$4:$E$54,2,TRUE)+1)</f>
        <v>0</v>
      </c>
      <c r="U16" s="60"/>
    </row>
    <row r="17" spans="2:21" ht="15" customHeight="1" x14ac:dyDescent="0.25">
      <c r="B17" s="71" t="s">
        <v>58</v>
      </c>
      <c r="C17" s="48"/>
      <c r="D17" s="54">
        <f>1750*(2^((M17-1)/2))</f>
        <v>1750</v>
      </c>
      <c r="E17" s="54">
        <f>2000*(2^((M17-1)/2))</f>
        <v>2000</v>
      </c>
      <c r="F17" s="54">
        <v>0</v>
      </c>
      <c r="G17" s="54">
        <v>0</v>
      </c>
      <c r="H17" s="54">
        <v>0</v>
      </c>
      <c r="I17" s="54">
        <v>0</v>
      </c>
      <c r="J17" s="55"/>
      <c r="K17" s="62">
        <f>((11000*M17)*0.9)/$W$3/86400</f>
        <v>5.4563492063492069E-3</v>
      </c>
      <c r="L17" s="68"/>
      <c r="M17" s="74">
        <v>1</v>
      </c>
      <c r="N17" s="240"/>
      <c r="O17" s="241">
        <f>IF(ISNA(VLOOKUP(D17,Lagerkapazität!$C$4:$E$54,3,TRUE)+1),0,VLOOKUP(D17,Lagerkapazität!$C$4:$E$54,3,TRUE)+1)</f>
        <v>0</v>
      </c>
      <c r="P17" s="242">
        <f>IF(ISNA(VLOOKUP(E17,Lagerkapazität!$C$4:$E$54,3,TRUE)+1),0,VLOOKUP(E17,Lagerkapazität!$C$4:$E$54,3,TRUE)+1)</f>
        <v>0</v>
      </c>
      <c r="Q17" s="242">
        <f>IF(ISNA(VLOOKUP(F17,Lagerkapazität!$C$4:$E$54,3,TRUE)+1),0,VLOOKUP(F17,Lagerkapazität!$C$4:$E$54,3,TRUE)+1)</f>
        <v>0</v>
      </c>
      <c r="R17" s="242">
        <f>IF(ISNA(VLOOKUP(G17,Lagerkapazität!$C$4:$E$54,3,TRUE)+1),0,VLOOKUP(G17,Lagerkapazität!$C$4:$E$54,3,TRUE)+1)</f>
        <v>0</v>
      </c>
      <c r="S17" s="242">
        <f>IF(ISNA(VLOOKUP(H17,Lagerkapazität!$C$4:$E$54,3,TRUE)+1),0,VLOOKUP(H17,Lagerkapazität!$C$4:$E$54,3,TRUE)+1)</f>
        <v>0</v>
      </c>
      <c r="T17" s="243">
        <f>IF(ISNA(VLOOKUP(I17,Lagerkapazität!$D$4:$E$54,2,TRUE)+1),0,VLOOKUP(I17,Lagerkapazität!$D$4:$E$54,2,TRUE)+1)</f>
        <v>0</v>
      </c>
      <c r="U17" s="60"/>
    </row>
    <row r="18" spans="2:21" ht="15" customHeight="1" x14ac:dyDescent="0.25">
      <c r="B18" s="71" t="s">
        <v>59</v>
      </c>
      <c r="C18" s="48"/>
      <c r="D18" s="54">
        <f>150*(M18^2)+450</f>
        <v>600</v>
      </c>
      <c r="E18" s="54">
        <v>0</v>
      </c>
      <c r="F18" s="54">
        <f>65*(M18^2)+195</f>
        <v>260</v>
      </c>
      <c r="G18" s="54">
        <v>0</v>
      </c>
      <c r="H18" s="54">
        <v>0</v>
      </c>
      <c r="I18" s="54">
        <v>0</v>
      </c>
      <c r="J18" s="55"/>
      <c r="K18" s="62">
        <f>((9000*M18)*0.9)/$W$3/86400</f>
        <v>4.464285714285714E-3</v>
      </c>
      <c r="L18" s="68"/>
      <c r="M18" s="74">
        <v>1</v>
      </c>
      <c r="N18" s="240"/>
      <c r="O18" s="241">
        <f>IF(ISNA(VLOOKUP(D18,Lagerkapazität!$C$4:$E$54,3,TRUE)+1),0,VLOOKUP(D18,Lagerkapazität!$C$4:$E$54,3,TRUE)+1)</f>
        <v>0</v>
      </c>
      <c r="P18" s="242">
        <f>IF(ISNA(VLOOKUP(E18,Lagerkapazität!$C$4:$E$54,3,TRUE)+1),0,VLOOKUP(E18,Lagerkapazität!$C$4:$E$54,3,TRUE)+1)</f>
        <v>0</v>
      </c>
      <c r="Q18" s="242">
        <f>IF(ISNA(VLOOKUP(F18,Lagerkapazität!$C$4:$E$54,3,TRUE)+1),0,VLOOKUP(F18,Lagerkapazität!$C$4:$E$54,3,TRUE)+1)</f>
        <v>0</v>
      </c>
      <c r="R18" s="242">
        <f>IF(ISNA(VLOOKUP(G18,Lagerkapazität!$C$4:$E$54,3,TRUE)+1),0,VLOOKUP(G18,Lagerkapazität!$C$4:$E$54,3,TRUE)+1)</f>
        <v>0</v>
      </c>
      <c r="S18" s="242">
        <f>IF(ISNA(VLOOKUP(H18,Lagerkapazität!$C$4:$E$54,3,TRUE)+1),0,VLOOKUP(H18,Lagerkapazität!$C$4:$E$54,3,TRUE)+1)</f>
        <v>0</v>
      </c>
      <c r="T18" s="243">
        <f>IF(ISNA(VLOOKUP(I18,Lagerkapazität!$D$4:$E$54,2,TRUE)+1),0,VLOOKUP(I18,Lagerkapazität!$D$4:$E$54,2,TRUE)+1)</f>
        <v>0</v>
      </c>
      <c r="U18" s="60"/>
    </row>
    <row r="19" spans="2:21" ht="15" customHeight="1" x14ac:dyDescent="0.25">
      <c r="B19" s="71" t="s">
        <v>60</v>
      </c>
      <c r="C19" s="48"/>
      <c r="D19" s="54">
        <f>5000*2^M19/(M19+1)</f>
        <v>5000</v>
      </c>
      <c r="E19" s="54">
        <v>0</v>
      </c>
      <c r="F19" s="54">
        <f>5000*2^M19/(M19+1)</f>
        <v>5000</v>
      </c>
      <c r="G19" s="54">
        <v>0</v>
      </c>
      <c r="H19" s="54">
        <v>0</v>
      </c>
      <c r="I19" s="54">
        <v>0</v>
      </c>
      <c r="J19" s="55"/>
      <c r="K19" s="62">
        <f>((1000000*M19)*0.9)/$W$3/5/86400</f>
        <v>9.9206349206349201E-2</v>
      </c>
      <c r="L19" s="68"/>
      <c r="M19" s="74">
        <v>1</v>
      </c>
      <c r="N19" s="240"/>
      <c r="O19" s="241">
        <f>IF(ISNA(VLOOKUP(D19,Lagerkapazität!$C$4:$E$54,3,TRUE)+1),0,VLOOKUP(D19,Lagerkapazität!$C$4:$E$54,3,TRUE)+1)</f>
        <v>0</v>
      </c>
      <c r="P19" s="242">
        <f>IF(ISNA(VLOOKUP(E19,Lagerkapazität!$C$4:$E$54,3,TRUE)+1),0,VLOOKUP(E19,Lagerkapazität!$C$4:$E$54,3,TRUE)+1)</f>
        <v>0</v>
      </c>
      <c r="Q19" s="242">
        <f>IF(ISNA(VLOOKUP(F19,Lagerkapazität!$C$4:$E$54,3,TRUE)+1),0,VLOOKUP(F19,Lagerkapazität!$C$4:$E$54,3,TRUE)+1)</f>
        <v>0</v>
      </c>
      <c r="R19" s="242">
        <f>IF(ISNA(VLOOKUP(G19,Lagerkapazität!$C$4:$E$54,3,TRUE)+1),0,VLOOKUP(G19,Lagerkapazität!$C$4:$E$54,3,TRUE)+1)</f>
        <v>0</v>
      </c>
      <c r="S19" s="242">
        <f>IF(ISNA(VLOOKUP(H19,Lagerkapazität!$C$4:$E$54,3,TRUE)+1),0,VLOOKUP(H19,Lagerkapazität!$C$4:$E$54,3,TRUE)+1)</f>
        <v>0</v>
      </c>
      <c r="T19" s="243">
        <f>IF(ISNA(VLOOKUP(I19,Lagerkapazität!$D$4:$E$54,2,TRUE)+1),0,VLOOKUP(I19,Lagerkapazität!$D$4:$E$54,2,TRUE)+1)</f>
        <v>0</v>
      </c>
      <c r="U19" s="60"/>
    </row>
    <row r="20" spans="2:21" ht="15" customHeight="1" x14ac:dyDescent="0.25">
      <c r="B20" s="71" t="s">
        <v>61</v>
      </c>
      <c r="C20" s="48"/>
      <c r="D20" s="54">
        <v>0</v>
      </c>
      <c r="E20" s="54">
        <v>0</v>
      </c>
      <c r="F20" s="54">
        <f>1875*(2^M20)+5625</f>
        <v>9375</v>
      </c>
      <c r="G20" s="54">
        <v>0</v>
      </c>
      <c r="H20" s="54">
        <f>3500*(2^M20)+10500</f>
        <v>17500</v>
      </c>
      <c r="I20" s="54">
        <v>0</v>
      </c>
      <c r="J20" s="55"/>
      <c r="K20" s="62">
        <f>((330000*M20)*0.9)/$W$3/86400</f>
        <v>0.16369047619047619</v>
      </c>
      <c r="L20" s="68"/>
      <c r="M20" s="74">
        <v>1</v>
      </c>
      <c r="N20" s="240"/>
      <c r="O20" s="241">
        <f>IF(ISNA(VLOOKUP(D20,Lagerkapazität!$C$4:$E$54,3,TRUE)+1),0,VLOOKUP(D20,Lagerkapazität!$C$4:$E$54,3,TRUE)+1)</f>
        <v>0</v>
      </c>
      <c r="P20" s="242">
        <f>IF(ISNA(VLOOKUP(E20,Lagerkapazität!$C$4:$E$54,3,TRUE)+1),0,VLOOKUP(E20,Lagerkapazität!$C$4:$E$54,3,TRUE)+1)</f>
        <v>0</v>
      </c>
      <c r="Q20" s="242">
        <f>IF(ISNA(VLOOKUP(F20,Lagerkapazität!$C$4:$E$54,3,TRUE)+1),0,VLOOKUP(F20,Lagerkapazität!$C$4:$E$54,3,TRUE)+1)</f>
        <v>0</v>
      </c>
      <c r="R20" s="242">
        <f>IF(ISNA(VLOOKUP(G20,Lagerkapazität!$C$4:$E$54,3,TRUE)+1),0,VLOOKUP(G20,Lagerkapazität!$C$4:$E$54,3,TRUE)+1)</f>
        <v>0</v>
      </c>
      <c r="S20" s="242">
        <f>IF(ISNA(VLOOKUP(H20,Lagerkapazität!$C$4:$E$54,3,TRUE)+1),0,VLOOKUP(H20,Lagerkapazität!$C$4:$E$54,3,TRUE)+1)</f>
        <v>2</v>
      </c>
      <c r="T20" s="243">
        <f>IF(ISNA(VLOOKUP(I20,Lagerkapazität!$D$4:$E$54,2,TRUE)+1),0,VLOOKUP(I20,Lagerkapazität!$D$4:$E$54,2,TRUE)+1)</f>
        <v>0</v>
      </c>
      <c r="U20" s="60"/>
    </row>
    <row r="21" spans="2:21" ht="15" customHeight="1" x14ac:dyDescent="0.25">
      <c r="B21" s="71" t="s">
        <v>62</v>
      </c>
      <c r="C21" s="48"/>
      <c r="D21" s="54">
        <v>0</v>
      </c>
      <c r="E21" s="54">
        <v>0</v>
      </c>
      <c r="F21" s="54">
        <v>0</v>
      </c>
      <c r="G21" s="54">
        <f>3250*(M21^2)+9750</f>
        <v>13000</v>
      </c>
      <c r="H21" s="54">
        <f>1000*(M21^2)+3000</f>
        <v>4000</v>
      </c>
      <c r="I21" s="54">
        <v>0</v>
      </c>
      <c r="J21" s="55"/>
      <c r="K21" s="62">
        <f>((500000*M21)*0.9)/$W$3/86400</f>
        <v>0.248015873015873</v>
      </c>
      <c r="L21" s="68"/>
      <c r="M21" s="74">
        <v>1</v>
      </c>
      <c r="N21" s="240"/>
      <c r="O21" s="241">
        <f>IF(ISNA(VLOOKUP(D21,Lagerkapazität!$C$4:$E$54,3,TRUE)+1),0,VLOOKUP(D21,Lagerkapazität!$C$4:$E$54,3,TRUE)+1)</f>
        <v>0</v>
      </c>
      <c r="P21" s="242">
        <f>IF(ISNA(VLOOKUP(E21,Lagerkapazität!$C$4:$E$54,3,TRUE)+1),0,VLOOKUP(E21,Lagerkapazität!$C$4:$E$54,3,TRUE)+1)</f>
        <v>0</v>
      </c>
      <c r="Q21" s="242">
        <f>IF(ISNA(VLOOKUP(F21,Lagerkapazität!$C$4:$E$54,3,TRUE)+1),0,VLOOKUP(F21,Lagerkapazität!$C$4:$E$54,3,TRUE)+1)</f>
        <v>0</v>
      </c>
      <c r="R21" s="242">
        <f>IF(ISNA(VLOOKUP(G21,Lagerkapazität!$C$4:$E$54,3,TRUE)+1),0,VLOOKUP(G21,Lagerkapazität!$C$4:$E$54,3,TRUE)+1)</f>
        <v>1</v>
      </c>
      <c r="S21" s="242">
        <f>IF(ISNA(VLOOKUP(H21,Lagerkapazität!$C$4:$E$54,3,TRUE)+1),0,VLOOKUP(H21,Lagerkapazität!$C$4:$E$54,3,TRUE)+1)</f>
        <v>0</v>
      </c>
      <c r="T21" s="243">
        <f>IF(ISNA(VLOOKUP(I21,Lagerkapazität!$D$4:$E$54,2,TRUE)+1),0,VLOOKUP(I21,Lagerkapazität!$D$4:$E$54,2,TRUE)+1)</f>
        <v>0</v>
      </c>
      <c r="U21" s="60"/>
    </row>
    <row r="22" spans="2:21" ht="15" customHeight="1" x14ac:dyDescent="0.25">
      <c r="B22" s="71" t="s">
        <v>63</v>
      </c>
      <c r="C22" s="48"/>
      <c r="D22" s="54">
        <f>3000*(M22^2)+9000</f>
        <v>12000</v>
      </c>
      <c r="E22" s="54">
        <f>5000*(M22^2)+15000</f>
        <v>20000</v>
      </c>
      <c r="F22" s="54">
        <v>0</v>
      </c>
      <c r="G22" s="54">
        <v>0</v>
      </c>
      <c r="H22" s="54">
        <v>0</v>
      </c>
      <c r="I22" s="54">
        <v>0</v>
      </c>
      <c r="J22" s="55"/>
      <c r="K22" s="62">
        <f>((160000*M22)*0.9)/$W$3/86400</f>
        <v>7.9365079365079361E-2</v>
      </c>
      <c r="L22" s="68"/>
      <c r="M22" s="74">
        <v>1</v>
      </c>
      <c r="N22" s="240"/>
      <c r="O22" s="241">
        <f>IF(ISNA(VLOOKUP(D22,Lagerkapazität!$C$4:$E$54,3,TRUE)+1),0,VLOOKUP(D22,Lagerkapazität!$C$4:$E$54,3,TRUE)+1)</f>
        <v>1</v>
      </c>
      <c r="P22" s="242">
        <f>IF(ISNA(VLOOKUP(E22,Lagerkapazität!$C$4:$E$54,3,TRUE)+1),0,VLOOKUP(E22,Lagerkapazität!$C$4:$E$54,3,TRUE)+1)</f>
        <v>2</v>
      </c>
      <c r="Q22" s="242">
        <f>IF(ISNA(VLOOKUP(F22,Lagerkapazität!$C$4:$E$54,3,TRUE)+1),0,VLOOKUP(F22,Lagerkapazität!$C$4:$E$54,3,TRUE)+1)</f>
        <v>0</v>
      </c>
      <c r="R22" s="242">
        <f>IF(ISNA(VLOOKUP(G22,Lagerkapazität!$C$4:$E$54,3,TRUE)+1),0,VLOOKUP(G22,Lagerkapazität!$C$4:$E$54,3,TRUE)+1)</f>
        <v>0</v>
      </c>
      <c r="S22" s="242">
        <f>IF(ISNA(VLOOKUP(H22,Lagerkapazität!$C$4:$E$54,3,TRUE)+1),0,VLOOKUP(H22,Lagerkapazität!$C$4:$E$54,3,TRUE)+1)</f>
        <v>0</v>
      </c>
      <c r="T22" s="243">
        <f>IF(ISNA(VLOOKUP(I22,Lagerkapazität!$D$4:$E$54,2,TRUE)+1),0,VLOOKUP(I22,Lagerkapazität!$D$4:$E$54,2,TRUE)+1)</f>
        <v>0</v>
      </c>
      <c r="U22" s="60"/>
    </row>
    <row r="23" spans="2:21" ht="15" customHeight="1" x14ac:dyDescent="0.25">
      <c r="B23" s="71" t="s">
        <v>64</v>
      </c>
      <c r="C23" s="48"/>
      <c r="D23" s="54">
        <f>7500*(M23^2)+22500</f>
        <v>30000</v>
      </c>
      <c r="E23" s="54">
        <f>3000*(M23^2)+9000</f>
        <v>12000</v>
      </c>
      <c r="F23" s="54">
        <v>0</v>
      </c>
      <c r="G23" s="54">
        <v>0</v>
      </c>
      <c r="H23" s="54">
        <v>0</v>
      </c>
      <c r="I23" s="54">
        <v>0</v>
      </c>
      <c r="J23" s="55"/>
      <c r="K23" s="62">
        <f>((230000*M23)*0.9)/$W$3/86400</f>
        <v>0.11408730158730158</v>
      </c>
      <c r="L23" s="68"/>
      <c r="M23" s="74">
        <v>1</v>
      </c>
      <c r="N23" s="240"/>
      <c r="O23" s="241">
        <f>IF(ISNA(VLOOKUP(D23,Lagerkapazität!$C$4:$E$54,3,TRUE)+1),0,VLOOKUP(D23,Lagerkapazität!$C$4:$E$54,3,TRUE)+1)</f>
        <v>3</v>
      </c>
      <c r="P23" s="242">
        <f>IF(ISNA(VLOOKUP(E23,Lagerkapazität!$C$4:$E$54,3,TRUE)+1),0,VLOOKUP(E23,Lagerkapazität!$C$4:$E$54,3,TRUE)+1)</f>
        <v>1</v>
      </c>
      <c r="Q23" s="242">
        <f>IF(ISNA(VLOOKUP(F23,Lagerkapazität!$C$4:$E$54,3,TRUE)+1),0,VLOOKUP(F23,Lagerkapazität!$C$4:$E$54,3,TRUE)+1)</f>
        <v>0</v>
      </c>
      <c r="R23" s="242">
        <f>IF(ISNA(VLOOKUP(G23,Lagerkapazität!$C$4:$E$54,3,TRUE)+1),0,VLOOKUP(G23,Lagerkapazität!$C$4:$E$54,3,TRUE)+1)</f>
        <v>0</v>
      </c>
      <c r="S23" s="242">
        <f>IF(ISNA(VLOOKUP(H23,Lagerkapazität!$C$4:$E$54,3,TRUE)+1),0,VLOOKUP(H23,Lagerkapazität!$C$4:$E$54,3,TRUE)+1)</f>
        <v>0</v>
      </c>
      <c r="T23" s="243">
        <f>IF(ISNA(VLOOKUP(I23,Lagerkapazität!$D$4:$E$54,2,TRUE)+1),0,VLOOKUP(I23,Lagerkapazität!$D$4:$E$54,2,TRUE)+1)</f>
        <v>0</v>
      </c>
      <c r="U23" s="60"/>
    </row>
    <row r="24" spans="2:21" ht="15" customHeight="1" x14ac:dyDescent="0.25">
      <c r="B24" s="71" t="s">
        <v>65</v>
      </c>
      <c r="C24" s="48"/>
      <c r="D24" s="54">
        <v>0</v>
      </c>
      <c r="E24" s="54">
        <v>0</v>
      </c>
      <c r="F24" s="54">
        <f>2500*(M24^2)+7500</f>
        <v>10000</v>
      </c>
      <c r="G24" s="54">
        <v>0</v>
      </c>
      <c r="H24" s="54">
        <f>3750*(M24^2)+11250</f>
        <v>15000</v>
      </c>
      <c r="I24" s="54">
        <v>0</v>
      </c>
      <c r="J24" s="55"/>
      <c r="K24" s="62">
        <f>((400000*M24)*0.9)/$W$3/86400</f>
        <v>0.1984126984126984</v>
      </c>
      <c r="L24" s="68"/>
      <c r="M24" s="74">
        <v>1</v>
      </c>
      <c r="N24" s="240"/>
      <c r="O24" s="241">
        <f>IF(ISNA(VLOOKUP(D24,Lagerkapazität!$C$4:$E$54,3,TRUE)+1),0,VLOOKUP(D24,Lagerkapazität!$C$4:$E$54,3,TRUE)+1)</f>
        <v>0</v>
      </c>
      <c r="P24" s="242">
        <f>IF(ISNA(VLOOKUP(E24,Lagerkapazität!$C$4:$E$54,3,TRUE)+1),0,VLOOKUP(E24,Lagerkapazität!$C$4:$E$54,3,TRUE)+1)</f>
        <v>0</v>
      </c>
      <c r="Q24" s="242">
        <f>IF(ISNA(VLOOKUP(F24,Lagerkapazität!$C$4:$E$54,3,TRUE)+1),0,VLOOKUP(F24,Lagerkapazität!$C$4:$E$54,3,TRUE)+1)</f>
        <v>1</v>
      </c>
      <c r="R24" s="242">
        <f>IF(ISNA(VLOOKUP(G24,Lagerkapazität!$C$4:$E$54,3,TRUE)+1),0,VLOOKUP(G24,Lagerkapazität!$C$4:$E$54,3,TRUE)+1)</f>
        <v>0</v>
      </c>
      <c r="S24" s="242">
        <f>IF(ISNA(VLOOKUP(H24,Lagerkapazität!$C$4:$E$54,3,TRUE)+1),0,VLOOKUP(H24,Lagerkapazität!$C$4:$E$54,3,TRUE)+1)</f>
        <v>1</v>
      </c>
      <c r="T24" s="243">
        <f>IF(ISNA(VLOOKUP(I24,Lagerkapazität!$D$4:$E$54,2,TRUE)+1),0,VLOOKUP(I24,Lagerkapazität!$D$4:$E$54,2,TRUE)+1)</f>
        <v>0</v>
      </c>
      <c r="U24" s="60"/>
    </row>
    <row r="25" spans="2:21" ht="15" customHeight="1" x14ac:dyDescent="0.25">
      <c r="B25" s="71" t="s">
        <v>66</v>
      </c>
      <c r="C25" s="48"/>
      <c r="D25" s="54">
        <f>2500*(M25^2)+7500</f>
        <v>10000</v>
      </c>
      <c r="E25" s="54">
        <f>10000*(M25^2)+30000</f>
        <v>40000</v>
      </c>
      <c r="F25" s="54">
        <v>0</v>
      </c>
      <c r="G25" s="54">
        <v>0</v>
      </c>
      <c r="H25" s="54">
        <v>0</v>
      </c>
      <c r="I25" s="54">
        <v>0</v>
      </c>
      <c r="J25" s="55"/>
      <c r="K25" s="62">
        <f>((490000*M25)*0.9)/$W$3/86400</f>
        <v>0.24305555555555555</v>
      </c>
      <c r="L25" s="68"/>
      <c r="M25" s="74">
        <v>1</v>
      </c>
      <c r="N25" s="240"/>
      <c r="O25" s="241">
        <f>IF(ISNA(VLOOKUP(D25,Lagerkapazität!$C$4:$E$54,3,TRUE)+1),0,VLOOKUP(D25,Lagerkapazität!$C$4:$E$54,3,TRUE)+1)</f>
        <v>1</v>
      </c>
      <c r="P25" s="242">
        <f>IF(ISNA(VLOOKUP(E25,Lagerkapazität!$C$4:$E$54,3,TRUE)+1),0,VLOOKUP(E25,Lagerkapazität!$C$4:$E$54,3,TRUE)+1)</f>
        <v>4</v>
      </c>
      <c r="Q25" s="242">
        <f>IF(ISNA(VLOOKUP(F25,Lagerkapazität!$C$4:$E$54,3,TRUE)+1),0,VLOOKUP(F25,Lagerkapazität!$C$4:$E$54,3,TRUE)+1)</f>
        <v>0</v>
      </c>
      <c r="R25" s="242">
        <f>IF(ISNA(VLOOKUP(G25,Lagerkapazität!$C$4:$E$54,3,TRUE)+1),0,VLOOKUP(G25,Lagerkapazität!$C$4:$E$54,3,TRUE)+1)</f>
        <v>0</v>
      </c>
      <c r="S25" s="242">
        <f>IF(ISNA(VLOOKUP(H25,Lagerkapazität!$C$4:$E$54,3,TRUE)+1),0,VLOOKUP(H25,Lagerkapazität!$C$4:$E$54,3,TRUE)+1)</f>
        <v>0</v>
      </c>
      <c r="T25" s="243">
        <f>IF(ISNA(VLOOKUP(I25,Lagerkapazität!$D$4:$E$54,2,TRUE)+1),0,VLOOKUP(I25,Lagerkapazität!$D$4:$E$54,2,TRUE)+1)</f>
        <v>0</v>
      </c>
      <c r="U25" s="60"/>
    </row>
    <row r="26" spans="2:21" ht="15" customHeight="1" x14ac:dyDescent="0.25">
      <c r="B26" s="71" t="s">
        <v>67</v>
      </c>
      <c r="C26" s="48"/>
      <c r="D26" s="54">
        <f>1250*(M26^2)+3750</f>
        <v>5000</v>
      </c>
      <c r="E26" s="54">
        <f>5000*(M26^2)+15000</f>
        <v>20000</v>
      </c>
      <c r="F26" s="54">
        <f>3000*(M26^2)+9000</f>
        <v>12000</v>
      </c>
      <c r="G26" s="54">
        <v>0</v>
      </c>
      <c r="H26" s="54">
        <v>0</v>
      </c>
      <c r="I26" s="54">
        <v>0</v>
      </c>
      <c r="J26" s="55"/>
      <c r="K26" s="62">
        <f>((320000*M26)*0.9)/$W$3/86400</f>
        <v>0.15873015873015872</v>
      </c>
      <c r="L26" s="68"/>
      <c r="M26" s="74">
        <v>1</v>
      </c>
      <c r="N26" s="240"/>
      <c r="O26" s="241">
        <f>IF(ISNA(VLOOKUP(D26,Lagerkapazität!$C$4:$E$54,3,TRUE)+1),0,VLOOKUP(D26,Lagerkapazität!$C$4:$E$54,3,TRUE)+1)</f>
        <v>0</v>
      </c>
      <c r="P26" s="242">
        <f>IF(ISNA(VLOOKUP(E26,Lagerkapazität!$C$4:$E$54,3,TRUE)+1),0,VLOOKUP(E26,Lagerkapazität!$C$4:$E$54,3,TRUE)+1)</f>
        <v>2</v>
      </c>
      <c r="Q26" s="242">
        <f>IF(ISNA(VLOOKUP(F26,Lagerkapazität!$C$4:$E$54,3,TRUE)+1),0,VLOOKUP(F26,Lagerkapazität!$C$4:$E$54,3,TRUE)+1)</f>
        <v>1</v>
      </c>
      <c r="R26" s="242">
        <f>IF(ISNA(VLOOKUP(G26,Lagerkapazität!$C$4:$E$54,3,TRUE)+1),0,VLOOKUP(G26,Lagerkapazität!$C$4:$E$54,3,TRUE)+1)</f>
        <v>0</v>
      </c>
      <c r="S26" s="242">
        <f>IF(ISNA(VLOOKUP(H26,Lagerkapazität!$C$4:$E$54,3,TRUE)+1),0,VLOOKUP(H26,Lagerkapazität!$C$4:$E$54,3,TRUE)+1)</f>
        <v>0</v>
      </c>
      <c r="T26" s="243">
        <f>IF(ISNA(VLOOKUP(I26,Lagerkapazität!$D$4:$E$54,2,TRUE)+1),0,VLOOKUP(I26,Lagerkapazität!$D$4:$E$54,2,TRUE)+1)</f>
        <v>0</v>
      </c>
      <c r="U26" s="60"/>
    </row>
    <row r="27" spans="2:21" ht="15" customHeight="1" x14ac:dyDescent="0.25">
      <c r="B27" s="71" t="s">
        <v>68</v>
      </c>
      <c r="C27" s="48"/>
      <c r="D27" s="54">
        <f>2500*(2^M27)+7500</f>
        <v>12500</v>
      </c>
      <c r="E27" s="54">
        <v>0</v>
      </c>
      <c r="F27" s="54">
        <v>0</v>
      </c>
      <c r="G27" s="54">
        <f>12500*(2^M27)+37500</f>
        <v>62500</v>
      </c>
      <c r="H27" s="54">
        <f>4500*(2^M27)+13500</f>
        <v>22500</v>
      </c>
      <c r="I27" s="54">
        <v>0</v>
      </c>
      <c r="J27" s="55"/>
      <c r="K27" s="62">
        <f>((380000*M27)*0.9)/$W$3/86400</f>
        <v>0.18849206349206349</v>
      </c>
      <c r="L27" s="68"/>
      <c r="M27" s="74">
        <v>1</v>
      </c>
      <c r="N27" s="240"/>
      <c r="O27" s="241">
        <f>IF(ISNA(VLOOKUP(D27,Lagerkapazität!$C$4:$E$54,3,TRUE)+1),0,VLOOKUP(D27,Lagerkapazität!$C$4:$E$54,3,TRUE)+1)</f>
        <v>1</v>
      </c>
      <c r="P27" s="242">
        <f>IF(ISNA(VLOOKUP(E27,Lagerkapazität!$C$4:$E$54,3,TRUE)+1),0,VLOOKUP(E27,Lagerkapazität!$C$4:$E$54,3,TRUE)+1)</f>
        <v>0</v>
      </c>
      <c r="Q27" s="242">
        <f>IF(ISNA(VLOOKUP(F27,Lagerkapazität!$C$4:$E$54,3,TRUE)+1),0,VLOOKUP(F27,Lagerkapazität!$C$4:$E$54,3,TRUE)+1)</f>
        <v>0</v>
      </c>
      <c r="R27" s="242">
        <f>IF(ISNA(VLOOKUP(G27,Lagerkapazität!$C$4:$E$54,3,TRUE)+1),0,VLOOKUP(G27,Lagerkapazität!$C$4:$E$54,3,TRUE)+1)</f>
        <v>5</v>
      </c>
      <c r="S27" s="242">
        <f>IF(ISNA(VLOOKUP(H27,Lagerkapazität!$C$4:$E$54,3,TRUE)+1),0,VLOOKUP(H27,Lagerkapazität!$C$4:$E$54,3,TRUE)+1)</f>
        <v>2</v>
      </c>
      <c r="T27" s="243">
        <f>IF(ISNA(VLOOKUP(I27,Lagerkapazität!$D$4:$E$54,2,TRUE)+1),0,VLOOKUP(I27,Lagerkapazität!$D$4:$E$54,2,TRUE)+1)</f>
        <v>0</v>
      </c>
      <c r="U27" s="60"/>
    </row>
    <row r="28" spans="2:21" ht="15" customHeight="1" x14ac:dyDescent="0.25">
      <c r="B28" s="71" t="s">
        <v>69</v>
      </c>
      <c r="C28" s="48"/>
      <c r="D28" s="54">
        <f>8750*(M28^2)+26250</f>
        <v>35000</v>
      </c>
      <c r="E28" s="54">
        <v>0</v>
      </c>
      <c r="F28" s="54">
        <f>8750*(M28^2)+26250</f>
        <v>35000</v>
      </c>
      <c r="G28" s="54">
        <v>0</v>
      </c>
      <c r="H28" s="54">
        <v>0</v>
      </c>
      <c r="I28" s="54">
        <v>0</v>
      </c>
      <c r="J28" s="55"/>
      <c r="K28" s="62">
        <f>((460000*M28)*0.9)/$W$3/86400</f>
        <v>0.22817460317460317</v>
      </c>
      <c r="L28" s="68"/>
      <c r="M28" s="74">
        <v>1</v>
      </c>
      <c r="N28" s="240"/>
      <c r="O28" s="241">
        <f>IF(ISNA(VLOOKUP(D28,Lagerkapazität!$C$4:$E$54,3,TRUE)+1),0,VLOOKUP(D28,Lagerkapazität!$C$4:$E$54,3,TRUE)+1)</f>
        <v>3</v>
      </c>
      <c r="P28" s="242">
        <f>IF(ISNA(VLOOKUP(E28,Lagerkapazität!$C$4:$E$54,3,TRUE)+1),0,VLOOKUP(E28,Lagerkapazität!$C$4:$E$54,3,TRUE)+1)</f>
        <v>0</v>
      </c>
      <c r="Q28" s="242">
        <f>IF(ISNA(VLOOKUP(F28,Lagerkapazität!$C$4:$E$54,3,TRUE)+1),0,VLOOKUP(F28,Lagerkapazität!$C$4:$E$54,3,TRUE)+1)</f>
        <v>3</v>
      </c>
      <c r="R28" s="242">
        <f>IF(ISNA(VLOOKUP(G28,Lagerkapazität!$C$4:$E$54,3,TRUE)+1),0,VLOOKUP(G28,Lagerkapazität!$C$4:$E$54,3,TRUE)+1)</f>
        <v>0</v>
      </c>
      <c r="S28" s="242">
        <f>IF(ISNA(VLOOKUP(H28,Lagerkapazität!$C$4:$E$54,3,TRUE)+1),0,VLOOKUP(H28,Lagerkapazität!$C$4:$E$54,3,TRUE)+1)</f>
        <v>0</v>
      </c>
      <c r="T28" s="243">
        <f>IF(ISNA(VLOOKUP(I28,Lagerkapazität!$D$4:$E$54,2,TRUE)+1),0,VLOOKUP(I28,Lagerkapazität!$D$4:$E$54,2,TRUE)+1)</f>
        <v>0</v>
      </c>
      <c r="U28" s="60"/>
    </row>
    <row r="29" spans="2:21" ht="15" customHeight="1" x14ac:dyDescent="0.25">
      <c r="B29" s="71" t="s">
        <v>70</v>
      </c>
      <c r="C29" s="48"/>
      <c r="D29" s="54">
        <f>20000*(M29^2)+60000</f>
        <v>80000</v>
      </c>
      <c r="E29" s="54">
        <v>0</v>
      </c>
      <c r="F29" s="54">
        <v>0</v>
      </c>
      <c r="G29" s="54">
        <f>45000*(M29^2)+135000</f>
        <v>180000</v>
      </c>
      <c r="H29" s="54">
        <f>30000*(M29^2)+90000</f>
        <v>120000</v>
      </c>
      <c r="I29" s="54">
        <f>10000*(M29^2)+30000</f>
        <v>40000</v>
      </c>
      <c r="J29" s="55"/>
      <c r="K29" s="62">
        <f>((900000*M29)*0.9)/$W$3/86400</f>
        <v>0.44642857142857145</v>
      </c>
      <c r="L29" s="68"/>
      <c r="M29" s="74">
        <v>1</v>
      </c>
      <c r="N29" s="240"/>
      <c r="O29" s="241">
        <f>IF(ISNA(VLOOKUP(D29,Lagerkapazität!$C$4:$E$54,3,TRUE)+1),0,VLOOKUP(D29,Lagerkapazität!$C$4:$E$54,3,TRUE)+1)</f>
        <v>5</v>
      </c>
      <c r="P29" s="242">
        <f>IF(ISNA(VLOOKUP(E29,Lagerkapazität!$C$4:$E$54,3,TRUE)+1),0,VLOOKUP(E29,Lagerkapazität!$C$4:$E$54,3,TRUE)+1)</f>
        <v>0</v>
      </c>
      <c r="Q29" s="242">
        <f>IF(ISNA(VLOOKUP(F29,Lagerkapazität!$C$4:$E$54,3,TRUE)+1),0,VLOOKUP(F29,Lagerkapazität!$C$4:$E$54,3,TRUE)+1)</f>
        <v>0</v>
      </c>
      <c r="R29" s="242">
        <f>IF(ISNA(VLOOKUP(G29,Lagerkapazität!$C$4:$E$54,3,TRUE)+1),0,VLOOKUP(G29,Lagerkapazität!$C$4:$E$54,3,TRUE)+1)</f>
        <v>8</v>
      </c>
      <c r="S29" s="242">
        <f>IF(ISNA(VLOOKUP(H29,Lagerkapazität!$C$4:$E$54,3,TRUE)+1),0,VLOOKUP(H29,Lagerkapazität!$C$4:$E$54,3,TRUE)+1)</f>
        <v>7</v>
      </c>
      <c r="T29" s="243">
        <f>IF(ISNA(VLOOKUP(I29,Lagerkapazität!$D$4:$E$54,2,TRUE)+1),0,VLOOKUP(I29,Lagerkapazität!$D$4:$E$54,2,TRUE)+1)</f>
        <v>4</v>
      </c>
      <c r="U29" s="60"/>
    </row>
    <row r="30" spans="2:21" ht="15" customHeight="1" x14ac:dyDescent="0.25">
      <c r="B30" s="71" t="s">
        <v>71</v>
      </c>
      <c r="C30" s="48"/>
      <c r="D30" s="54">
        <f>7500*(M30^2)+22500</f>
        <v>30000</v>
      </c>
      <c r="E30" s="54">
        <f>30000*(M30^2)+90000</f>
        <v>120000</v>
      </c>
      <c r="F30" s="54">
        <f>18750*(M30^2)+56250</f>
        <v>75000</v>
      </c>
      <c r="G30" s="54">
        <v>0</v>
      </c>
      <c r="H30" s="54">
        <v>0</v>
      </c>
      <c r="I30" s="54">
        <v>0</v>
      </c>
      <c r="J30" s="55"/>
      <c r="K30" s="62">
        <f>((520000*M30)*0.9)/$W$3/2/86400</f>
        <v>0.12896825396825398</v>
      </c>
      <c r="L30" s="68"/>
      <c r="M30" s="74">
        <v>1</v>
      </c>
      <c r="N30" s="240"/>
      <c r="O30" s="241">
        <f>IF(ISNA(VLOOKUP(D30,Lagerkapazität!$C$4:$E$54,3,TRUE)+1),0,VLOOKUP(D30,Lagerkapazität!$C$4:$E$54,3,TRUE)+1)</f>
        <v>3</v>
      </c>
      <c r="P30" s="242">
        <f>IF(ISNA(VLOOKUP(E30,Lagerkapazität!$C$4:$E$54,3,TRUE)+1),0,VLOOKUP(E30,Lagerkapazität!$C$4:$E$54,3,TRUE)+1)</f>
        <v>7</v>
      </c>
      <c r="Q30" s="242">
        <f>IF(ISNA(VLOOKUP(F30,Lagerkapazität!$C$4:$E$54,3,TRUE)+1),0,VLOOKUP(F30,Lagerkapazität!$C$4:$E$54,3,TRUE)+1)</f>
        <v>5</v>
      </c>
      <c r="R30" s="242">
        <f>IF(ISNA(VLOOKUP(G30,Lagerkapazität!$C$4:$E$54,3,TRUE)+1),0,VLOOKUP(G30,Lagerkapazität!$C$4:$E$54,3,TRUE)+1)</f>
        <v>0</v>
      </c>
      <c r="S30" s="242">
        <f>IF(ISNA(VLOOKUP(H30,Lagerkapazität!$C$4:$E$54,3,TRUE)+1),0,VLOOKUP(H30,Lagerkapazität!$C$4:$E$54,3,TRUE)+1)</f>
        <v>0</v>
      </c>
      <c r="T30" s="243">
        <f>IF(ISNA(VLOOKUP(I30,Lagerkapazität!$D$4:$E$54,2,TRUE)+1),0,VLOOKUP(I30,Lagerkapazität!$D$4:$E$54,2,TRUE)+1)</f>
        <v>0</v>
      </c>
      <c r="U30" s="60"/>
    </row>
    <row r="31" spans="2:21" ht="15" customHeight="1" x14ac:dyDescent="0.25">
      <c r="B31" s="72"/>
      <c r="C31" s="48"/>
      <c r="D31" s="56"/>
      <c r="E31" s="57"/>
      <c r="F31" s="56"/>
      <c r="G31" s="57"/>
      <c r="H31" s="56"/>
      <c r="I31" s="57"/>
      <c r="J31" s="55"/>
      <c r="K31" s="63"/>
      <c r="L31" s="68"/>
      <c r="M31" s="75"/>
      <c r="N31" s="240"/>
      <c r="O31" s="301"/>
      <c r="P31" s="302"/>
      <c r="Q31" s="302"/>
      <c r="R31" s="302"/>
      <c r="S31" s="302"/>
      <c r="T31" s="303"/>
      <c r="U31" s="60"/>
    </row>
    <row r="32" spans="2:21" ht="15" customHeight="1" x14ac:dyDescent="0.25">
      <c r="B32" s="71" t="s">
        <v>72</v>
      </c>
      <c r="C32" s="48"/>
      <c r="D32" s="54">
        <v>0</v>
      </c>
      <c r="E32" s="54">
        <f>560*(2^((M32-1)/2))</f>
        <v>560</v>
      </c>
      <c r="F32" s="54">
        <v>0</v>
      </c>
      <c r="G32" s="54">
        <f>1800*(2^((M32-1)/2))</f>
        <v>1800</v>
      </c>
      <c r="H32" s="54">
        <f>750*(2^((M32-1)/2))</f>
        <v>750</v>
      </c>
      <c r="I32" s="54">
        <v>0</v>
      </c>
      <c r="J32" s="55"/>
      <c r="K32" s="62">
        <f>((140000*M32)*0.9)/$W$3/2/86400</f>
        <v>3.4722222222222224E-2</v>
      </c>
      <c r="L32" s="68"/>
      <c r="M32" s="74">
        <v>1</v>
      </c>
      <c r="N32" s="240"/>
      <c r="O32" s="241">
        <f>IF(ISNA(VLOOKUP(D32,Lagerkapazität!$C$4:$E$54,3,TRUE)+1),0,VLOOKUP(D32,Lagerkapazität!$C$4:$E$54,3,TRUE)+1)</f>
        <v>0</v>
      </c>
      <c r="P32" s="242">
        <f>IF(ISNA(VLOOKUP(E32,Lagerkapazität!$C$4:$E$54,3,TRUE)+1),0,VLOOKUP(E32,Lagerkapazität!$C$4:$E$54,3,TRUE)+1)</f>
        <v>0</v>
      </c>
      <c r="Q32" s="242">
        <f>IF(ISNA(VLOOKUP(F32,Lagerkapazität!$C$4:$E$54,3,TRUE)+1),0,VLOOKUP(F32,Lagerkapazität!$C$4:$E$54,3,TRUE)+1)</f>
        <v>0</v>
      </c>
      <c r="R32" s="242">
        <f>IF(ISNA(VLOOKUP(G32,Lagerkapazität!$C$4:$E$54,3,TRUE)+1),0,VLOOKUP(G32,Lagerkapazität!$C$4:$E$54,3,TRUE)+1)</f>
        <v>0</v>
      </c>
      <c r="S32" s="242">
        <f>IF(ISNA(VLOOKUP(H32,Lagerkapazität!$C$4:$E$54,3,TRUE)+1),0,VLOOKUP(H32,Lagerkapazität!$C$4:$E$54,3,TRUE)+1)</f>
        <v>0</v>
      </c>
      <c r="T32" s="243">
        <f>IF(ISNA(VLOOKUP(I32,Lagerkapazität!$D$4:$E$54,2,TRUE)+1),0,VLOOKUP(I32,Lagerkapazität!$D$4:$E$54,2,TRUE)+1)</f>
        <v>0</v>
      </c>
      <c r="U32" s="60"/>
    </row>
    <row r="33" spans="2:23" ht="15" customHeight="1" x14ac:dyDescent="0.25">
      <c r="B33" s="71" t="s">
        <v>73</v>
      </c>
      <c r="C33" s="48"/>
      <c r="D33" s="54">
        <v>0</v>
      </c>
      <c r="E33" s="54">
        <v>0</v>
      </c>
      <c r="F33" s="54">
        <f>2100*(2^((M33-1)/2))</f>
        <v>2100</v>
      </c>
      <c r="G33" s="54">
        <v>0</v>
      </c>
      <c r="H33" s="54">
        <f>1300*(2^((M33-1)/2))</f>
        <v>1300</v>
      </c>
      <c r="I33" s="54">
        <v>0</v>
      </c>
      <c r="J33" s="55"/>
      <c r="K33" s="62">
        <f>((80000*M33)*0.9)/$W$3/86400</f>
        <v>3.968253968253968E-2</v>
      </c>
      <c r="L33" s="68"/>
      <c r="M33" s="74">
        <v>1</v>
      </c>
      <c r="N33" s="240"/>
      <c r="O33" s="241">
        <f>IF(ISNA(VLOOKUP(D33,Lagerkapazität!$C$4:$E$54,3,TRUE)+1),0,VLOOKUP(D33,Lagerkapazität!$C$4:$E$54,3,TRUE)+1)</f>
        <v>0</v>
      </c>
      <c r="P33" s="242">
        <f>IF(ISNA(VLOOKUP(E33,Lagerkapazität!$C$4:$E$54,3,TRUE)+1),0,VLOOKUP(E33,Lagerkapazität!$C$4:$E$54,3,TRUE)+1)</f>
        <v>0</v>
      </c>
      <c r="Q33" s="242">
        <f>IF(ISNA(VLOOKUP(F33,Lagerkapazität!$C$4:$E$54,3,TRUE)+1),0,VLOOKUP(F33,Lagerkapazität!$C$4:$E$54,3,TRUE)+1)</f>
        <v>0</v>
      </c>
      <c r="R33" s="242">
        <f>IF(ISNA(VLOOKUP(G33,Lagerkapazität!$C$4:$E$54,3,TRUE)+1),0,VLOOKUP(G33,Lagerkapazität!$C$4:$E$54,3,TRUE)+1)</f>
        <v>0</v>
      </c>
      <c r="S33" s="242">
        <f>IF(ISNA(VLOOKUP(H33,Lagerkapazität!$C$4:$E$54,3,TRUE)+1),0,VLOOKUP(H33,Lagerkapazität!$C$4:$E$54,3,TRUE)+1)</f>
        <v>0</v>
      </c>
      <c r="T33" s="243">
        <f>IF(ISNA(VLOOKUP(I33,Lagerkapazität!$D$4:$E$54,2,TRUE)+1),0,VLOOKUP(I33,Lagerkapazität!$D$4:$E$54,2,TRUE)+1)</f>
        <v>0</v>
      </c>
      <c r="U33" s="60"/>
    </row>
    <row r="34" spans="2:23" ht="15" customHeight="1" x14ac:dyDescent="0.25">
      <c r="B34" s="71" t="s">
        <v>74</v>
      </c>
      <c r="C34" s="48"/>
      <c r="D34" s="54">
        <v>0</v>
      </c>
      <c r="E34" s="54">
        <f>20000*(2^((M34-1)/2))</f>
        <v>20000</v>
      </c>
      <c r="F34" s="54">
        <f>20000*(2^((M34-1)/2))</f>
        <v>20000</v>
      </c>
      <c r="G34" s="54">
        <f>60000*(2^((M34-1)/2))</f>
        <v>60000</v>
      </c>
      <c r="H34" s="54">
        <f>40000*(2^((M34-1)/2))</f>
        <v>40000</v>
      </c>
      <c r="I34" s="54">
        <v>0</v>
      </c>
      <c r="J34" s="55"/>
      <c r="K34" s="62">
        <f>((190000*M34)*0.9)/$W$3/86400</f>
        <v>9.4246031746031744E-2</v>
      </c>
      <c r="L34" s="68"/>
      <c r="M34" s="74">
        <v>1</v>
      </c>
      <c r="N34" s="240"/>
      <c r="O34" s="241">
        <f>IF(ISNA(VLOOKUP(D34,Lagerkapazität!$C$4:$E$54,3,TRUE)+1),0,VLOOKUP(D34,Lagerkapazität!$C$4:$E$54,3,TRUE)+1)</f>
        <v>0</v>
      </c>
      <c r="P34" s="242">
        <f>IF(ISNA(VLOOKUP(E34,Lagerkapazität!$C$4:$E$54,3,TRUE)+1),0,VLOOKUP(E34,Lagerkapazität!$C$4:$E$54,3,TRUE)+1)</f>
        <v>2</v>
      </c>
      <c r="Q34" s="242">
        <f>IF(ISNA(VLOOKUP(F34,Lagerkapazität!$C$4:$E$54,3,TRUE)+1),0,VLOOKUP(F34,Lagerkapazität!$C$4:$E$54,3,TRUE)+1)</f>
        <v>2</v>
      </c>
      <c r="R34" s="242">
        <f>IF(ISNA(VLOOKUP(G34,Lagerkapazität!$C$4:$E$54,3,TRUE)+1),0,VLOOKUP(G34,Lagerkapazität!$C$4:$E$54,3,TRUE)+1)</f>
        <v>5</v>
      </c>
      <c r="S34" s="242">
        <f>IF(ISNA(VLOOKUP(H34,Lagerkapazität!$C$4:$E$54,3,TRUE)+1),0,VLOOKUP(H34,Lagerkapazität!$C$4:$E$54,3,TRUE)+1)</f>
        <v>4</v>
      </c>
      <c r="T34" s="243">
        <f>IF(ISNA(VLOOKUP(I34,Lagerkapazität!$D$4:$E$54,2,TRUE)+1),0,VLOOKUP(I34,Lagerkapazität!$D$4:$E$54,2,TRUE)+1)</f>
        <v>0</v>
      </c>
      <c r="U34" s="60"/>
    </row>
    <row r="35" spans="2:23" ht="15" customHeight="1" x14ac:dyDescent="0.25">
      <c r="B35" s="71" t="s">
        <v>75</v>
      </c>
      <c r="C35" s="48"/>
      <c r="D35" s="54">
        <v>0</v>
      </c>
      <c r="E35" s="54">
        <f>300000</f>
        <v>300000</v>
      </c>
      <c r="F35" s="54">
        <f>200000</f>
        <v>200000</v>
      </c>
      <c r="G35" s="54">
        <f>300000</f>
        <v>300000</v>
      </c>
      <c r="H35" s="54">
        <f>400000</f>
        <v>400000</v>
      </c>
      <c r="I35" s="54">
        <f>100000</f>
        <v>100000</v>
      </c>
      <c r="J35" s="55"/>
      <c r="K35" s="62">
        <f>((3000000*M35)*0.9)/$W$3/86400</f>
        <v>1.4880952380952379</v>
      </c>
      <c r="L35" s="68"/>
      <c r="M35" s="74">
        <v>1</v>
      </c>
      <c r="N35" s="240"/>
      <c r="O35" s="241">
        <f>IF(ISNA(VLOOKUP(D35,Lagerkapazität!$C$4:$E$54,3,TRUE)+1),0,VLOOKUP(D35,Lagerkapazität!$C$4:$E$54,3,TRUE)+1)</f>
        <v>0</v>
      </c>
      <c r="P35" s="242">
        <f>IF(ISNA(VLOOKUP(E35,Lagerkapazität!$C$4:$E$54,3,TRUE)+1),0,VLOOKUP(E35,Lagerkapazität!$C$4:$E$54,3,TRUE)+1)</f>
        <v>11</v>
      </c>
      <c r="Q35" s="242">
        <f>IF(ISNA(VLOOKUP(F35,Lagerkapazität!$C$4:$E$54,3,TRUE)+1),0,VLOOKUP(F35,Lagerkapazität!$C$4:$E$54,3,TRUE)+1)</f>
        <v>9</v>
      </c>
      <c r="R35" s="242">
        <f>IF(ISNA(VLOOKUP(G35,Lagerkapazität!$C$4:$E$54,3,TRUE)+1),0,VLOOKUP(G35,Lagerkapazität!$C$4:$E$54,3,TRUE)+1)</f>
        <v>11</v>
      </c>
      <c r="S35" s="242">
        <f>IF(ISNA(VLOOKUP(H35,Lagerkapazität!$C$4:$E$54,3,TRUE)+1),0,VLOOKUP(H35,Lagerkapazität!$C$4:$E$54,3,TRUE)+1)</f>
        <v>12</v>
      </c>
      <c r="T35" s="243">
        <f>IF(ISNA(VLOOKUP(I35,Lagerkapazität!$D$4:$E$54,2,TRUE)+1),0,VLOOKUP(I35,Lagerkapazität!$D$4:$E$54,2,TRUE)+1)</f>
        <v>6</v>
      </c>
      <c r="U35" s="60"/>
    </row>
    <row r="36" spans="2:23" ht="15" customHeight="1" x14ac:dyDescent="0.25">
      <c r="B36" s="72"/>
      <c r="C36" s="48"/>
      <c r="D36" s="56"/>
      <c r="E36" s="57"/>
      <c r="F36" s="56"/>
      <c r="G36" s="57"/>
      <c r="H36" s="56"/>
      <c r="I36" s="57"/>
      <c r="J36" s="55"/>
      <c r="K36" s="63"/>
      <c r="L36" s="68"/>
      <c r="M36" s="75"/>
      <c r="N36" s="240"/>
      <c r="O36" s="301"/>
      <c r="P36" s="302"/>
      <c r="Q36" s="302"/>
      <c r="R36" s="302"/>
      <c r="S36" s="302"/>
      <c r="T36" s="303"/>
      <c r="U36" s="60"/>
    </row>
    <row r="37" spans="2:23" ht="15" customHeight="1" thickBot="1" x14ac:dyDescent="0.3">
      <c r="B37" s="73" t="s">
        <v>76</v>
      </c>
      <c r="C37" s="49"/>
      <c r="D37" s="58">
        <f>18750*(M37^2+3)</f>
        <v>75000</v>
      </c>
      <c r="E37" s="58">
        <f>28750*(M37^2+3)</f>
        <v>115000</v>
      </c>
      <c r="F37" s="58">
        <f>26250*(M37^2+3)</f>
        <v>105000</v>
      </c>
      <c r="G37" s="58">
        <f>23750*(M37^2+3)</f>
        <v>95000</v>
      </c>
      <c r="H37" s="58">
        <f>10750*(M37^2+3)</f>
        <v>43000</v>
      </c>
      <c r="I37" s="58">
        <f>12500*(M37^2+3)*(MAX(0,M37-3.5))/(M37-3.5)</f>
        <v>0</v>
      </c>
      <c r="J37" s="59"/>
      <c r="K37" s="64">
        <f>((2500000*M37)*0.9)/$W$3/2/86400</f>
        <v>0.62003968253968256</v>
      </c>
      <c r="L37" s="69"/>
      <c r="M37" s="76">
        <v>1</v>
      </c>
      <c r="N37" s="240"/>
      <c r="O37" s="244">
        <f>IF(ISNA(VLOOKUP(D37,Lagerkapazität!$C$4:$E$54,3,TRUE)+1),0,VLOOKUP(D37,Lagerkapazität!$C$4:$E$54,3,TRUE)+1)</f>
        <v>5</v>
      </c>
      <c r="P37" s="245">
        <f>IF(ISNA(VLOOKUP(E37,Lagerkapazität!$C$4:$E$54,3,TRUE)+1),0,VLOOKUP(E37,Lagerkapazität!$C$4:$E$54,3,TRUE)+1)</f>
        <v>7</v>
      </c>
      <c r="Q37" s="245">
        <f>IF(ISNA(VLOOKUP(F37,Lagerkapazität!$C$4:$E$54,3,TRUE)+1),0,VLOOKUP(F37,Lagerkapazität!$C$4:$E$54,3,TRUE)+1)</f>
        <v>6</v>
      </c>
      <c r="R37" s="245">
        <f>IF(ISNA(VLOOKUP(G37,Lagerkapazität!$C$4:$E$54,3,TRUE)+1),0,VLOOKUP(G37,Lagerkapazität!$C$4:$E$54,3,TRUE)+1)</f>
        <v>6</v>
      </c>
      <c r="S37" s="245">
        <f>IF(ISNA(VLOOKUP(H37,Lagerkapazität!$C$4:$E$54,3,TRUE)+1),0,VLOOKUP(H37,Lagerkapazität!$C$4:$E$54,3,TRUE)+1)</f>
        <v>4</v>
      </c>
      <c r="T37" s="246">
        <f>IF(ISNA(VLOOKUP(I37,Lagerkapazität!$D$4:$E$54,2,TRUE)+1),0,VLOOKUP(I37,Lagerkapazität!$D$4:$E$54,2,TRUE)+1)</f>
        <v>0</v>
      </c>
      <c r="U37" s="60"/>
      <c r="V37" s="239"/>
      <c r="W37" s="239"/>
    </row>
    <row r="38" spans="2:23" x14ac:dyDescent="0.2">
      <c r="D38" s="41"/>
      <c r="H38" s="41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67"/>
    </row>
    <row r="39" spans="2:23" x14ac:dyDescent="0.2">
      <c r="D39" s="41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</row>
    <row r="40" spans="2:23" x14ac:dyDescent="0.2">
      <c r="D40" s="41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</row>
    <row r="41" spans="2:23" x14ac:dyDescent="0.2">
      <c r="D41" s="41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</row>
    <row r="42" spans="2:23" x14ac:dyDescent="0.2">
      <c r="D42" s="41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</row>
    <row r="43" spans="2:23" x14ac:dyDescent="0.2">
      <c r="D43" s="41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</row>
    <row r="44" spans="2:23" x14ac:dyDescent="0.2">
      <c r="D44" s="41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</row>
    <row r="45" spans="2:23" x14ac:dyDescent="0.2">
      <c r="D45" s="41"/>
      <c r="I45" s="78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</row>
    <row r="46" spans="2:23" x14ac:dyDescent="0.2">
      <c r="D46" s="41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</row>
    <row r="47" spans="2:23" x14ac:dyDescent="0.2">
      <c r="D47" s="41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</row>
  </sheetData>
  <mergeCells count="5">
    <mergeCell ref="O3:T3"/>
    <mergeCell ref="O4:T4"/>
    <mergeCell ref="O13:T13"/>
    <mergeCell ref="O31:T31"/>
    <mergeCell ref="O36:T36"/>
  </mergeCells>
  <pageMargins left="0.78749999999999998" right="0.78749999999999998" top="0.98402777777777783" bottom="0.98402777777777783" header="0.51180555555555562" footer="0.51180555555555562"/>
  <pageSetup paperSize="9" firstPageNumber="0" orientation="portrait" horizontalDpi="300" verticalDpi="300" r:id="rId1"/>
  <headerFooter alignWithMargins="0">
    <oddHeader>&amp;R&amp;"Arial"&amp;9&amp;K737373 Copyright Protection: Confidential - ISO 16016&amp;1#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01049-6B67-480E-B164-3B1F48118543}">
  <dimension ref="B1:AC104"/>
  <sheetViews>
    <sheetView showGridLines="0" workbookViewId="0">
      <selection activeCell="F56" sqref="F56"/>
    </sheetView>
  </sheetViews>
  <sheetFormatPr baseColWidth="10" defaultRowHeight="15" x14ac:dyDescent="0.25"/>
  <cols>
    <col min="10" max="10" width="16.7109375" customWidth="1"/>
    <col min="14" max="29" width="6.7109375" customWidth="1"/>
  </cols>
  <sheetData>
    <row r="1" spans="2:29" ht="15" customHeight="1" x14ac:dyDescent="0.25"/>
    <row r="2" spans="2:29" ht="15.75" thickBot="1" x14ac:dyDescent="0.3"/>
    <row r="3" spans="2:29" ht="15.75" thickBot="1" x14ac:dyDescent="0.3">
      <c r="B3" s="31" t="s">
        <v>40</v>
      </c>
      <c r="C3" s="32" t="s">
        <v>1</v>
      </c>
      <c r="D3" s="32" t="s">
        <v>2</v>
      </c>
      <c r="E3" s="32" t="s">
        <v>3</v>
      </c>
      <c r="F3" s="32" t="s">
        <v>4</v>
      </c>
      <c r="G3" s="32" t="s">
        <v>5</v>
      </c>
      <c r="H3" s="102" t="s">
        <v>6</v>
      </c>
      <c r="J3" s="194" t="s">
        <v>81</v>
      </c>
      <c r="K3" s="195" t="s">
        <v>83</v>
      </c>
      <c r="M3" s="119" t="s">
        <v>107</v>
      </c>
      <c r="N3" s="116" t="s">
        <v>91</v>
      </c>
      <c r="O3" s="32" t="s">
        <v>92</v>
      </c>
      <c r="P3" s="32" t="s">
        <v>93</v>
      </c>
      <c r="Q3" s="32" t="s">
        <v>94</v>
      </c>
      <c r="R3" s="32" t="s">
        <v>95</v>
      </c>
      <c r="S3" s="32" t="s">
        <v>96</v>
      </c>
      <c r="T3" s="32" t="s">
        <v>97</v>
      </c>
      <c r="U3" s="32" t="s">
        <v>98</v>
      </c>
      <c r="V3" s="32" t="s">
        <v>99</v>
      </c>
      <c r="W3" s="32" t="s">
        <v>100</v>
      </c>
      <c r="X3" s="32" t="s">
        <v>101</v>
      </c>
      <c r="Y3" s="32" t="s">
        <v>102</v>
      </c>
      <c r="Z3" s="32" t="s">
        <v>103</v>
      </c>
      <c r="AA3" s="32" t="s">
        <v>104</v>
      </c>
      <c r="AB3" s="32" t="s">
        <v>105</v>
      </c>
      <c r="AC3" s="102" t="s">
        <v>106</v>
      </c>
    </row>
    <row r="4" spans="2:29" ht="15.75" thickBot="1" x14ac:dyDescent="0.3">
      <c r="B4" s="34">
        <v>0</v>
      </c>
      <c r="C4" s="104">
        <v>0</v>
      </c>
      <c r="D4" s="104">
        <v>0</v>
      </c>
      <c r="E4" s="104">
        <v>0</v>
      </c>
      <c r="F4" s="104">
        <v>0</v>
      </c>
      <c r="G4" s="104">
        <v>0</v>
      </c>
      <c r="H4" s="105">
        <v>0</v>
      </c>
      <c r="J4" s="103"/>
      <c r="K4" s="1"/>
      <c r="M4" s="120" t="s">
        <v>1</v>
      </c>
      <c r="N4" s="117">
        <v>0</v>
      </c>
      <c r="O4" s="110">
        <v>-0.1</v>
      </c>
      <c r="P4" s="110">
        <v>0.15</v>
      </c>
      <c r="Q4" s="110">
        <v>-0.05</v>
      </c>
      <c r="R4" s="110">
        <v>0.05</v>
      </c>
      <c r="S4" s="110">
        <v>-0.2</v>
      </c>
      <c r="T4" s="110">
        <v>0.05</v>
      </c>
      <c r="U4" s="110">
        <v>0</v>
      </c>
      <c r="V4" s="110">
        <v>0.1</v>
      </c>
      <c r="W4" s="112">
        <v>0</v>
      </c>
      <c r="X4" s="112">
        <v>0</v>
      </c>
      <c r="Y4" s="112">
        <v>0.4</v>
      </c>
      <c r="Z4" s="112">
        <v>-0.15</v>
      </c>
      <c r="AA4" s="112">
        <v>0</v>
      </c>
      <c r="AB4" s="112">
        <v>0.1</v>
      </c>
      <c r="AC4" s="113">
        <v>0</v>
      </c>
    </row>
    <row r="5" spans="2:29" x14ac:dyDescent="0.25">
      <c r="B5" s="34">
        <v>1</v>
      </c>
      <c r="C5" s="104">
        <f>11*(1+$K$11)*$K$9</f>
        <v>12.649999999999999</v>
      </c>
      <c r="D5" s="104">
        <f>9*(1+$K$12)*$K$9</f>
        <v>10.799999999999999</v>
      </c>
      <c r="E5" s="104">
        <f>7*(1+$K$13)*$K$9</f>
        <v>6.3</v>
      </c>
      <c r="F5" s="104">
        <f>7*(1+$K$14)*$K$9</f>
        <v>6.3</v>
      </c>
      <c r="G5" s="104">
        <f>4*(1+$K$15)*$K$9</f>
        <v>3.2</v>
      </c>
      <c r="H5" s="105">
        <f>(IF(OR($K$5="M",$K$5="N",$K$5="O",$K$5="P",$K$5="Q",$K$5="R",$K$5="T",$K$5="U",$K$5="V"),0,1))*(1+$K$16)*$K$9</f>
        <v>0</v>
      </c>
      <c r="J5" s="196" t="s">
        <v>82</v>
      </c>
      <c r="K5" s="197" t="s">
        <v>93</v>
      </c>
      <c r="M5" s="120" t="s">
        <v>2</v>
      </c>
      <c r="N5" s="117">
        <v>0</v>
      </c>
      <c r="O5" s="110">
        <v>0.15</v>
      </c>
      <c r="P5" s="110">
        <v>0.2</v>
      </c>
      <c r="Q5" s="110">
        <v>0.05</v>
      </c>
      <c r="R5" s="110">
        <v>-0.1</v>
      </c>
      <c r="S5" s="110">
        <v>-0.15</v>
      </c>
      <c r="T5" s="110">
        <v>0.15</v>
      </c>
      <c r="U5" s="110">
        <v>-0.1</v>
      </c>
      <c r="V5" s="110">
        <v>0</v>
      </c>
      <c r="W5" s="112">
        <v>0</v>
      </c>
      <c r="X5" s="112">
        <v>-0.05</v>
      </c>
      <c r="Y5" s="112">
        <v>-0.1</v>
      </c>
      <c r="Z5" s="112">
        <v>0.2</v>
      </c>
      <c r="AA5" s="112">
        <v>0.1</v>
      </c>
      <c r="AB5" s="112">
        <v>0.1</v>
      </c>
      <c r="AC5" s="113">
        <v>-0.05</v>
      </c>
    </row>
    <row r="6" spans="2:29" ht="15.75" thickBot="1" x14ac:dyDescent="0.3">
      <c r="B6" s="34">
        <v>2</v>
      </c>
      <c r="C6" s="104">
        <f>19*(1+$K$11)*$K$9</f>
        <v>21.849999999999998</v>
      </c>
      <c r="D6" s="104">
        <f>15*(1+$K$12)*$K$9</f>
        <v>18</v>
      </c>
      <c r="E6" s="104">
        <f>11*(1+$K$13)*$K$9</f>
        <v>9.9</v>
      </c>
      <c r="F6" s="104">
        <f>11*(1+$K$14)*$K$9</f>
        <v>9.9</v>
      </c>
      <c r="G6" s="104">
        <f>9*(1+$K$15)*$K$9</f>
        <v>7.2</v>
      </c>
      <c r="H6" s="105">
        <f>(IF(OR($K$5="M",$K$5="N",$K$5="O",$K$5="P",$K$5="Q",$K$5="R",$K$5="T",$K$5="U",$K$5="V"),0,2))*(1+$K$16)*$K$9</f>
        <v>0</v>
      </c>
      <c r="J6" s="198" t="s">
        <v>108</v>
      </c>
      <c r="K6" s="199">
        <f>MATCH(K5,N3:AC3,0)+1</f>
        <v>4</v>
      </c>
      <c r="M6" s="120" t="s">
        <v>3</v>
      </c>
      <c r="N6" s="117">
        <v>0</v>
      </c>
      <c r="O6" s="110">
        <v>-0.05</v>
      </c>
      <c r="P6" s="110">
        <v>-0.1</v>
      </c>
      <c r="Q6" s="110">
        <v>0</v>
      </c>
      <c r="R6" s="110">
        <v>0.05</v>
      </c>
      <c r="S6" s="110">
        <v>0.3</v>
      </c>
      <c r="T6" s="110">
        <v>0.05</v>
      </c>
      <c r="U6" s="110">
        <v>-0.2</v>
      </c>
      <c r="V6" s="110">
        <v>0</v>
      </c>
      <c r="W6" s="112">
        <v>0</v>
      </c>
      <c r="X6" s="112">
        <v>-0.1</v>
      </c>
      <c r="Y6" s="112">
        <v>-0.25</v>
      </c>
      <c r="Z6" s="112">
        <v>0</v>
      </c>
      <c r="AA6" s="112">
        <v>0</v>
      </c>
      <c r="AB6" s="112">
        <v>0</v>
      </c>
      <c r="AC6" s="113">
        <v>-0.05</v>
      </c>
    </row>
    <row r="7" spans="2:29" ht="15.75" thickBot="1" x14ac:dyDescent="0.3">
      <c r="B7" s="34">
        <v>3</v>
      </c>
      <c r="C7" s="104">
        <f>(4.5*B7*B7-10.5*B7+26)*(1+$K$11)*$K$9</f>
        <v>40.25</v>
      </c>
      <c r="D7" s="104">
        <f>(3.8*B7*B7-10.5*B7+23)*(1+$K$12)*$K$9</f>
        <v>30.839999999999993</v>
      </c>
      <c r="E7" s="104">
        <f>(3.5*B7*B7-10.5*B7+20)*(1+$K$13)*$K$9</f>
        <v>18</v>
      </c>
      <c r="F7" s="104">
        <f>(3.5*B7*B7-10.5*B7+20)*(1+$K$14)*$K$9</f>
        <v>18</v>
      </c>
      <c r="G7" s="104">
        <f>(3*B7*B7-10.5*B7+15)*(1+$K$15)*$K$9</f>
        <v>8.4</v>
      </c>
      <c r="H7" s="105">
        <f>(IF(OR($K$5="M",$K$5="N",$K$5="O",$K$5="P",$K$5="Q",$K$5="R",$K$5="T",$K$5="U",$K$5="V"),0,B7*(B7/2)))*(1+$K$16)*$K$9</f>
        <v>0</v>
      </c>
      <c r="J7" s="103"/>
      <c r="K7" s="1"/>
      <c r="M7" s="120" t="s">
        <v>4</v>
      </c>
      <c r="N7" s="117">
        <v>0</v>
      </c>
      <c r="O7" s="110">
        <v>0.1</v>
      </c>
      <c r="P7" s="110">
        <v>-0.1</v>
      </c>
      <c r="Q7" s="110">
        <v>0</v>
      </c>
      <c r="R7" s="110">
        <v>0</v>
      </c>
      <c r="S7" s="110">
        <v>0.25</v>
      </c>
      <c r="T7" s="110">
        <v>0</v>
      </c>
      <c r="U7" s="110">
        <v>-0.05</v>
      </c>
      <c r="V7" s="110">
        <v>-0.1</v>
      </c>
      <c r="W7" s="112">
        <v>0.15</v>
      </c>
      <c r="X7" s="112">
        <v>0.05</v>
      </c>
      <c r="Y7" s="112">
        <v>-0.15</v>
      </c>
      <c r="Z7" s="112">
        <v>-0.2</v>
      </c>
      <c r="AA7" s="112">
        <v>0</v>
      </c>
      <c r="AB7" s="112">
        <v>0</v>
      </c>
      <c r="AC7" s="113">
        <v>0</v>
      </c>
    </row>
    <row r="8" spans="2:29" x14ac:dyDescent="0.25">
      <c r="B8" s="34">
        <v>4</v>
      </c>
      <c r="C8" s="104">
        <f>(4.5*B8*B8-10.5*B8+26)*(1+$K$11)*$K$9</f>
        <v>64.399999999999991</v>
      </c>
      <c r="D8" s="104">
        <f t="shared" ref="D8:D71" si="0">(3.8*B8*B8-10.5*B8+23)*(1+$K$12)*$K$9</f>
        <v>50.16</v>
      </c>
      <c r="E8" s="104">
        <f t="shared" ref="E8:E71" si="1">(3.5*B8*B8-10.5*B8+20)*(1+$K$13)*$K$9</f>
        <v>30.6</v>
      </c>
      <c r="F8" s="104">
        <f t="shared" ref="F8:F71" si="2">(3.5*B8*B8-10.5*B8+20)*(1+$K$14)*$K$9</f>
        <v>30.6</v>
      </c>
      <c r="G8" s="104">
        <f t="shared" ref="G8:G71" si="3">(3*B8*B8-10.5*B8+15)*(1+$K$15)*$K$9</f>
        <v>16.8</v>
      </c>
      <c r="H8" s="105">
        <f t="shared" ref="H8:H71" si="4">(IF(OR($K$5="M",$K$5="N",$K$5="O",$K$5="P",$K$5="Q",$K$5="R",$K$5="T",$K$5="U",$K$5="V"),0,B8*(B8/2)))*(1+$K$16)*$K$9</f>
        <v>0</v>
      </c>
      <c r="J8" s="196" t="s">
        <v>41</v>
      </c>
      <c r="K8" s="197">
        <v>2</v>
      </c>
      <c r="M8" s="120" t="s">
        <v>5</v>
      </c>
      <c r="N8" s="117">
        <v>0</v>
      </c>
      <c r="O8" s="110">
        <v>0.05</v>
      </c>
      <c r="P8" s="110">
        <v>-0.2</v>
      </c>
      <c r="Q8" s="110">
        <v>0.05</v>
      </c>
      <c r="R8" s="110">
        <v>-0.05</v>
      </c>
      <c r="S8" s="110">
        <v>0.35</v>
      </c>
      <c r="T8" s="110">
        <v>0.05</v>
      </c>
      <c r="U8" s="110">
        <v>-0.15</v>
      </c>
      <c r="V8" s="110">
        <v>0</v>
      </c>
      <c r="W8" s="112">
        <v>0</v>
      </c>
      <c r="X8" s="112">
        <v>0.05</v>
      </c>
      <c r="Y8" s="112">
        <v>-0.25</v>
      </c>
      <c r="Z8" s="112">
        <v>-0.15</v>
      </c>
      <c r="AA8" s="112">
        <v>0.05</v>
      </c>
      <c r="AB8" s="112">
        <v>-0.1</v>
      </c>
      <c r="AC8" s="113">
        <v>0.2</v>
      </c>
    </row>
    <row r="9" spans="2:29" ht="15.75" thickBot="1" x14ac:dyDescent="0.3">
      <c r="B9" s="34">
        <v>5</v>
      </c>
      <c r="C9" s="104">
        <f t="shared" ref="C9:C72" si="5">(4.5*B9*B9-10.5*B9+26)*(1+$K$11)*$K$9</f>
        <v>98.899999999999991</v>
      </c>
      <c r="D9" s="104">
        <f t="shared" si="0"/>
        <v>78.599999999999994</v>
      </c>
      <c r="E9" s="104">
        <f t="shared" si="1"/>
        <v>49.5</v>
      </c>
      <c r="F9" s="104">
        <f t="shared" si="2"/>
        <v>49.5</v>
      </c>
      <c r="G9" s="104">
        <f t="shared" si="3"/>
        <v>30</v>
      </c>
      <c r="H9" s="105">
        <f t="shared" si="4"/>
        <v>0</v>
      </c>
      <c r="J9" s="198" t="s">
        <v>84</v>
      </c>
      <c r="K9" s="199">
        <f>IF(K8&gt;=0,1,IF(K8=-1,0.9,IF(K8=-2,0.8,IF(K8=-3,0.7,IF(K8=-4,0.6,0.5)))))</f>
        <v>1</v>
      </c>
      <c r="M9" s="121" t="s">
        <v>6</v>
      </c>
      <c r="N9" s="118">
        <v>0</v>
      </c>
      <c r="O9" s="111">
        <v>0</v>
      </c>
      <c r="P9" s="111">
        <v>0</v>
      </c>
      <c r="Q9" s="111">
        <v>0</v>
      </c>
      <c r="R9" s="111">
        <v>0</v>
      </c>
      <c r="S9" s="111">
        <v>0</v>
      </c>
      <c r="T9" s="111">
        <v>0</v>
      </c>
      <c r="U9" s="111">
        <v>0</v>
      </c>
      <c r="V9" s="111">
        <v>0</v>
      </c>
      <c r="W9" s="114">
        <v>0</v>
      </c>
      <c r="X9" s="114">
        <v>0</v>
      </c>
      <c r="Y9" s="114">
        <v>0</v>
      </c>
      <c r="Z9" s="114">
        <v>0</v>
      </c>
      <c r="AA9" s="114">
        <v>0</v>
      </c>
      <c r="AB9" s="114">
        <v>0</v>
      </c>
      <c r="AC9" s="115">
        <v>0</v>
      </c>
    </row>
    <row r="10" spans="2:29" ht="15.75" thickBot="1" x14ac:dyDescent="0.3">
      <c r="B10" s="34">
        <v>6</v>
      </c>
      <c r="C10" s="104">
        <f t="shared" si="5"/>
        <v>143.75</v>
      </c>
      <c r="D10" s="104">
        <f t="shared" si="0"/>
        <v>116.15999999999997</v>
      </c>
      <c r="E10" s="104">
        <f t="shared" si="1"/>
        <v>74.7</v>
      </c>
      <c r="F10" s="104">
        <f t="shared" si="2"/>
        <v>74.7</v>
      </c>
      <c r="G10" s="104">
        <f t="shared" si="3"/>
        <v>48</v>
      </c>
      <c r="H10" s="105">
        <f t="shared" si="4"/>
        <v>0</v>
      </c>
      <c r="K10" s="1"/>
    </row>
    <row r="11" spans="2:29" x14ac:dyDescent="0.25">
      <c r="B11" s="34">
        <v>7</v>
      </c>
      <c r="C11" s="104">
        <f t="shared" si="5"/>
        <v>198.95</v>
      </c>
      <c r="D11" s="104">
        <f t="shared" si="0"/>
        <v>162.83999999999997</v>
      </c>
      <c r="E11" s="104">
        <f t="shared" si="1"/>
        <v>106.2</v>
      </c>
      <c r="F11" s="104">
        <f t="shared" si="2"/>
        <v>106.2</v>
      </c>
      <c r="G11" s="104">
        <f t="shared" si="3"/>
        <v>70.8</v>
      </c>
      <c r="H11" s="105">
        <f t="shared" si="4"/>
        <v>0</v>
      </c>
      <c r="J11" s="188" t="s">
        <v>85</v>
      </c>
      <c r="K11" s="189">
        <f>IF($K$3="Ja",0.1,0)+VLOOKUP(M4,$M$4:$AC$9,K6,FALSE)</f>
        <v>0.15</v>
      </c>
      <c r="N11" s="101"/>
    </row>
    <row r="12" spans="2:29" x14ac:dyDescent="0.25">
      <c r="B12" s="34">
        <v>8</v>
      </c>
      <c r="C12" s="104">
        <f t="shared" si="5"/>
        <v>264.5</v>
      </c>
      <c r="D12" s="104">
        <f t="shared" si="0"/>
        <v>218.64</v>
      </c>
      <c r="E12" s="104">
        <f t="shared" si="1"/>
        <v>144</v>
      </c>
      <c r="F12" s="104">
        <f t="shared" si="2"/>
        <v>144</v>
      </c>
      <c r="G12" s="104">
        <f t="shared" si="3"/>
        <v>98.4</v>
      </c>
      <c r="H12" s="105">
        <f t="shared" si="4"/>
        <v>0</v>
      </c>
      <c r="J12" s="190" t="s">
        <v>86</v>
      </c>
      <c r="K12" s="191">
        <f>IF($K$3="Ja",0.1,0)+VLOOKUP(M5,$M$4:$AC$9,K6,FALSE)</f>
        <v>0.2</v>
      </c>
      <c r="M12" s="108"/>
      <c r="N12" s="109"/>
      <c r="O12" s="108"/>
    </row>
    <row r="13" spans="2:29" x14ac:dyDescent="0.25">
      <c r="B13" s="34">
        <v>9</v>
      </c>
      <c r="C13" s="104">
        <f t="shared" si="5"/>
        <v>340.4</v>
      </c>
      <c r="D13" s="104">
        <f t="shared" si="0"/>
        <v>283.55999999999995</v>
      </c>
      <c r="E13" s="104">
        <f t="shared" si="1"/>
        <v>188.1</v>
      </c>
      <c r="F13" s="104">
        <f t="shared" si="2"/>
        <v>188.1</v>
      </c>
      <c r="G13" s="104">
        <f t="shared" si="3"/>
        <v>130.80000000000001</v>
      </c>
      <c r="H13" s="105">
        <f t="shared" si="4"/>
        <v>0</v>
      </c>
      <c r="J13" s="190" t="s">
        <v>87</v>
      </c>
      <c r="K13" s="191">
        <f>IF($K$3="Ja",0.1,0)+VLOOKUP(M6,$M$4:$AC$9,K6,FALSE)</f>
        <v>-0.1</v>
      </c>
      <c r="N13" s="109"/>
    </row>
    <row r="14" spans="2:29" x14ac:dyDescent="0.25">
      <c r="B14" s="34">
        <v>10</v>
      </c>
      <c r="C14" s="104">
        <f t="shared" si="5"/>
        <v>426.65</v>
      </c>
      <c r="D14" s="104">
        <f t="shared" si="0"/>
        <v>357.59999999999997</v>
      </c>
      <c r="E14" s="104">
        <f t="shared" si="1"/>
        <v>238.5</v>
      </c>
      <c r="F14" s="104">
        <f t="shared" si="2"/>
        <v>238.5</v>
      </c>
      <c r="G14" s="104">
        <f t="shared" si="3"/>
        <v>168</v>
      </c>
      <c r="H14" s="105">
        <f t="shared" si="4"/>
        <v>0</v>
      </c>
      <c r="J14" s="190" t="s">
        <v>88</v>
      </c>
      <c r="K14" s="191">
        <f>IF($K$3="Ja",0.1,0)+VLOOKUP(M7,$M$4:$AC$9,K6,FALSE)</f>
        <v>-0.1</v>
      </c>
      <c r="N14" s="109"/>
    </row>
    <row r="15" spans="2:29" x14ac:dyDescent="0.25">
      <c r="B15" s="34">
        <v>11</v>
      </c>
      <c r="C15" s="104">
        <f t="shared" si="5"/>
        <v>523.25</v>
      </c>
      <c r="D15" s="104">
        <f t="shared" si="0"/>
        <v>440.75999999999993</v>
      </c>
      <c r="E15" s="104">
        <f t="shared" si="1"/>
        <v>295.2</v>
      </c>
      <c r="F15" s="104">
        <f t="shared" si="2"/>
        <v>295.2</v>
      </c>
      <c r="G15" s="104">
        <f t="shared" si="3"/>
        <v>210</v>
      </c>
      <c r="H15" s="105">
        <f t="shared" si="4"/>
        <v>0</v>
      </c>
      <c r="J15" s="190" t="s">
        <v>89</v>
      </c>
      <c r="K15" s="191">
        <f>IF($K$3="Ja",0.1,0)+VLOOKUP(M8,$M$4:$AC$9,K6,FALSE)</f>
        <v>-0.2</v>
      </c>
      <c r="N15" s="109"/>
    </row>
    <row r="16" spans="2:29" ht="15.75" thickBot="1" x14ac:dyDescent="0.3">
      <c r="B16" s="34">
        <v>12</v>
      </c>
      <c r="C16" s="104">
        <f t="shared" si="5"/>
        <v>630.19999999999993</v>
      </c>
      <c r="D16" s="104">
        <f t="shared" si="0"/>
        <v>533.03999999999985</v>
      </c>
      <c r="E16" s="104">
        <f t="shared" si="1"/>
        <v>358.2</v>
      </c>
      <c r="F16" s="104">
        <f t="shared" si="2"/>
        <v>358.2</v>
      </c>
      <c r="G16" s="104">
        <f t="shared" si="3"/>
        <v>256.8</v>
      </c>
      <c r="H16" s="105">
        <f t="shared" si="4"/>
        <v>0</v>
      </c>
      <c r="J16" s="192" t="s">
        <v>90</v>
      </c>
      <c r="K16" s="193">
        <v>0</v>
      </c>
      <c r="N16" s="109"/>
    </row>
    <row r="17" spans="2:14" x14ac:dyDescent="0.25">
      <c r="B17" s="34">
        <v>13</v>
      </c>
      <c r="C17" s="104">
        <f t="shared" si="5"/>
        <v>747.49999999999989</v>
      </c>
      <c r="D17" s="104">
        <f t="shared" si="0"/>
        <v>634.43999999999994</v>
      </c>
      <c r="E17" s="104">
        <f t="shared" si="1"/>
        <v>427.5</v>
      </c>
      <c r="F17" s="104">
        <f t="shared" si="2"/>
        <v>427.5</v>
      </c>
      <c r="G17" s="104">
        <f t="shared" si="3"/>
        <v>308.40000000000003</v>
      </c>
      <c r="H17" s="105">
        <f t="shared" si="4"/>
        <v>0</v>
      </c>
      <c r="N17" s="109"/>
    </row>
    <row r="18" spans="2:14" x14ac:dyDescent="0.25">
      <c r="B18" s="34">
        <v>14</v>
      </c>
      <c r="C18" s="104">
        <f t="shared" si="5"/>
        <v>875.15</v>
      </c>
      <c r="D18" s="104">
        <f t="shared" si="0"/>
        <v>744.95999999999992</v>
      </c>
      <c r="E18" s="104">
        <f t="shared" si="1"/>
        <v>503.1</v>
      </c>
      <c r="F18" s="104">
        <f t="shared" si="2"/>
        <v>503.1</v>
      </c>
      <c r="G18" s="104">
        <f t="shared" si="3"/>
        <v>364.8</v>
      </c>
      <c r="H18" s="105">
        <f t="shared" si="4"/>
        <v>0</v>
      </c>
    </row>
    <row r="19" spans="2:14" x14ac:dyDescent="0.25">
      <c r="B19" s="34">
        <v>15</v>
      </c>
      <c r="C19" s="104">
        <f t="shared" si="5"/>
        <v>1013.15</v>
      </c>
      <c r="D19" s="104">
        <f t="shared" si="0"/>
        <v>864.6</v>
      </c>
      <c r="E19" s="104">
        <f t="shared" si="1"/>
        <v>585</v>
      </c>
      <c r="F19" s="104">
        <f t="shared" si="2"/>
        <v>585</v>
      </c>
      <c r="G19" s="104">
        <f t="shared" si="3"/>
        <v>426</v>
      </c>
      <c r="H19" s="105">
        <f t="shared" si="4"/>
        <v>0</v>
      </c>
    </row>
    <row r="20" spans="2:14" x14ac:dyDescent="0.25">
      <c r="B20" s="34">
        <v>16</v>
      </c>
      <c r="C20" s="104">
        <f t="shared" si="5"/>
        <v>1161.5</v>
      </c>
      <c r="D20" s="104">
        <f t="shared" si="0"/>
        <v>993.3599999999999</v>
      </c>
      <c r="E20" s="104">
        <f t="shared" si="1"/>
        <v>673.2</v>
      </c>
      <c r="F20" s="104">
        <f t="shared" si="2"/>
        <v>673.2</v>
      </c>
      <c r="G20" s="104">
        <f t="shared" si="3"/>
        <v>492</v>
      </c>
      <c r="H20" s="105">
        <f t="shared" si="4"/>
        <v>0</v>
      </c>
    </row>
    <row r="21" spans="2:14" x14ac:dyDescent="0.25">
      <c r="B21" s="34">
        <v>17</v>
      </c>
      <c r="C21" s="104">
        <f t="shared" si="5"/>
        <v>1320.1999999999998</v>
      </c>
      <c r="D21" s="104">
        <f t="shared" si="0"/>
        <v>1131.2399999999998</v>
      </c>
      <c r="E21" s="104">
        <f t="shared" si="1"/>
        <v>767.7</v>
      </c>
      <c r="F21" s="104">
        <f t="shared" si="2"/>
        <v>767.7</v>
      </c>
      <c r="G21" s="104">
        <f t="shared" si="3"/>
        <v>562.80000000000007</v>
      </c>
      <c r="H21" s="105">
        <f t="shared" si="4"/>
        <v>0</v>
      </c>
    </row>
    <row r="22" spans="2:14" x14ac:dyDescent="0.25">
      <c r="B22" s="34">
        <v>18</v>
      </c>
      <c r="C22" s="104">
        <f t="shared" si="5"/>
        <v>1489.2499999999998</v>
      </c>
      <c r="D22" s="104">
        <f t="shared" si="0"/>
        <v>1278.2399999999998</v>
      </c>
      <c r="E22" s="104">
        <f t="shared" si="1"/>
        <v>868.5</v>
      </c>
      <c r="F22" s="104">
        <f t="shared" si="2"/>
        <v>868.5</v>
      </c>
      <c r="G22" s="104">
        <f t="shared" si="3"/>
        <v>638.40000000000009</v>
      </c>
      <c r="H22" s="105">
        <f t="shared" si="4"/>
        <v>0</v>
      </c>
    </row>
    <row r="23" spans="2:14" x14ac:dyDescent="0.25">
      <c r="B23" s="34">
        <v>19</v>
      </c>
      <c r="C23" s="104">
        <f t="shared" si="5"/>
        <v>1668.6499999999999</v>
      </c>
      <c r="D23" s="104">
        <f t="shared" si="0"/>
        <v>1434.36</v>
      </c>
      <c r="E23" s="104">
        <f t="shared" si="1"/>
        <v>975.6</v>
      </c>
      <c r="F23" s="104">
        <f t="shared" si="2"/>
        <v>975.6</v>
      </c>
      <c r="G23" s="104">
        <f t="shared" si="3"/>
        <v>718.80000000000007</v>
      </c>
      <c r="H23" s="105">
        <f t="shared" si="4"/>
        <v>0</v>
      </c>
    </row>
    <row r="24" spans="2:14" x14ac:dyDescent="0.25">
      <c r="B24" s="34">
        <v>20</v>
      </c>
      <c r="C24" s="104">
        <f t="shared" si="5"/>
        <v>1858.3999999999999</v>
      </c>
      <c r="D24" s="104">
        <f t="shared" si="0"/>
        <v>1599.6</v>
      </c>
      <c r="E24" s="104">
        <f t="shared" si="1"/>
        <v>1089</v>
      </c>
      <c r="F24" s="104">
        <f t="shared" si="2"/>
        <v>1089</v>
      </c>
      <c r="G24" s="104">
        <f t="shared" si="3"/>
        <v>804</v>
      </c>
      <c r="H24" s="105">
        <f t="shared" si="4"/>
        <v>0</v>
      </c>
    </row>
    <row r="25" spans="2:14" x14ac:dyDescent="0.25">
      <c r="B25" s="34">
        <v>21</v>
      </c>
      <c r="C25" s="104">
        <f t="shared" si="5"/>
        <v>2058.5</v>
      </c>
      <c r="D25" s="104">
        <f t="shared" si="0"/>
        <v>1773.9599999999998</v>
      </c>
      <c r="E25" s="104">
        <f t="shared" si="1"/>
        <v>1208.7</v>
      </c>
      <c r="F25" s="104">
        <f t="shared" si="2"/>
        <v>1208.7</v>
      </c>
      <c r="G25" s="104">
        <f t="shared" si="3"/>
        <v>894</v>
      </c>
      <c r="H25" s="105">
        <f t="shared" si="4"/>
        <v>0</v>
      </c>
    </row>
    <row r="26" spans="2:14" x14ac:dyDescent="0.25">
      <c r="B26" s="34">
        <v>22</v>
      </c>
      <c r="C26" s="104">
        <f t="shared" si="5"/>
        <v>2268.9499999999998</v>
      </c>
      <c r="D26" s="104">
        <f t="shared" si="0"/>
        <v>1957.4399999999996</v>
      </c>
      <c r="E26" s="104">
        <f t="shared" si="1"/>
        <v>1334.7</v>
      </c>
      <c r="F26" s="104">
        <f t="shared" si="2"/>
        <v>1334.7</v>
      </c>
      <c r="G26" s="104">
        <f t="shared" si="3"/>
        <v>988.80000000000007</v>
      </c>
      <c r="H26" s="105">
        <f t="shared" si="4"/>
        <v>0</v>
      </c>
    </row>
    <row r="27" spans="2:14" x14ac:dyDescent="0.25">
      <c r="B27" s="34">
        <v>23</v>
      </c>
      <c r="C27" s="104">
        <f t="shared" si="5"/>
        <v>2489.75</v>
      </c>
      <c r="D27" s="104">
        <f t="shared" si="0"/>
        <v>2150.0399999999995</v>
      </c>
      <c r="E27" s="104">
        <f t="shared" si="1"/>
        <v>1467</v>
      </c>
      <c r="F27" s="104">
        <f t="shared" si="2"/>
        <v>1467</v>
      </c>
      <c r="G27" s="104">
        <f t="shared" si="3"/>
        <v>1088.4000000000001</v>
      </c>
      <c r="H27" s="105">
        <f t="shared" si="4"/>
        <v>0</v>
      </c>
    </row>
    <row r="28" spans="2:14" x14ac:dyDescent="0.25">
      <c r="B28" s="34">
        <v>24</v>
      </c>
      <c r="C28" s="104">
        <f t="shared" si="5"/>
        <v>2720.8999999999996</v>
      </c>
      <c r="D28" s="104">
        <f t="shared" si="0"/>
        <v>2351.7599999999998</v>
      </c>
      <c r="E28" s="104">
        <f t="shared" si="1"/>
        <v>1605.6000000000001</v>
      </c>
      <c r="F28" s="104">
        <f t="shared" si="2"/>
        <v>1605.6000000000001</v>
      </c>
      <c r="G28" s="104">
        <f t="shared" si="3"/>
        <v>1192.8</v>
      </c>
      <c r="H28" s="105">
        <f t="shared" si="4"/>
        <v>0</v>
      </c>
    </row>
    <row r="29" spans="2:14" x14ac:dyDescent="0.25">
      <c r="B29" s="34">
        <v>25</v>
      </c>
      <c r="C29" s="104">
        <f t="shared" si="5"/>
        <v>2962.3999999999996</v>
      </c>
      <c r="D29" s="104">
        <f t="shared" si="0"/>
        <v>2562.6</v>
      </c>
      <c r="E29" s="104">
        <f t="shared" si="1"/>
        <v>1750.5</v>
      </c>
      <c r="F29" s="104">
        <f t="shared" si="2"/>
        <v>1750.5</v>
      </c>
      <c r="G29" s="104">
        <f t="shared" si="3"/>
        <v>1302</v>
      </c>
      <c r="H29" s="105">
        <f t="shared" si="4"/>
        <v>0</v>
      </c>
    </row>
    <row r="30" spans="2:14" x14ac:dyDescent="0.25">
      <c r="B30" s="34">
        <v>26</v>
      </c>
      <c r="C30" s="104">
        <f t="shared" si="5"/>
        <v>3214.2499999999995</v>
      </c>
      <c r="D30" s="104">
        <f t="shared" si="0"/>
        <v>2782.5599999999995</v>
      </c>
      <c r="E30" s="104">
        <f t="shared" si="1"/>
        <v>1901.7</v>
      </c>
      <c r="F30" s="104">
        <f t="shared" si="2"/>
        <v>1901.7</v>
      </c>
      <c r="G30" s="104">
        <f t="shared" si="3"/>
        <v>1416</v>
      </c>
      <c r="H30" s="105">
        <f t="shared" si="4"/>
        <v>0</v>
      </c>
    </row>
    <row r="31" spans="2:14" x14ac:dyDescent="0.25">
      <c r="B31" s="34">
        <v>27</v>
      </c>
      <c r="C31" s="104">
        <f t="shared" si="5"/>
        <v>3476.45</v>
      </c>
      <c r="D31" s="104">
        <f t="shared" si="0"/>
        <v>3011.64</v>
      </c>
      <c r="E31" s="104">
        <f t="shared" si="1"/>
        <v>2059.2000000000003</v>
      </c>
      <c r="F31" s="104">
        <f t="shared" si="2"/>
        <v>2059.2000000000003</v>
      </c>
      <c r="G31" s="104">
        <f t="shared" si="3"/>
        <v>1534.8000000000002</v>
      </c>
      <c r="H31" s="105">
        <f t="shared" si="4"/>
        <v>0</v>
      </c>
    </row>
    <row r="32" spans="2:14" x14ac:dyDescent="0.25">
      <c r="B32" s="34">
        <v>28</v>
      </c>
      <c r="C32" s="104">
        <f t="shared" si="5"/>
        <v>3748.9999999999995</v>
      </c>
      <c r="D32" s="104">
        <f t="shared" si="0"/>
        <v>3249.8399999999997</v>
      </c>
      <c r="E32" s="104">
        <f t="shared" si="1"/>
        <v>2223</v>
      </c>
      <c r="F32" s="104">
        <f t="shared" si="2"/>
        <v>2223</v>
      </c>
      <c r="G32" s="104">
        <f t="shared" si="3"/>
        <v>1658.4</v>
      </c>
      <c r="H32" s="105">
        <f t="shared" si="4"/>
        <v>0</v>
      </c>
    </row>
    <row r="33" spans="2:8" x14ac:dyDescent="0.25">
      <c r="B33" s="34">
        <v>29</v>
      </c>
      <c r="C33" s="104">
        <f t="shared" si="5"/>
        <v>4031.8999999999996</v>
      </c>
      <c r="D33" s="104">
        <f t="shared" si="0"/>
        <v>3497.1599999999994</v>
      </c>
      <c r="E33" s="104">
        <f t="shared" si="1"/>
        <v>2393.1</v>
      </c>
      <c r="F33" s="104">
        <f t="shared" si="2"/>
        <v>2393.1</v>
      </c>
      <c r="G33" s="104">
        <f t="shared" si="3"/>
        <v>1786.8000000000002</v>
      </c>
      <c r="H33" s="105">
        <f t="shared" si="4"/>
        <v>0</v>
      </c>
    </row>
    <row r="34" spans="2:8" x14ac:dyDescent="0.25">
      <c r="B34" s="34">
        <v>30</v>
      </c>
      <c r="C34" s="104">
        <f t="shared" si="5"/>
        <v>4325.1499999999996</v>
      </c>
      <c r="D34" s="104">
        <f t="shared" si="0"/>
        <v>3753.6</v>
      </c>
      <c r="E34" s="104">
        <f t="shared" si="1"/>
        <v>2569.5</v>
      </c>
      <c r="F34" s="104">
        <f t="shared" si="2"/>
        <v>2569.5</v>
      </c>
      <c r="G34" s="104">
        <f t="shared" si="3"/>
        <v>1920</v>
      </c>
      <c r="H34" s="105">
        <f t="shared" si="4"/>
        <v>0</v>
      </c>
    </row>
    <row r="35" spans="2:8" x14ac:dyDescent="0.25">
      <c r="B35" s="34">
        <v>31</v>
      </c>
      <c r="C35" s="104">
        <f t="shared" si="5"/>
        <v>4628.75</v>
      </c>
      <c r="D35" s="104">
        <f t="shared" si="0"/>
        <v>4019.1599999999994</v>
      </c>
      <c r="E35" s="104">
        <f t="shared" si="1"/>
        <v>2752.2000000000003</v>
      </c>
      <c r="F35" s="104">
        <f t="shared" si="2"/>
        <v>2752.2000000000003</v>
      </c>
      <c r="G35" s="104">
        <f t="shared" si="3"/>
        <v>2058</v>
      </c>
      <c r="H35" s="105">
        <f t="shared" si="4"/>
        <v>0</v>
      </c>
    </row>
    <row r="36" spans="2:8" x14ac:dyDescent="0.25">
      <c r="B36" s="34">
        <v>32</v>
      </c>
      <c r="C36" s="104">
        <f t="shared" si="5"/>
        <v>4942.7</v>
      </c>
      <c r="D36" s="104">
        <f t="shared" si="0"/>
        <v>4293.8399999999992</v>
      </c>
      <c r="E36" s="104">
        <f t="shared" si="1"/>
        <v>2941.2000000000003</v>
      </c>
      <c r="F36" s="104">
        <f t="shared" si="2"/>
        <v>2941.2000000000003</v>
      </c>
      <c r="G36" s="104">
        <f t="shared" si="3"/>
        <v>2200.8000000000002</v>
      </c>
      <c r="H36" s="105">
        <f t="shared" si="4"/>
        <v>0</v>
      </c>
    </row>
    <row r="37" spans="2:8" x14ac:dyDescent="0.25">
      <c r="B37" s="34">
        <v>33</v>
      </c>
      <c r="C37" s="104">
        <f t="shared" si="5"/>
        <v>5267</v>
      </c>
      <c r="D37" s="104">
        <f t="shared" si="0"/>
        <v>4577.6399999999994</v>
      </c>
      <c r="E37" s="104">
        <f t="shared" si="1"/>
        <v>3136.5</v>
      </c>
      <c r="F37" s="104">
        <f t="shared" si="2"/>
        <v>3136.5</v>
      </c>
      <c r="G37" s="104">
        <f t="shared" si="3"/>
        <v>2348.4</v>
      </c>
      <c r="H37" s="105">
        <f t="shared" si="4"/>
        <v>0</v>
      </c>
    </row>
    <row r="38" spans="2:8" x14ac:dyDescent="0.25">
      <c r="B38" s="34">
        <v>34</v>
      </c>
      <c r="C38" s="104">
        <f t="shared" si="5"/>
        <v>5601.65</v>
      </c>
      <c r="D38" s="104">
        <f t="shared" si="0"/>
        <v>4870.5599999999986</v>
      </c>
      <c r="E38" s="104">
        <f t="shared" si="1"/>
        <v>3338.1</v>
      </c>
      <c r="F38" s="104">
        <f t="shared" si="2"/>
        <v>3338.1</v>
      </c>
      <c r="G38" s="104">
        <f t="shared" si="3"/>
        <v>2500.8000000000002</v>
      </c>
      <c r="H38" s="105">
        <f t="shared" si="4"/>
        <v>0</v>
      </c>
    </row>
    <row r="39" spans="2:8" x14ac:dyDescent="0.25">
      <c r="B39" s="34">
        <v>35</v>
      </c>
      <c r="C39" s="104">
        <f t="shared" si="5"/>
        <v>5946.65</v>
      </c>
      <c r="D39" s="104">
        <f t="shared" si="0"/>
        <v>5172.5999999999995</v>
      </c>
      <c r="E39" s="104">
        <f t="shared" si="1"/>
        <v>3546</v>
      </c>
      <c r="F39" s="104">
        <f t="shared" si="2"/>
        <v>3546</v>
      </c>
      <c r="G39" s="104">
        <f t="shared" si="3"/>
        <v>2658</v>
      </c>
      <c r="H39" s="105">
        <f t="shared" si="4"/>
        <v>0</v>
      </c>
    </row>
    <row r="40" spans="2:8" x14ac:dyDescent="0.25">
      <c r="B40" s="34">
        <v>36</v>
      </c>
      <c r="C40" s="104">
        <f t="shared" si="5"/>
        <v>6301.9999999999991</v>
      </c>
      <c r="D40" s="104">
        <f t="shared" si="0"/>
        <v>5483.7599999999993</v>
      </c>
      <c r="E40" s="104">
        <f t="shared" si="1"/>
        <v>3760.2000000000003</v>
      </c>
      <c r="F40" s="104">
        <f t="shared" si="2"/>
        <v>3760.2000000000003</v>
      </c>
      <c r="G40" s="104">
        <f t="shared" si="3"/>
        <v>2820</v>
      </c>
      <c r="H40" s="105">
        <f t="shared" si="4"/>
        <v>0</v>
      </c>
    </row>
    <row r="41" spans="2:8" x14ac:dyDescent="0.25">
      <c r="B41" s="34">
        <v>37</v>
      </c>
      <c r="C41" s="104">
        <f t="shared" si="5"/>
        <v>6667.7</v>
      </c>
      <c r="D41" s="104">
        <f t="shared" si="0"/>
        <v>5804.04</v>
      </c>
      <c r="E41" s="104">
        <f t="shared" si="1"/>
        <v>3980.7000000000003</v>
      </c>
      <c r="F41" s="104">
        <f t="shared" si="2"/>
        <v>3980.7000000000003</v>
      </c>
      <c r="G41" s="104">
        <f t="shared" si="3"/>
        <v>2986.8</v>
      </c>
      <c r="H41" s="105">
        <f t="shared" si="4"/>
        <v>0</v>
      </c>
    </row>
    <row r="42" spans="2:8" x14ac:dyDescent="0.25">
      <c r="B42" s="34">
        <v>38</v>
      </c>
      <c r="C42" s="104">
        <f t="shared" si="5"/>
        <v>7043.7499999999991</v>
      </c>
      <c r="D42" s="104">
        <f t="shared" si="0"/>
        <v>6133.44</v>
      </c>
      <c r="E42" s="104">
        <f t="shared" si="1"/>
        <v>4207.5</v>
      </c>
      <c r="F42" s="104">
        <f t="shared" si="2"/>
        <v>4207.5</v>
      </c>
      <c r="G42" s="104">
        <f t="shared" si="3"/>
        <v>3158.4</v>
      </c>
      <c r="H42" s="105">
        <f t="shared" si="4"/>
        <v>0</v>
      </c>
    </row>
    <row r="43" spans="2:8" x14ac:dyDescent="0.25">
      <c r="B43" s="34">
        <v>39</v>
      </c>
      <c r="C43" s="104">
        <f t="shared" si="5"/>
        <v>7430.15</v>
      </c>
      <c r="D43" s="104">
        <f t="shared" si="0"/>
        <v>6471.9599999999991</v>
      </c>
      <c r="E43" s="104">
        <f t="shared" si="1"/>
        <v>4440.6000000000004</v>
      </c>
      <c r="F43" s="104">
        <f t="shared" si="2"/>
        <v>4440.6000000000004</v>
      </c>
      <c r="G43" s="104">
        <f t="shared" si="3"/>
        <v>3334.8</v>
      </c>
      <c r="H43" s="105">
        <f t="shared" si="4"/>
        <v>0</v>
      </c>
    </row>
    <row r="44" spans="2:8" x14ac:dyDescent="0.25">
      <c r="B44" s="34">
        <v>40</v>
      </c>
      <c r="C44" s="104">
        <f t="shared" si="5"/>
        <v>7826.9</v>
      </c>
      <c r="D44" s="104">
        <f t="shared" si="0"/>
        <v>6819.5999999999995</v>
      </c>
      <c r="E44" s="104">
        <f t="shared" si="1"/>
        <v>4680</v>
      </c>
      <c r="F44" s="104">
        <f t="shared" si="2"/>
        <v>4680</v>
      </c>
      <c r="G44" s="104">
        <f t="shared" si="3"/>
        <v>3516</v>
      </c>
      <c r="H44" s="105">
        <f t="shared" si="4"/>
        <v>0</v>
      </c>
    </row>
    <row r="45" spans="2:8" x14ac:dyDescent="0.25">
      <c r="B45" s="34">
        <v>41</v>
      </c>
      <c r="C45" s="104">
        <f t="shared" si="5"/>
        <v>8234</v>
      </c>
      <c r="D45" s="104">
        <f t="shared" si="0"/>
        <v>7176.3599999999988</v>
      </c>
      <c r="E45" s="104">
        <f t="shared" si="1"/>
        <v>4925.7</v>
      </c>
      <c r="F45" s="104">
        <f t="shared" si="2"/>
        <v>4925.7</v>
      </c>
      <c r="G45" s="104">
        <f t="shared" si="3"/>
        <v>3702</v>
      </c>
      <c r="H45" s="105">
        <f t="shared" si="4"/>
        <v>0</v>
      </c>
    </row>
    <row r="46" spans="2:8" x14ac:dyDescent="0.25">
      <c r="B46" s="34">
        <v>42</v>
      </c>
      <c r="C46" s="104">
        <f t="shared" si="5"/>
        <v>8651.4499999999989</v>
      </c>
      <c r="D46" s="104">
        <f t="shared" si="0"/>
        <v>7542.24</v>
      </c>
      <c r="E46" s="104">
        <f t="shared" si="1"/>
        <v>5177.7</v>
      </c>
      <c r="F46" s="104">
        <f t="shared" si="2"/>
        <v>5177.7</v>
      </c>
      <c r="G46" s="104">
        <f t="shared" si="3"/>
        <v>3892.8</v>
      </c>
      <c r="H46" s="105">
        <f t="shared" si="4"/>
        <v>0</v>
      </c>
    </row>
    <row r="47" spans="2:8" x14ac:dyDescent="0.25">
      <c r="B47" s="34">
        <v>43</v>
      </c>
      <c r="C47" s="104">
        <f t="shared" si="5"/>
        <v>9079.25</v>
      </c>
      <c r="D47" s="104">
        <f t="shared" si="0"/>
        <v>7917.24</v>
      </c>
      <c r="E47" s="104">
        <f t="shared" si="1"/>
        <v>5436</v>
      </c>
      <c r="F47" s="104">
        <f t="shared" si="2"/>
        <v>5436</v>
      </c>
      <c r="G47" s="104">
        <f t="shared" si="3"/>
        <v>4088.4</v>
      </c>
      <c r="H47" s="105">
        <f t="shared" si="4"/>
        <v>0</v>
      </c>
    </row>
    <row r="48" spans="2:8" x14ac:dyDescent="0.25">
      <c r="B48" s="34">
        <v>44</v>
      </c>
      <c r="C48" s="104">
        <f t="shared" si="5"/>
        <v>9517.4</v>
      </c>
      <c r="D48" s="104">
        <f t="shared" si="0"/>
        <v>8301.3599999999988</v>
      </c>
      <c r="E48" s="104">
        <f t="shared" si="1"/>
        <v>5700.6</v>
      </c>
      <c r="F48" s="104">
        <f t="shared" si="2"/>
        <v>5700.6</v>
      </c>
      <c r="G48" s="104">
        <f t="shared" si="3"/>
        <v>4288.8</v>
      </c>
      <c r="H48" s="105">
        <f t="shared" si="4"/>
        <v>0</v>
      </c>
    </row>
    <row r="49" spans="2:8" x14ac:dyDescent="0.25">
      <c r="B49" s="34">
        <v>45</v>
      </c>
      <c r="C49" s="104">
        <f t="shared" si="5"/>
        <v>9965.9</v>
      </c>
      <c r="D49" s="104">
        <f t="shared" si="0"/>
        <v>8694.6</v>
      </c>
      <c r="E49" s="104">
        <f t="shared" si="1"/>
        <v>5971.5</v>
      </c>
      <c r="F49" s="104">
        <f t="shared" si="2"/>
        <v>5971.5</v>
      </c>
      <c r="G49" s="104">
        <f t="shared" si="3"/>
        <v>4494</v>
      </c>
      <c r="H49" s="105">
        <f t="shared" si="4"/>
        <v>0</v>
      </c>
    </row>
    <row r="50" spans="2:8" x14ac:dyDescent="0.25">
      <c r="B50" s="34">
        <v>46</v>
      </c>
      <c r="C50" s="104">
        <f t="shared" si="5"/>
        <v>10424.75</v>
      </c>
      <c r="D50" s="104">
        <f t="shared" si="0"/>
        <v>9096.9599999999991</v>
      </c>
      <c r="E50" s="104">
        <f t="shared" si="1"/>
        <v>6248.7</v>
      </c>
      <c r="F50" s="104">
        <f t="shared" si="2"/>
        <v>6248.7</v>
      </c>
      <c r="G50" s="104">
        <f t="shared" si="3"/>
        <v>4704</v>
      </c>
      <c r="H50" s="105">
        <f t="shared" si="4"/>
        <v>0</v>
      </c>
    </row>
    <row r="51" spans="2:8" x14ac:dyDescent="0.25">
      <c r="B51" s="34">
        <v>47</v>
      </c>
      <c r="C51" s="104">
        <f t="shared" si="5"/>
        <v>10893.949999999999</v>
      </c>
      <c r="D51" s="104">
        <f t="shared" si="0"/>
        <v>9508.4399999999987</v>
      </c>
      <c r="E51" s="104">
        <f t="shared" si="1"/>
        <v>6532.2</v>
      </c>
      <c r="F51" s="104">
        <f t="shared" si="2"/>
        <v>6532.2</v>
      </c>
      <c r="G51" s="104">
        <f t="shared" si="3"/>
        <v>4918.8</v>
      </c>
      <c r="H51" s="105">
        <f t="shared" si="4"/>
        <v>0</v>
      </c>
    </row>
    <row r="52" spans="2:8" x14ac:dyDescent="0.25">
      <c r="B52" s="34">
        <v>48</v>
      </c>
      <c r="C52" s="104">
        <f t="shared" si="5"/>
        <v>11373.5</v>
      </c>
      <c r="D52" s="104">
        <f t="shared" si="0"/>
        <v>9929.0399999999991</v>
      </c>
      <c r="E52" s="104">
        <f t="shared" si="1"/>
        <v>6822</v>
      </c>
      <c r="F52" s="104">
        <f t="shared" si="2"/>
        <v>6822</v>
      </c>
      <c r="G52" s="104">
        <f t="shared" si="3"/>
        <v>5138.4000000000005</v>
      </c>
      <c r="H52" s="105">
        <f t="shared" si="4"/>
        <v>0</v>
      </c>
    </row>
    <row r="53" spans="2:8" x14ac:dyDescent="0.25">
      <c r="B53" s="34">
        <v>49</v>
      </c>
      <c r="C53" s="104">
        <f t="shared" si="5"/>
        <v>11863.4</v>
      </c>
      <c r="D53" s="104">
        <f t="shared" si="0"/>
        <v>10358.759999999998</v>
      </c>
      <c r="E53" s="104">
        <f t="shared" si="1"/>
        <v>7118.1</v>
      </c>
      <c r="F53" s="104">
        <f t="shared" si="2"/>
        <v>7118.1</v>
      </c>
      <c r="G53" s="104">
        <f t="shared" si="3"/>
        <v>5362.8</v>
      </c>
      <c r="H53" s="105">
        <f t="shared" si="4"/>
        <v>0</v>
      </c>
    </row>
    <row r="54" spans="2:8" x14ac:dyDescent="0.25">
      <c r="B54" s="34">
        <v>50</v>
      </c>
      <c r="C54" s="104">
        <f t="shared" si="5"/>
        <v>12363.65</v>
      </c>
      <c r="D54" s="104">
        <f t="shared" si="0"/>
        <v>10797.6</v>
      </c>
      <c r="E54" s="104">
        <f t="shared" si="1"/>
        <v>7420.5</v>
      </c>
      <c r="F54" s="104">
        <f t="shared" si="2"/>
        <v>7420.5</v>
      </c>
      <c r="G54" s="104">
        <f t="shared" si="3"/>
        <v>5592</v>
      </c>
      <c r="H54" s="105">
        <f t="shared" si="4"/>
        <v>0</v>
      </c>
    </row>
    <row r="55" spans="2:8" x14ac:dyDescent="0.25">
      <c r="B55" s="34">
        <v>51</v>
      </c>
      <c r="C55" s="104">
        <f t="shared" si="5"/>
        <v>12874.249999999998</v>
      </c>
      <c r="D55" s="104">
        <f t="shared" si="0"/>
        <v>11245.56</v>
      </c>
      <c r="E55" s="104">
        <f t="shared" si="1"/>
        <v>7729.2</v>
      </c>
      <c r="F55" s="104">
        <f t="shared" si="2"/>
        <v>7729.2</v>
      </c>
      <c r="G55" s="104">
        <f t="shared" si="3"/>
        <v>5826</v>
      </c>
      <c r="H55" s="105">
        <f t="shared" si="4"/>
        <v>0</v>
      </c>
    </row>
    <row r="56" spans="2:8" x14ac:dyDescent="0.25">
      <c r="B56" s="34">
        <v>52</v>
      </c>
      <c r="C56" s="104">
        <f t="shared" si="5"/>
        <v>13395.199999999999</v>
      </c>
      <c r="D56" s="104">
        <f t="shared" si="0"/>
        <v>11702.639999999998</v>
      </c>
      <c r="E56" s="104">
        <f t="shared" si="1"/>
        <v>8044.2</v>
      </c>
      <c r="F56" s="104">
        <f t="shared" si="2"/>
        <v>8044.2</v>
      </c>
      <c r="G56" s="104">
        <f t="shared" si="3"/>
        <v>6064.8</v>
      </c>
      <c r="H56" s="105">
        <f t="shared" si="4"/>
        <v>0</v>
      </c>
    </row>
    <row r="57" spans="2:8" x14ac:dyDescent="0.25">
      <c r="B57" s="34">
        <v>53</v>
      </c>
      <c r="C57" s="104">
        <f t="shared" si="5"/>
        <v>13926.499999999998</v>
      </c>
      <c r="D57" s="104">
        <f t="shared" si="0"/>
        <v>12168.839999999998</v>
      </c>
      <c r="E57" s="104">
        <f t="shared" si="1"/>
        <v>8365.5</v>
      </c>
      <c r="F57" s="104">
        <f t="shared" si="2"/>
        <v>8365.5</v>
      </c>
      <c r="G57" s="104">
        <f t="shared" si="3"/>
        <v>6308.4000000000005</v>
      </c>
      <c r="H57" s="105">
        <f t="shared" si="4"/>
        <v>0</v>
      </c>
    </row>
    <row r="58" spans="2:8" x14ac:dyDescent="0.25">
      <c r="B58" s="34">
        <v>54</v>
      </c>
      <c r="C58" s="104">
        <f t="shared" si="5"/>
        <v>14468.15</v>
      </c>
      <c r="D58" s="104">
        <f t="shared" si="0"/>
        <v>12644.159999999998</v>
      </c>
      <c r="E58" s="104">
        <f t="shared" si="1"/>
        <v>8693.1</v>
      </c>
      <c r="F58" s="104">
        <f t="shared" si="2"/>
        <v>8693.1</v>
      </c>
      <c r="G58" s="104">
        <f t="shared" si="3"/>
        <v>6556.8</v>
      </c>
      <c r="H58" s="105">
        <f t="shared" si="4"/>
        <v>0</v>
      </c>
    </row>
    <row r="59" spans="2:8" x14ac:dyDescent="0.25">
      <c r="B59" s="34">
        <v>55</v>
      </c>
      <c r="C59" s="104">
        <f t="shared" si="5"/>
        <v>15020.15</v>
      </c>
      <c r="D59" s="104">
        <f t="shared" si="0"/>
        <v>13128.6</v>
      </c>
      <c r="E59" s="104">
        <f t="shared" si="1"/>
        <v>9027</v>
      </c>
      <c r="F59" s="104">
        <f t="shared" si="2"/>
        <v>9027</v>
      </c>
      <c r="G59" s="104">
        <f t="shared" si="3"/>
        <v>6810</v>
      </c>
      <c r="H59" s="105">
        <f t="shared" si="4"/>
        <v>0</v>
      </c>
    </row>
    <row r="60" spans="2:8" x14ac:dyDescent="0.25">
      <c r="B60" s="34">
        <v>56</v>
      </c>
      <c r="C60" s="104">
        <f t="shared" si="5"/>
        <v>15582.499999999998</v>
      </c>
      <c r="D60" s="104">
        <f t="shared" si="0"/>
        <v>13622.159999999998</v>
      </c>
      <c r="E60" s="104">
        <f t="shared" si="1"/>
        <v>9367.2000000000007</v>
      </c>
      <c r="F60" s="104">
        <f t="shared" si="2"/>
        <v>9367.2000000000007</v>
      </c>
      <c r="G60" s="104">
        <f t="shared" si="3"/>
        <v>7068</v>
      </c>
      <c r="H60" s="105">
        <f t="shared" si="4"/>
        <v>0</v>
      </c>
    </row>
    <row r="61" spans="2:8" x14ac:dyDescent="0.25">
      <c r="B61" s="34">
        <v>57</v>
      </c>
      <c r="C61" s="104">
        <f t="shared" si="5"/>
        <v>16155.199999999999</v>
      </c>
      <c r="D61" s="104">
        <f t="shared" si="0"/>
        <v>14124.839999999998</v>
      </c>
      <c r="E61" s="104">
        <f t="shared" si="1"/>
        <v>9713.7000000000007</v>
      </c>
      <c r="F61" s="104">
        <f t="shared" si="2"/>
        <v>9713.7000000000007</v>
      </c>
      <c r="G61" s="104">
        <f t="shared" si="3"/>
        <v>7330.8</v>
      </c>
      <c r="H61" s="105">
        <f t="shared" si="4"/>
        <v>0</v>
      </c>
    </row>
    <row r="62" spans="2:8" x14ac:dyDescent="0.25">
      <c r="B62" s="34">
        <v>58</v>
      </c>
      <c r="C62" s="104">
        <f t="shared" si="5"/>
        <v>16738.25</v>
      </c>
      <c r="D62" s="104">
        <f t="shared" si="0"/>
        <v>14636.639999999998</v>
      </c>
      <c r="E62" s="104">
        <f t="shared" si="1"/>
        <v>10066.5</v>
      </c>
      <c r="F62" s="104">
        <f t="shared" si="2"/>
        <v>10066.5</v>
      </c>
      <c r="G62" s="104">
        <f t="shared" si="3"/>
        <v>7598.4000000000005</v>
      </c>
      <c r="H62" s="105">
        <f t="shared" si="4"/>
        <v>0</v>
      </c>
    </row>
    <row r="63" spans="2:8" x14ac:dyDescent="0.25">
      <c r="B63" s="34">
        <v>59</v>
      </c>
      <c r="C63" s="104">
        <f t="shared" si="5"/>
        <v>17331.649999999998</v>
      </c>
      <c r="D63" s="104">
        <f t="shared" si="0"/>
        <v>15157.559999999998</v>
      </c>
      <c r="E63" s="104">
        <f t="shared" si="1"/>
        <v>10425.6</v>
      </c>
      <c r="F63" s="104">
        <f t="shared" si="2"/>
        <v>10425.6</v>
      </c>
      <c r="G63" s="104">
        <f t="shared" si="3"/>
        <v>7870.8</v>
      </c>
      <c r="H63" s="105">
        <f t="shared" si="4"/>
        <v>0</v>
      </c>
    </row>
    <row r="64" spans="2:8" x14ac:dyDescent="0.25">
      <c r="B64" s="34">
        <v>60</v>
      </c>
      <c r="C64" s="104">
        <f t="shared" si="5"/>
        <v>17935.399999999998</v>
      </c>
      <c r="D64" s="104">
        <f t="shared" si="0"/>
        <v>15687.599999999999</v>
      </c>
      <c r="E64" s="104">
        <f t="shared" si="1"/>
        <v>10791</v>
      </c>
      <c r="F64" s="104">
        <f t="shared" si="2"/>
        <v>10791</v>
      </c>
      <c r="G64" s="104">
        <f t="shared" si="3"/>
        <v>8148</v>
      </c>
      <c r="H64" s="105">
        <f t="shared" si="4"/>
        <v>0</v>
      </c>
    </row>
    <row r="65" spans="2:8" x14ac:dyDescent="0.25">
      <c r="B65" s="34">
        <v>61</v>
      </c>
      <c r="C65" s="104">
        <f t="shared" si="5"/>
        <v>18549.5</v>
      </c>
      <c r="D65" s="104">
        <f t="shared" si="0"/>
        <v>16226.759999999998</v>
      </c>
      <c r="E65" s="104">
        <f t="shared" si="1"/>
        <v>11162.7</v>
      </c>
      <c r="F65" s="104">
        <f t="shared" si="2"/>
        <v>11162.7</v>
      </c>
      <c r="G65" s="104">
        <f t="shared" si="3"/>
        <v>8430</v>
      </c>
      <c r="H65" s="105">
        <f t="shared" si="4"/>
        <v>0</v>
      </c>
    </row>
    <row r="66" spans="2:8" x14ac:dyDescent="0.25">
      <c r="B66" s="34">
        <v>62</v>
      </c>
      <c r="C66" s="104">
        <f t="shared" si="5"/>
        <v>19173.949999999997</v>
      </c>
      <c r="D66" s="104">
        <f t="shared" si="0"/>
        <v>16775.039999999997</v>
      </c>
      <c r="E66" s="104">
        <f t="shared" si="1"/>
        <v>11540.7</v>
      </c>
      <c r="F66" s="104">
        <f t="shared" si="2"/>
        <v>11540.7</v>
      </c>
      <c r="G66" s="104">
        <f t="shared" si="3"/>
        <v>8716.8000000000011</v>
      </c>
      <c r="H66" s="105">
        <f t="shared" si="4"/>
        <v>0</v>
      </c>
    </row>
    <row r="67" spans="2:8" x14ac:dyDescent="0.25">
      <c r="B67" s="34">
        <v>63</v>
      </c>
      <c r="C67" s="104">
        <f t="shared" si="5"/>
        <v>19808.75</v>
      </c>
      <c r="D67" s="104">
        <f t="shared" si="0"/>
        <v>17332.439999999999</v>
      </c>
      <c r="E67" s="104">
        <f t="shared" si="1"/>
        <v>11925</v>
      </c>
      <c r="F67" s="104">
        <f t="shared" si="2"/>
        <v>11925</v>
      </c>
      <c r="G67" s="104">
        <f t="shared" si="3"/>
        <v>9008.4</v>
      </c>
      <c r="H67" s="105">
        <f t="shared" si="4"/>
        <v>0</v>
      </c>
    </row>
    <row r="68" spans="2:8" x14ac:dyDescent="0.25">
      <c r="B68" s="34">
        <v>64</v>
      </c>
      <c r="C68" s="104">
        <f t="shared" si="5"/>
        <v>20453.899999999998</v>
      </c>
      <c r="D68" s="104">
        <f t="shared" si="0"/>
        <v>17898.96</v>
      </c>
      <c r="E68" s="104">
        <f t="shared" si="1"/>
        <v>12315.6</v>
      </c>
      <c r="F68" s="104">
        <f t="shared" si="2"/>
        <v>12315.6</v>
      </c>
      <c r="G68" s="104">
        <f t="shared" si="3"/>
        <v>9304.8000000000011</v>
      </c>
      <c r="H68" s="105">
        <f t="shared" si="4"/>
        <v>0</v>
      </c>
    </row>
    <row r="69" spans="2:8" x14ac:dyDescent="0.25">
      <c r="B69" s="34">
        <v>65</v>
      </c>
      <c r="C69" s="104">
        <f t="shared" si="5"/>
        <v>21109.399999999998</v>
      </c>
      <c r="D69" s="104">
        <f t="shared" si="0"/>
        <v>18474.599999999999</v>
      </c>
      <c r="E69" s="104">
        <f t="shared" si="1"/>
        <v>12712.5</v>
      </c>
      <c r="F69" s="104">
        <f t="shared" si="2"/>
        <v>12712.5</v>
      </c>
      <c r="G69" s="104">
        <f t="shared" si="3"/>
        <v>9606</v>
      </c>
      <c r="H69" s="105">
        <f t="shared" si="4"/>
        <v>0</v>
      </c>
    </row>
    <row r="70" spans="2:8" x14ac:dyDescent="0.25">
      <c r="B70" s="34">
        <v>66</v>
      </c>
      <c r="C70" s="104">
        <f t="shared" si="5"/>
        <v>21775.25</v>
      </c>
      <c r="D70" s="104">
        <f t="shared" si="0"/>
        <v>19059.359999999997</v>
      </c>
      <c r="E70" s="104">
        <f t="shared" si="1"/>
        <v>13115.7</v>
      </c>
      <c r="F70" s="104">
        <f t="shared" si="2"/>
        <v>13115.7</v>
      </c>
      <c r="G70" s="104">
        <f t="shared" si="3"/>
        <v>9912</v>
      </c>
      <c r="H70" s="105">
        <f t="shared" si="4"/>
        <v>0</v>
      </c>
    </row>
    <row r="71" spans="2:8" x14ac:dyDescent="0.25">
      <c r="B71" s="34">
        <v>67</v>
      </c>
      <c r="C71" s="104">
        <f t="shared" si="5"/>
        <v>22451.449999999997</v>
      </c>
      <c r="D71" s="104">
        <f t="shared" si="0"/>
        <v>19653.240000000002</v>
      </c>
      <c r="E71" s="104">
        <f t="shared" si="1"/>
        <v>13525.2</v>
      </c>
      <c r="F71" s="104">
        <f t="shared" si="2"/>
        <v>13525.2</v>
      </c>
      <c r="G71" s="104">
        <f t="shared" si="3"/>
        <v>10222.800000000001</v>
      </c>
      <c r="H71" s="105">
        <f t="shared" si="4"/>
        <v>0</v>
      </c>
    </row>
    <row r="72" spans="2:8" x14ac:dyDescent="0.25">
      <c r="B72" s="34">
        <v>68</v>
      </c>
      <c r="C72" s="104">
        <f t="shared" si="5"/>
        <v>23138</v>
      </c>
      <c r="D72" s="104">
        <f t="shared" ref="D72:D104" si="6">(3.8*B72*B72-10.5*B72+23)*(1+$K$12)*$K$9</f>
        <v>20256.239999999994</v>
      </c>
      <c r="E72" s="104">
        <f t="shared" ref="E72:E104" si="7">(3.5*B72*B72-10.5*B72+20)*(1+$K$13)*$K$9</f>
        <v>13941</v>
      </c>
      <c r="F72" s="104">
        <f t="shared" ref="F72:F104" si="8">(3.5*B72*B72-10.5*B72+20)*(1+$K$14)*$K$9</f>
        <v>13941</v>
      </c>
      <c r="G72" s="104">
        <f t="shared" ref="G72:G104" si="9">(3*B72*B72-10.5*B72+15)*(1+$K$15)*$K$9</f>
        <v>10538.400000000001</v>
      </c>
      <c r="H72" s="105">
        <f t="shared" ref="H72:H104" si="10">(IF(OR($K$5="M",$K$5="N",$K$5="O",$K$5="P",$K$5="Q",$K$5="R",$K$5="T",$K$5="U",$K$5="V"),0,B72*(B72/2)))*(1+$K$16)*$K$9</f>
        <v>0</v>
      </c>
    </row>
    <row r="73" spans="2:8" x14ac:dyDescent="0.25">
      <c r="B73" s="34">
        <v>69</v>
      </c>
      <c r="C73" s="104">
        <f t="shared" ref="C73:C104" si="11">(4.5*B73*B73-10.5*B73+26)*(1+$K$11)*$K$9</f>
        <v>23834.899999999998</v>
      </c>
      <c r="D73" s="104">
        <f t="shared" si="6"/>
        <v>20868.359999999997</v>
      </c>
      <c r="E73" s="104">
        <f t="shared" si="7"/>
        <v>14363.1</v>
      </c>
      <c r="F73" s="104">
        <f t="shared" si="8"/>
        <v>14363.1</v>
      </c>
      <c r="G73" s="104">
        <f t="shared" si="9"/>
        <v>10858.800000000001</v>
      </c>
      <c r="H73" s="105">
        <f t="shared" si="10"/>
        <v>0</v>
      </c>
    </row>
    <row r="74" spans="2:8" x14ac:dyDescent="0.25">
      <c r="B74" s="34">
        <v>70</v>
      </c>
      <c r="C74" s="104">
        <f t="shared" si="11"/>
        <v>24542.149999999998</v>
      </c>
      <c r="D74" s="104">
        <f t="shared" si="6"/>
        <v>21489.599999999999</v>
      </c>
      <c r="E74" s="104">
        <f t="shared" si="7"/>
        <v>14791.5</v>
      </c>
      <c r="F74" s="104">
        <f t="shared" si="8"/>
        <v>14791.5</v>
      </c>
      <c r="G74" s="104">
        <f t="shared" si="9"/>
        <v>11184</v>
      </c>
      <c r="H74" s="105">
        <f t="shared" si="10"/>
        <v>0</v>
      </c>
    </row>
    <row r="75" spans="2:8" x14ac:dyDescent="0.25">
      <c r="B75" s="34">
        <v>71</v>
      </c>
      <c r="C75" s="104">
        <f t="shared" si="11"/>
        <v>25259.749999999996</v>
      </c>
      <c r="D75" s="104">
        <f t="shared" si="6"/>
        <v>22119.96</v>
      </c>
      <c r="E75" s="104">
        <f t="shared" si="7"/>
        <v>15226.2</v>
      </c>
      <c r="F75" s="104">
        <f t="shared" si="8"/>
        <v>15226.2</v>
      </c>
      <c r="G75" s="104">
        <f t="shared" si="9"/>
        <v>11514</v>
      </c>
      <c r="H75" s="105">
        <f t="shared" si="10"/>
        <v>0</v>
      </c>
    </row>
    <row r="76" spans="2:8" x14ac:dyDescent="0.25">
      <c r="B76" s="34">
        <v>72</v>
      </c>
      <c r="C76" s="104">
        <f t="shared" si="11"/>
        <v>25987.699999999997</v>
      </c>
      <c r="D76" s="104">
        <f t="shared" si="6"/>
        <v>22759.439999999995</v>
      </c>
      <c r="E76" s="104">
        <f t="shared" si="7"/>
        <v>15667.2</v>
      </c>
      <c r="F76" s="104">
        <f t="shared" si="8"/>
        <v>15667.2</v>
      </c>
      <c r="G76" s="104">
        <f t="shared" si="9"/>
        <v>11848.800000000001</v>
      </c>
      <c r="H76" s="105">
        <f t="shared" si="10"/>
        <v>0</v>
      </c>
    </row>
    <row r="77" spans="2:8" x14ac:dyDescent="0.25">
      <c r="B77" s="34">
        <v>73</v>
      </c>
      <c r="C77" s="104">
        <f t="shared" si="11"/>
        <v>26725.999999999996</v>
      </c>
      <c r="D77" s="104">
        <f t="shared" si="6"/>
        <v>23408.039999999997</v>
      </c>
      <c r="E77" s="104">
        <f t="shared" si="7"/>
        <v>16114.5</v>
      </c>
      <c r="F77" s="104">
        <f t="shared" si="8"/>
        <v>16114.5</v>
      </c>
      <c r="G77" s="104">
        <f t="shared" si="9"/>
        <v>12188.400000000001</v>
      </c>
      <c r="H77" s="105">
        <f t="shared" si="10"/>
        <v>0</v>
      </c>
    </row>
    <row r="78" spans="2:8" x14ac:dyDescent="0.25">
      <c r="B78" s="34">
        <v>74</v>
      </c>
      <c r="C78" s="104">
        <f t="shared" si="11"/>
        <v>27474.649999999998</v>
      </c>
      <c r="D78" s="104">
        <f t="shared" si="6"/>
        <v>24065.759999999998</v>
      </c>
      <c r="E78" s="104">
        <f t="shared" si="7"/>
        <v>16568.100000000002</v>
      </c>
      <c r="F78" s="104">
        <f t="shared" si="8"/>
        <v>16568.100000000002</v>
      </c>
      <c r="G78" s="104">
        <f t="shared" si="9"/>
        <v>12532.800000000001</v>
      </c>
      <c r="H78" s="105">
        <f t="shared" si="10"/>
        <v>0</v>
      </c>
    </row>
    <row r="79" spans="2:8" x14ac:dyDescent="0.25">
      <c r="B79" s="34">
        <v>75</v>
      </c>
      <c r="C79" s="104">
        <f t="shared" si="11"/>
        <v>28233.649999999998</v>
      </c>
      <c r="D79" s="104">
        <f t="shared" si="6"/>
        <v>24732.6</v>
      </c>
      <c r="E79" s="104">
        <f t="shared" si="7"/>
        <v>17028</v>
      </c>
      <c r="F79" s="104">
        <f t="shared" si="8"/>
        <v>17028</v>
      </c>
      <c r="G79" s="104">
        <f t="shared" si="9"/>
        <v>12882</v>
      </c>
      <c r="H79" s="105">
        <f t="shared" si="10"/>
        <v>0</v>
      </c>
    </row>
    <row r="80" spans="2:8" x14ac:dyDescent="0.25">
      <c r="B80" s="34">
        <v>76</v>
      </c>
      <c r="C80" s="104">
        <f t="shared" si="11"/>
        <v>29002.999999999996</v>
      </c>
      <c r="D80" s="104">
        <f t="shared" si="6"/>
        <v>25408.559999999998</v>
      </c>
      <c r="E80" s="104">
        <f t="shared" si="7"/>
        <v>17494.2</v>
      </c>
      <c r="F80" s="104">
        <f t="shared" si="8"/>
        <v>17494.2</v>
      </c>
      <c r="G80" s="104">
        <f t="shared" si="9"/>
        <v>13236</v>
      </c>
      <c r="H80" s="105">
        <f t="shared" si="10"/>
        <v>0</v>
      </c>
    </row>
    <row r="81" spans="2:8" x14ac:dyDescent="0.25">
      <c r="B81" s="34">
        <v>77</v>
      </c>
      <c r="C81" s="104">
        <f t="shared" si="11"/>
        <v>29782.699999999997</v>
      </c>
      <c r="D81" s="104">
        <f t="shared" si="6"/>
        <v>26093.639999999996</v>
      </c>
      <c r="E81" s="104">
        <f t="shared" si="7"/>
        <v>17966.7</v>
      </c>
      <c r="F81" s="104">
        <f t="shared" si="8"/>
        <v>17966.7</v>
      </c>
      <c r="G81" s="104">
        <f t="shared" si="9"/>
        <v>13594.800000000001</v>
      </c>
      <c r="H81" s="105">
        <f t="shared" si="10"/>
        <v>0</v>
      </c>
    </row>
    <row r="82" spans="2:8" x14ac:dyDescent="0.25">
      <c r="B82" s="34">
        <v>78</v>
      </c>
      <c r="C82" s="104">
        <f t="shared" si="11"/>
        <v>30572.749999999996</v>
      </c>
      <c r="D82" s="104">
        <f t="shared" si="6"/>
        <v>26787.839999999997</v>
      </c>
      <c r="E82" s="104">
        <f t="shared" si="7"/>
        <v>18445.5</v>
      </c>
      <c r="F82" s="104">
        <f t="shared" si="8"/>
        <v>18445.5</v>
      </c>
      <c r="G82" s="104">
        <f t="shared" si="9"/>
        <v>13958.400000000001</v>
      </c>
      <c r="H82" s="105">
        <f t="shared" si="10"/>
        <v>0</v>
      </c>
    </row>
    <row r="83" spans="2:8" x14ac:dyDescent="0.25">
      <c r="B83" s="34">
        <v>79</v>
      </c>
      <c r="C83" s="104">
        <f t="shared" si="11"/>
        <v>31373.149999999998</v>
      </c>
      <c r="D83" s="104">
        <f t="shared" si="6"/>
        <v>27491.16</v>
      </c>
      <c r="E83" s="104">
        <f t="shared" si="7"/>
        <v>18930.600000000002</v>
      </c>
      <c r="F83" s="104">
        <f t="shared" si="8"/>
        <v>18930.600000000002</v>
      </c>
      <c r="G83" s="104">
        <f t="shared" si="9"/>
        <v>14326.800000000001</v>
      </c>
      <c r="H83" s="105">
        <f t="shared" si="10"/>
        <v>0</v>
      </c>
    </row>
    <row r="84" spans="2:8" x14ac:dyDescent="0.25">
      <c r="B84" s="34">
        <v>80</v>
      </c>
      <c r="C84" s="104">
        <f t="shared" si="11"/>
        <v>32183.899999999998</v>
      </c>
      <c r="D84" s="104">
        <f t="shared" si="6"/>
        <v>28203.599999999999</v>
      </c>
      <c r="E84" s="104">
        <f t="shared" si="7"/>
        <v>19422</v>
      </c>
      <c r="F84" s="104">
        <f t="shared" si="8"/>
        <v>19422</v>
      </c>
      <c r="G84" s="104">
        <f t="shared" si="9"/>
        <v>14700</v>
      </c>
      <c r="H84" s="105">
        <f t="shared" si="10"/>
        <v>0</v>
      </c>
    </row>
    <row r="85" spans="2:8" x14ac:dyDescent="0.25">
      <c r="B85" s="34">
        <v>81</v>
      </c>
      <c r="C85" s="104">
        <f t="shared" si="11"/>
        <v>33005</v>
      </c>
      <c r="D85" s="104">
        <f t="shared" si="6"/>
        <v>28925.16</v>
      </c>
      <c r="E85" s="104">
        <f t="shared" si="7"/>
        <v>19919.7</v>
      </c>
      <c r="F85" s="104">
        <f t="shared" si="8"/>
        <v>19919.7</v>
      </c>
      <c r="G85" s="104">
        <f t="shared" si="9"/>
        <v>15078</v>
      </c>
      <c r="H85" s="105">
        <f t="shared" si="10"/>
        <v>0</v>
      </c>
    </row>
    <row r="86" spans="2:8" x14ac:dyDescent="0.25">
      <c r="B86" s="34">
        <v>82</v>
      </c>
      <c r="C86" s="104">
        <f t="shared" si="11"/>
        <v>33836.449999999997</v>
      </c>
      <c r="D86" s="104">
        <f t="shared" si="6"/>
        <v>29655.839999999997</v>
      </c>
      <c r="E86" s="104">
        <f t="shared" si="7"/>
        <v>20423.7</v>
      </c>
      <c r="F86" s="104">
        <f t="shared" si="8"/>
        <v>20423.7</v>
      </c>
      <c r="G86" s="104">
        <f t="shared" si="9"/>
        <v>15460.800000000001</v>
      </c>
      <c r="H86" s="105">
        <f t="shared" si="10"/>
        <v>0</v>
      </c>
    </row>
    <row r="87" spans="2:8" x14ac:dyDescent="0.25">
      <c r="B87" s="34">
        <v>83</v>
      </c>
      <c r="C87" s="104">
        <f t="shared" si="11"/>
        <v>34678.25</v>
      </c>
      <c r="D87" s="104">
        <f t="shared" si="6"/>
        <v>30395.639999999996</v>
      </c>
      <c r="E87" s="104">
        <f t="shared" si="7"/>
        <v>20934</v>
      </c>
      <c r="F87" s="104">
        <f t="shared" si="8"/>
        <v>20934</v>
      </c>
      <c r="G87" s="104">
        <f t="shared" si="9"/>
        <v>15848.400000000001</v>
      </c>
      <c r="H87" s="105">
        <f t="shared" si="10"/>
        <v>0</v>
      </c>
    </row>
    <row r="88" spans="2:8" x14ac:dyDescent="0.25">
      <c r="B88" s="34">
        <v>84</v>
      </c>
      <c r="C88" s="104">
        <f t="shared" si="11"/>
        <v>35530.399999999994</v>
      </c>
      <c r="D88" s="104">
        <f t="shared" si="6"/>
        <v>31144.559999999998</v>
      </c>
      <c r="E88" s="104">
        <f t="shared" si="7"/>
        <v>21450.600000000002</v>
      </c>
      <c r="F88" s="104">
        <f t="shared" si="8"/>
        <v>21450.600000000002</v>
      </c>
      <c r="G88" s="104">
        <f t="shared" si="9"/>
        <v>16240.800000000001</v>
      </c>
      <c r="H88" s="105">
        <f t="shared" si="10"/>
        <v>0</v>
      </c>
    </row>
    <row r="89" spans="2:8" x14ac:dyDescent="0.25">
      <c r="B89" s="34">
        <v>85</v>
      </c>
      <c r="C89" s="104">
        <f t="shared" si="11"/>
        <v>36392.899999999994</v>
      </c>
      <c r="D89" s="104">
        <f t="shared" si="6"/>
        <v>31902.6</v>
      </c>
      <c r="E89" s="104">
        <f t="shared" si="7"/>
        <v>21973.5</v>
      </c>
      <c r="F89" s="104">
        <f t="shared" si="8"/>
        <v>21973.5</v>
      </c>
      <c r="G89" s="104">
        <f t="shared" si="9"/>
        <v>16638</v>
      </c>
      <c r="H89" s="105">
        <f t="shared" si="10"/>
        <v>0</v>
      </c>
    </row>
    <row r="90" spans="2:8" x14ac:dyDescent="0.25">
      <c r="B90" s="34">
        <v>86</v>
      </c>
      <c r="C90" s="104">
        <f t="shared" si="11"/>
        <v>37265.75</v>
      </c>
      <c r="D90" s="104">
        <f t="shared" si="6"/>
        <v>32669.759999999998</v>
      </c>
      <c r="E90" s="104">
        <f t="shared" si="7"/>
        <v>22502.7</v>
      </c>
      <c r="F90" s="104">
        <f t="shared" si="8"/>
        <v>22502.7</v>
      </c>
      <c r="G90" s="104">
        <f t="shared" si="9"/>
        <v>17040</v>
      </c>
      <c r="H90" s="105">
        <f t="shared" si="10"/>
        <v>0</v>
      </c>
    </row>
    <row r="91" spans="2:8" x14ac:dyDescent="0.25">
      <c r="B91" s="34">
        <v>87</v>
      </c>
      <c r="C91" s="104">
        <f t="shared" si="11"/>
        <v>38148.949999999997</v>
      </c>
      <c r="D91" s="104">
        <f t="shared" si="6"/>
        <v>33446.039999999994</v>
      </c>
      <c r="E91" s="104">
        <f t="shared" si="7"/>
        <v>23038.2</v>
      </c>
      <c r="F91" s="104">
        <f t="shared" si="8"/>
        <v>23038.2</v>
      </c>
      <c r="G91" s="104">
        <f t="shared" si="9"/>
        <v>17446.8</v>
      </c>
      <c r="H91" s="105">
        <f t="shared" si="10"/>
        <v>0</v>
      </c>
    </row>
    <row r="92" spans="2:8" x14ac:dyDescent="0.25">
      <c r="B92" s="34">
        <v>88</v>
      </c>
      <c r="C92" s="104">
        <f t="shared" si="11"/>
        <v>39042.5</v>
      </c>
      <c r="D92" s="104">
        <f t="shared" si="6"/>
        <v>34231.439999999995</v>
      </c>
      <c r="E92" s="104">
        <f t="shared" si="7"/>
        <v>23580</v>
      </c>
      <c r="F92" s="104">
        <f t="shared" si="8"/>
        <v>23580</v>
      </c>
      <c r="G92" s="104">
        <f t="shared" si="9"/>
        <v>17858.400000000001</v>
      </c>
      <c r="H92" s="105">
        <f t="shared" si="10"/>
        <v>0</v>
      </c>
    </row>
    <row r="93" spans="2:8" x14ac:dyDescent="0.25">
      <c r="B93" s="34">
        <v>89</v>
      </c>
      <c r="C93" s="104">
        <f t="shared" si="11"/>
        <v>39946.399999999994</v>
      </c>
      <c r="D93" s="104">
        <f t="shared" si="6"/>
        <v>35025.96</v>
      </c>
      <c r="E93" s="104">
        <f t="shared" si="7"/>
        <v>24128.100000000002</v>
      </c>
      <c r="F93" s="104">
        <f t="shared" si="8"/>
        <v>24128.100000000002</v>
      </c>
      <c r="G93" s="104">
        <f t="shared" si="9"/>
        <v>18274.8</v>
      </c>
      <c r="H93" s="105">
        <f t="shared" si="10"/>
        <v>0</v>
      </c>
    </row>
    <row r="94" spans="2:8" x14ac:dyDescent="0.25">
      <c r="B94" s="34">
        <v>90</v>
      </c>
      <c r="C94" s="104">
        <f t="shared" si="11"/>
        <v>40860.649999999994</v>
      </c>
      <c r="D94" s="104">
        <f t="shared" si="6"/>
        <v>35829.599999999999</v>
      </c>
      <c r="E94" s="104">
        <f t="shared" si="7"/>
        <v>24682.5</v>
      </c>
      <c r="F94" s="104">
        <f t="shared" si="8"/>
        <v>24682.5</v>
      </c>
      <c r="G94" s="104">
        <f t="shared" si="9"/>
        <v>18696</v>
      </c>
      <c r="H94" s="105">
        <f t="shared" si="10"/>
        <v>0</v>
      </c>
    </row>
    <row r="95" spans="2:8" x14ac:dyDescent="0.25">
      <c r="B95" s="34">
        <v>91</v>
      </c>
      <c r="C95" s="104">
        <f t="shared" si="11"/>
        <v>41785.25</v>
      </c>
      <c r="D95" s="104">
        <f t="shared" si="6"/>
        <v>36642.36</v>
      </c>
      <c r="E95" s="104">
        <f t="shared" si="7"/>
        <v>25243.200000000001</v>
      </c>
      <c r="F95" s="104">
        <f t="shared" si="8"/>
        <v>25243.200000000001</v>
      </c>
      <c r="G95" s="104">
        <f t="shared" si="9"/>
        <v>19122</v>
      </c>
      <c r="H95" s="105">
        <f t="shared" si="10"/>
        <v>0</v>
      </c>
    </row>
    <row r="96" spans="2:8" x14ac:dyDescent="0.25">
      <c r="B96" s="34">
        <v>92</v>
      </c>
      <c r="C96" s="104">
        <f t="shared" si="11"/>
        <v>42720.2</v>
      </c>
      <c r="D96" s="104">
        <f t="shared" si="6"/>
        <v>37464.239999999998</v>
      </c>
      <c r="E96" s="104">
        <f t="shared" si="7"/>
        <v>25810.2</v>
      </c>
      <c r="F96" s="104">
        <f t="shared" si="8"/>
        <v>25810.2</v>
      </c>
      <c r="G96" s="104">
        <f t="shared" si="9"/>
        <v>19552.8</v>
      </c>
      <c r="H96" s="105">
        <f t="shared" si="10"/>
        <v>0</v>
      </c>
    </row>
    <row r="97" spans="2:8" x14ac:dyDescent="0.25">
      <c r="B97" s="34">
        <v>93</v>
      </c>
      <c r="C97" s="104">
        <f t="shared" si="11"/>
        <v>43665.5</v>
      </c>
      <c r="D97" s="104">
        <f t="shared" si="6"/>
        <v>38295.24</v>
      </c>
      <c r="E97" s="104">
        <f t="shared" si="7"/>
        <v>26383.5</v>
      </c>
      <c r="F97" s="104">
        <f t="shared" si="8"/>
        <v>26383.5</v>
      </c>
      <c r="G97" s="104">
        <f t="shared" si="9"/>
        <v>19988.400000000001</v>
      </c>
      <c r="H97" s="105">
        <f t="shared" si="10"/>
        <v>0</v>
      </c>
    </row>
    <row r="98" spans="2:8" x14ac:dyDescent="0.25">
      <c r="B98" s="34">
        <v>94</v>
      </c>
      <c r="C98" s="104">
        <f t="shared" si="11"/>
        <v>44621.149999999994</v>
      </c>
      <c r="D98" s="104">
        <f t="shared" si="6"/>
        <v>39135.359999999993</v>
      </c>
      <c r="E98" s="104">
        <f t="shared" si="7"/>
        <v>26963.100000000002</v>
      </c>
      <c r="F98" s="104">
        <f t="shared" si="8"/>
        <v>26963.100000000002</v>
      </c>
      <c r="G98" s="104">
        <f t="shared" si="9"/>
        <v>20428.800000000003</v>
      </c>
      <c r="H98" s="105">
        <f t="shared" si="10"/>
        <v>0</v>
      </c>
    </row>
    <row r="99" spans="2:8" x14ac:dyDescent="0.25">
      <c r="B99" s="34">
        <v>95</v>
      </c>
      <c r="C99" s="104">
        <f t="shared" si="11"/>
        <v>45587.149999999994</v>
      </c>
      <c r="D99" s="104">
        <f t="shared" si="6"/>
        <v>39984.6</v>
      </c>
      <c r="E99" s="104">
        <f t="shared" si="7"/>
        <v>27549</v>
      </c>
      <c r="F99" s="104">
        <f t="shared" si="8"/>
        <v>27549</v>
      </c>
      <c r="G99" s="104">
        <f t="shared" si="9"/>
        <v>20874</v>
      </c>
      <c r="H99" s="105">
        <f t="shared" si="10"/>
        <v>0</v>
      </c>
    </row>
    <row r="100" spans="2:8" x14ac:dyDescent="0.25">
      <c r="B100" s="34">
        <v>96</v>
      </c>
      <c r="C100" s="104">
        <f t="shared" si="11"/>
        <v>46563.5</v>
      </c>
      <c r="D100" s="104">
        <f t="shared" si="6"/>
        <v>40842.959999999992</v>
      </c>
      <c r="E100" s="104">
        <f t="shared" si="7"/>
        <v>28141.200000000001</v>
      </c>
      <c r="F100" s="104">
        <f t="shared" si="8"/>
        <v>28141.200000000001</v>
      </c>
      <c r="G100" s="104">
        <f t="shared" si="9"/>
        <v>21324</v>
      </c>
      <c r="H100" s="105">
        <f t="shared" si="10"/>
        <v>0</v>
      </c>
    </row>
    <row r="101" spans="2:8" x14ac:dyDescent="0.25">
      <c r="B101" s="34">
        <v>97</v>
      </c>
      <c r="C101" s="104">
        <f t="shared" si="11"/>
        <v>47550.2</v>
      </c>
      <c r="D101" s="104">
        <f t="shared" si="6"/>
        <v>41710.439999999995</v>
      </c>
      <c r="E101" s="104">
        <f t="shared" si="7"/>
        <v>28739.7</v>
      </c>
      <c r="F101" s="104">
        <f t="shared" si="8"/>
        <v>28739.7</v>
      </c>
      <c r="G101" s="104">
        <f t="shared" si="9"/>
        <v>21778.800000000003</v>
      </c>
      <c r="H101" s="105">
        <f t="shared" si="10"/>
        <v>0</v>
      </c>
    </row>
    <row r="102" spans="2:8" x14ac:dyDescent="0.25">
      <c r="B102" s="34">
        <v>98</v>
      </c>
      <c r="C102" s="104">
        <f t="shared" si="11"/>
        <v>48547.249999999993</v>
      </c>
      <c r="D102" s="104">
        <f t="shared" si="6"/>
        <v>42587.039999999994</v>
      </c>
      <c r="E102" s="104">
        <f t="shared" si="7"/>
        <v>29344.5</v>
      </c>
      <c r="F102" s="104">
        <f t="shared" si="8"/>
        <v>29344.5</v>
      </c>
      <c r="G102" s="104">
        <f t="shared" si="9"/>
        <v>22238.400000000001</v>
      </c>
      <c r="H102" s="105">
        <f t="shared" si="10"/>
        <v>0</v>
      </c>
    </row>
    <row r="103" spans="2:8" x14ac:dyDescent="0.25">
      <c r="B103" s="34">
        <v>99</v>
      </c>
      <c r="C103" s="104">
        <f t="shared" si="11"/>
        <v>49554.649999999994</v>
      </c>
      <c r="D103" s="104">
        <f t="shared" si="6"/>
        <v>43472.759999999995</v>
      </c>
      <c r="E103" s="104">
        <f t="shared" si="7"/>
        <v>29955.600000000002</v>
      </c>
      <c r="F103" s="104">
        <f t="shared" si="8"/>
        <v>29955.600000000002</v>
      </c>
      <c r="G103" s="104">
        <f t="shared" si="9"/>
        <v>22702.800000000003</v>
      </c>
      <c r="H103" s="105">
        <f t="shared" si="10"/>
        <v>0</v>
      </c>
    </row>
    <row r="104" spans="2:8" ht="15.75" thickBot="1" x14ac:dyDescent="0.3">
      <c r="B104" s="38">
        <v>100</v>
      </c>
      <c r="C104" s="106">
        <f t="shared" si="11"/>
        <v>50572.399999999994</v>
      </c>
      <c r="D104" s="359">
        <f t="shared" si="6"/>
        <v>44367.6</v>
      </c>
      <c r="E104" s="106">
        <f t="shared" si="7"/>
        <v>30573</v>
      </c>
      <c r="F104" s="106">
        <f t="shared" si="8"/>
        <v>30573</v>
      </c>
      <c r="G104" s="106">
        <f t="shared" si="9"/>
        <v>23172</v>
      </c>
      <c r="H104" s="107">
        <f t="shared" si="10"/>
        <v>0</v>
      </c>
    </row>
  </sheetData>
  <dataValidations count="2">
    <dataValidation type="list" allowBlank="1" showInputMessage="1" showErrorMessage="1" sqref="K3" xr:uid="{4814DDC1-5CA1-476F-8C7E-3280EF0D72DF}">
      <formula1>"Ja,Nein"</formula1>
    </dataValidation>
    <dataValidation type="list" allowBlank="1" showInputMessage="1" showErrorMessage="1" sqref="K5" xr:uid="{D3BDEABD-D2E4-43D2-B51F-3626303281BF}">
      <formula1>$N$3:$AC$3</formula1>
    </dataValidation>
  </dataValidations>
  <pageMargins left="0.7" right="0.7" top="0.78740157499999996" bottom="0.78740157499999996" header="0.3" footer="0.3"/>
  <pageSetup paperSize="9" orientation="portrait" r:id="rId1"/>
  <headerFooter>
    <oddHeader>&amp;R&amp;"Arial"&amp;9&amp;K737373 Copyright Protection: Confidential - ISO 16016&amp;1#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C6EEC-2398-462A-881A-467BA4B29909}">
  <dimension ref="B2:E54"/>
  <sheetViews>
    <sheetView showGridLines="0" topLeftCell="A2" workbookViewId="0">
      <selection activeCell="F40" sqref="F40"/>
    </sheetView>
  </sheetViews>
  <sheetFormatPr baseColWidth="10" defaultRowHeight="15" x14ac:dyDescent="0.25"/>
  <cols>
    <col min="3" max="4" width="14.28515625" customWidth="1"/>
    <col min="5" max="5" width="0" hidden="1" customWidth="1"/>
  </cols>
  <sheetData>
    <row r="2" spans="2:5" ht="15.75" thickBot="1" x14ac:dyDescent="0.3"/>
    <row r="3" spans="2:5" x14ac:dyDescent="0.25">
      <c r="B3" s="31" t="s">
        <v>40</v>
      </c>
      <c r="C3" s="32" t="s">
        <v>45</v>
      </c>
      <c r="D3" s="33" t="s">
        <v>6</v>
      </c>
    </row>
    <row r="4" spans="2:5" x14ac:dyDescent="0.25">
      <c r="B4" s="34">
        <v>0</v>
      </c>
      <c r="C4" s="35">
        <v>10000</v>
      </c>
      <c r="D4" s="36">
        <v>5000</v>
      </c>
      <c r="E4">
        <v>0</v>
      </c>
    </row>
    <row r="5" spans="2:5" x14ac:dyDescent="0.25">
      <c r="B5" s="34">
        <v>1</v>
      </c>
      <c r="C5" s="35">
        <v>17500</v>
      </c>
      <c r="D5" s="37">
        <v>12500</v>
      </c>
      <c r="E5">
        <v>1</v>
      </c>
    </row>
    <row r="6" spans="2:5" x14ac:dyDescent="0.25">
      <c r="B6" s="34">
        <v>2</v>
      </c>
      <c r="C6" s="35">
        <f t="shared" ref="C6:C39" si="0">C5+(B5*6000)+750</f>
        <v>24250</v>
      </c>
      <c r="D6" s="37">
        <f>D5+(B5*6000)+750</f>
        <v>19250</v>
      </c>
      <c r="E6">
        <v>2</v>
      </c>
    </row>
    <row r="7" spans="2:5" x14ac:dyDescent="0.25">
      <c r="B7" s="34">
        <v>3</v>
      </c>
      <c r="C7" s="35">
        <f t="shared" si="0"/>
        <v>37000</v>
      </c>
      <c r="D7" s="37">
        <f t="shared" ref="D7:D54" si="1">D6+(B6*6000)+750</f>
        <v>32000</v>
      </c>
      <c r="E7">
        <v>3</v>
      </c>
    </row>
    <row r="8" spans="2:5" x14ac:dyDescent="0.25">
      <c r="B8" s="34">
        <v>4</v>
      </c>
      <c r="C8" s="35">
        <f t="shared" si="0"/>
        <v>55750</v>
      </c>
      <c r="D8" s="37">
        <f t="shared" si="1"/>
        <v>50750</v>
      </c>
      <c r="E8">
        <v>4</v>
      </c>
    </row>
    <row r="9" spans="2:5" x14ac:dyDescent="0.25">
      <c r="B9" s="34">
        <v>5</v>
      </c>
      <c r="C9" s="35">
        <f t="shared" si="0"/>
        <v>80500</v>
      </c>
      <c r="D9" s="37">
        <f t="shared" si="1"/>
        <v>75500</v>
      </c>
      <c r="E9">
        <v>5</v>
      </c>
    </row>
    <row r="10" spans="2:5" x14ac:dyDescent="0.25">
      <c r="B10" s="34">
        <v>6</v>
      </c>
      <c r="C10" s="35">
        <f t="shared" si="0"/>
        <v>111250</v>
      </c>
      <c r="D10" s="37">
        <f t="shared" si="1"/>
        <v>106250</v>
      </c>
      <c r="E10">
        <v>6</v>
      </c>
    </row>
    <row r="11" spans="2:5" x14ac:dyDescent="0.25">
      <c r="B11" s="34">
        <v>7</v>
      </c>
      <c r="C11" s="35">
        <f t="shared" si="0"/>
        <v>148000</v>
      </c>
      <c r="D11" s="37">
        <f t="shared" si="1"/>
        <v>143000</v>
      </c>
      <c r="E11">
        <v>7</v>
      </c>
    </row>
    <row r="12" spans="2:5" x14ac:dyDescent="0.25">
      <c r="B12" s="34">
        <v>8</v>
      </c>
      <c r="C12" s="35">
        <f t="shared" si="0"/>
        <v>190750</v>
      </c>
      <c r="D12" s="37">
        <f t="shared" si="1"/>
        <v>185750</v>
      </c>
      <c r="E12">
        <v>8</v>
      </c>
    </row>
    <row r="13" spans="2:5" x14ac:dyDescent="0.25">
      <c r="B13" s="34">
        <v>9</v>
      </c>
      <c r="C13" s="35">
        <f t="shared" si="0"/>
        <v>239500</v>
      </c>
      <c r="D13" s="37">
        <f t="shared" si="1"/>
        <v>234500</v>
      </c>
      <c r="E13">
        <v>9</v>
      </c>
    </row>
    <row r="14" spans="2:5" x14ac:dyDescent="0.25">
      <c r="B14" s="34">
        <v>10</v>
      </c>
      <c r="C14" s="35">
        <f t="shared" si="0"/>
        <v>294250</v>
      </c>
      <c r="D14" s="37">
        <f t="shared" si="1"/>
        <v>289250</v>
      </c>
      <c r="E14">
        <v>10</v>
      </c>
    </row>
    <row r="15" spans="2:5" x14ac:dyDescent="0.25">
      <c r="B15" s="34">
        <v>11</v>
      </c>
      <c r="C15" s="35">
        <f t="shared" si="0"/>
        <v>355000</v>
      </c>
      <c r="D15" s="37">
        <f t="shared" si="1"/>
        <v>350000</v>
      </c>
      <c r="E15">
        <v>11</v>
      </c>
    </row>
    <row r="16" spans="2:5" x14ac:dyDescent="0.25">
      <c r="B16" s="34">
        <v>12</v>
      </c>
      <c r="C16" s="35">
        <f t="shared" si="0"/>
        <v>421750</v>
      </c>
      <c r="D16" s="37">
        <f t="shared" si="1"/>
        <v>416750</v>
      </c>
      <c r="E16">
        <v>12</v>
      </c>
    </row>
    <row r="17" spans="2:5" x14ac:dyDescent="0.25">
      <c r="B17" s="34">
        <v>13</v>
      </c>
      <c r="C17" s="35">
        <f t="shared" si="0"/>
        <v>494500</v>
      </c>
      <c r="D17" s="37">
        <f t="shared" si="1"/>
        <v>489500</v>
      </c>
      <c r="E17">
        <v>13</v>
      </c>
    </row>
    <row r="18" spans="2:5" x14ac:dyDescent="0.25">
      <c r="B18" s="34">
        <v>14</v>
      </c>
      <c r="C18" s="35">
        <f t="shared" si="0"/>
        <v>573250</v>
      </c>
      <c r="D18" s="37">
        <f t="shared" si="1"/>
        <v>568250</v>
      </c>
      <c r="E18">
        <v>14</v>
      </c>
    </row>
    <row r="19" spans="2:5" x14ac:dyDescent="0.25">
      <c r="B19" s="34">
        <v>15</v>
      </c>
      <c r="C19" s="35">
        <f t="shared" si="0"/>
        <v>658000</v>
      </c>
      <c r="D19" s="37">
        <f t="shared" si="1"/>
        <v>653000</v>
      </c>
      <c r="E19">
        <v>15</v>
      </c>
    </row>
    <row r="20" spans="2:5" x14ac:dyDescent="0.25">
      <c r="B20" s="34">
        <v>16</v>
      </c>
      <c r="C20" s="35">
        <f t="shared" si="0"/>
        <v>748750</v>
      </c>
      <c r="D20" s="37">
        <f t="shared" si="1"/>
        <v>743750</v>
      </c>
      <c r="E20">
        <v>16</v>
      </c>
    </row>
    <row r="21" spans="2:5" x14ac:dyDescent="0.25">
      <c r="B21" s="34">
        <v>17</v>
      </c>
      <c r="C21" s="35">
        <f t="shared" si="0"/>
        <v>845500</v>
      </c>
      <c r="D21" s="37">
        <f t="shared" si="1"/>
        <v>840500</v>
      </c>
      <c r="E21">
        <v>17</v>
      </c>
    </row>
    <row r="22" spans="2:5" x14ac:dyDescent="0.25">
      <c r="B22" s="34">
        <v>18</v>
      </c>
      <c r="C22" s="35">
        <f t="shared" si="0"/>
        <v>948250</v>
      </c>
      <c r="D22" s="37">
        <f t="shared" si="1"/>
        <v>943250</v>
      </c>
      <c r="E22">
        <v>18</v>
      </c>
    </row>
    <row r="23" spans="2:5" x14ac:dyDescent="0.25">
      <c r="B23" s="34">
        <v>19</v>
      </c>
      <c r="C23" s="35">
        <f t="shared" si="0"/>
        <v>1057000</v>
      </c>
      <c r="D23" s="37">
        <f t="shared" si="1"/>
        <v>1052000</v>
      </c>
      <c r="E23">
        <v>19</v>
      </c>
    </row>
    <row r="24" spans="2:5" x14ac:dyDescent="0.25">
      <c r="B24" s="34">
        <v>20</v>
      </c>
      <c r="C24" s="35">
        <f t="shared" si="0"/>
        <v>1171750</v>
      </c>
      <c r="D24" s="37">
        <f t="shared" si="1"/>
        <v>1166750</v>
      </c>
      <c r="E24">
        <v>20</v>
      </c>
    </row>
    <row r="25" spans="2:5" x14ac:dyDescent="0.25">
      <c r="B25" s="34">
        <v>21</v>
      </c>
      <c r="C25" s="35">
        <f t="shared" si="0"/>
        <v>1292500</v>
      </c>
      <c r="D25" s="37">
        <f t="shared" si="1"/>
        <v>1287500</v>
      </c>
      <c r="E25">
        <v>21</v>
      </c>
    </row>
    <row r="26" spans="2:5" x14ac:dyDescent="0.25">
      <c r="B26" s="34">
        <v>22</v>
      </c>
      <c r="C26" s="35">
        <f t="shared" si="0"/>
        <v>1419250</v>
      </c>
      <c r="D26" s="37">
        <f t="shared" si="1"/>
        <v>1414250</v>
      </c>
      <c r="E26">
        <v>22</v>
      </c>
    </row>
    <row r="27" spans="2:5" x14ac:dyDescent="0.25">
      <c r="B27" s="34">
        <v>23</v>
      </c>
      <c r="C27" s="35">
        <f t="shared" si="0"/>
        <v>1552000</v>
      </c>
      <c r="D27" s="37">
        <f t="shared" si="1"/>
        <v>1547000</v>
      </c>
      <c r="E27">
        <v>23</v>
      </c>
    </row>
    <row r="28" spans="2:5" x14ac:dyDescent="0.25">
      <c r="B28" s="34">
        <v>24</v>
      </c>
      <c r="C28" s="35">
        <f t="shared" si="0"/>
        <v>1690750</v>
      </c>
      <c r="D28" s="37">
        <f t="shared" si="1"/>
        <v>1685750</v>
      </c>
      <c r="E28">
        <v>24</v>
      </c>
    </row>
    <row r="29" spans="2:5" x14ac:dyDescent="0.25">
      <c r="B29" s="34">
        <v>25</v>
      </c>
      <c r="C29" s="35">
        <f t="shared" si="0"/>
        <v>1835500</v>
      </c>
      <c r="D29" s="37">
        <f t="shared" si="1"/>
        <v>1830500</v>
      </c>
      <c r="E29">
        <v>25</v>
      </c>
    </row>
    <row r="30" spans="2:5" x14ac:dyDescent="0.25">
      <c r="B30" s="34">
        <v>26</v>
      </c>
      <c r="C30" s="35">
        <f t="shared" si="0"/>
        <v>1986250</v>
      </c>
      <c r="D30" s="37">
        <f t="shared" si="1"/>
        <v>1981250</v>
      </c>
      <c r="E30">
        <v>26</v>
      </c>
    </row>
    <row r="31" spans="2:5" x14ac:dyDescent="0.25">
      <c r="B31" s="34">
        <v>27</v>
      </c>
      <c r="C31" s="35">
        <f t="shared" si="0"/>
        <v>2143000</v>
      </c>
      <c r="D31" s="37">
        <f t="shared" si="1"/>
        <v>2138000</v>
      </c>
      <c r="E31">
        <v>27</v>
      </c>
    </row>
    <row r="32" spans="2:5" x14ac:dyDescent="0.25">
      <c r="B32" s="34">
        <v>28</v>
      </c>
      <c r="C32" s="35">
        <f t="shared" si="0"/>
        <v>2305750</v>
      </c>
      <c r="D32" s="37">
        <f t="shared" si="1"/>
        <v>2300750</v>
      </c>
      <c r="E32">
        <v>28</v>
      </c>
    </row>
    <row r="33" spans="2:5" x14ac:dyDescent="0.25">
      <c r="B33" s="34">
        <v>29</v>
      </c>
      <c r="C33" s="35">
        <f t="shared" si="0"/>
        <v>2474500</v>
      </c>
      <c r="D33" s="37">
        <f t="shared" si="1"/>
        <v>2469500</v>
      </c>
      <c r="E33">
        <v>29</v>
      </c>
    </row>
    <row r="34" spans="2:5" x14ac:dyDescent="0.25">
      <c r="B34" s="34">
        <v>30</v>
      </c>
      <c r="C34" s="35">
        <f t="shared" si="0"/>
        <v>2649250</v>
      </c>
      <c r="D34" s="37">
        <f t="shared" si="1"/>
        <v>2644250</v>
      </c>
      <c r="E34">
        <v>30</v>
      </c>
    </row>
    <row r="35" spans="2:5" x14ac:dyDescent="0.25">
      <c r="B35" s="34">
        <v>31</v>
      </c>
      <c r="C35" s="35">
        <f t="shared" si="0"/>
        <v>2830000</v>
      </c>
      <c r="D35" s="37">
        <f t="shared" si="1"/>
        <v>2825000</v>
      </c>
      <c r="E35">
        <v>31</v>
      </c>
    </row>
    <row r="36" spans="2:5" x14ac:dyDescent="0.25">
      <c r="B36" s="34">
        <v>32</v>
      </c>
      <c r="C36" s="35">
        <f t="shared" si="0"/>
        <v>3016750</v>
      </c>
      <c r="D36" s="37">
        <f t="shared" si="1"/>
        <v>3011750</v>
      </c>
      <c r="E36">
        <v>32</v>
      </c>
    </row>
    <row r="37" spans="2:5" x14ac:dyDescent="0.25">
      <c r="B37" s="34">
        <v>33</v>
      </c>
      <c r="C37" s="35">
        <f t="shared" si="0"/>
        <v>3209500</v>
      </c>
      <c r="D37" s="37">
        <f t="shared" si="1"/>
        <v>3204500</v>
      </c>
      <c r="E37">
        <v>33</v>
      </c>
    </row>
    <row r="38" spans="2:5" x14ac:dyDescent="0.25">
      <c r="B38" s="34">
        <v>34</v>
      </c>
      <c r="C38" s="35">
        <f t="shared" si="0"/>
        <v>3408250</v>
      </c>
      <c r="D38" s="37">
        <f t="shared" si="1"/>
        <v>3403250</v>
      </c>
      <c r="E38">
        <v>34</v>
      </c>
    </row>
    <row r="39" spans="2:5" x14ac:dyDescent="0.25">
      <c r="B39" s="34">
        <v>35</v>
      </c>
      <c r="C39" s="35">
        <f t="shared" si="0"/>
        <v>3613000</v>
      </c>
      <c r="D39" s="37">
        <f t="shared" si="1"/>
        <v>3608000</v>
      </c>
      <c r="E39">
        <v>35</v>
      </c>
    </row>
    <row r="40" spans="2:5" x14ac:dyDescent="0.25">
      <c r="B40" s="34">
        <v>36</v>
      </c>
      <c r="C40" s="35">
        <f t="shared" ref="C40:C54" si="2">C39+(B39*6000)+750</f>
        <v>3823750</v>
      </c>
      <c r="D40" s="37">
        <f t="shared" si="1"/>
        <v>3818750</v>
      </c>
      <c r="E40">
        <v>36</v>
      </c>
    </row>
    <row r="41" spans="2:5" x14ac:dyDescent="0.25">
      <c r="B41" s="34">
        <v>37</v>
      </c>
      <c r="C41" s="35">
        <f t="shared" si="2"/>
        <v>4040500</v>
      </c>
      <c r="D41" s="37">
        <f t="shared" si="1"/>
        <v>4035500</v>
      </c>
      <c r="E41">
        <v>37</v>
      </c>
    </row>
    <row r="42" spans="2:5" x14ac:dyDescent="0.25">
      <c r="B42" s="34">
        <v>38</v>
      </c>
      <c r="C42" s="35">
        <f t="shared" si="2"/>
        <v>4263250</v>
      </c>
      <c r="D42" s="37">
        <f t="shared" si="1"/>
        <v>4258250</v>
      </c>
      <c r="E42">
        <v>38</v>
      </c>
    </row>
    <row r="43" spans="2:5" x14ac:dyDescent="0.25">
      <c r="B43" s="34">
        <v>39</v>
      </c>
      <c r="C43" s="35">
        <f t="shared" si="2"/>
        <v>4492000</v>
      </c>
      <c r="D43" s="37">
        <f t="shared" si="1"/>
        <v>4487000</v>
      </c>
      <c r="E43">
        <v>39</v>
      </c>
    </row>
    <row r="44" spans="2:5" x14ac:dyDescent="0.25">
      <c r="B44" s="34">
        <v>40</v>
      </c>
      <c r="C44" s="35">
        <f t="shared" si="2"/>
        <v>4726750</v>
      </c>
      <c r="D44" s="37">
        <f t="shared" si="1"/>
        <v>4721750</v>
      </c>
      <c r="E44">
        <v>40</v>
      </c>
    </row>
    <row r="45" spans="2:5" x14ac:dyDescent="0.25">
      <c r="B45" s="34">
        <v>41</v>
      </c>
      <c r="C45" s="35">
        <f t="shared" si="2"/>
        <v>4967500</v>
      </c>
      <c r="D45" s="37">
        <f t="shared" si="1"/>
        <v>4962500</v>
      </c>
      <c r="E45">
        <v>41</v>
      </c>
    </row>
    <row r="46" spans="2:5" x14ac:dyDescent="0.25">
      <c r="B46" s="34">
        <v>42</v>
      </c>
      <c r="C46" s="35">
        <f t="shared" si="2"/>
        <v>5214250</v>
      </c>
      <c r="D46" s="37">
        <f t="shared" si="1"/>
        <v>5209250</v>
      </c>
      <c r="E46">
        <v>42</v>
      </c>
    </row>
    <row r="47" spans="2:5" x14ac:dyDescent="0.25">
      <c r="B47" s="34">
        <v>43</v>
      </c>
      <c r="C47" s="35">
        <f t="shared" si="2"/>
        <v>5467000</v>
      </c>
      <c r="D47" s="37">
        <f t="shared" si="1"/>
        <v>5462000</v>
      </c>
      <c r="E47">
        <v>43</v>
      </c>
    </row>
    <row r="48" spans="2:5" x14ac:dyDescent="0.25">
      <c r="B48" s="34">
        <v>44</v>
      </c>
      <c r="C48" s="35">
        <f t="shared" si="2"/>
        <v>5725750</v>
      </c>
      <c r="D48" s="37">
        <f t="shared" si="1"/>
        <v>5720750</v>
      </c>
      <c r="E48">
        <v>44</v>
      </c>
    </row>
    <row r="49" spans="2:5" x14ac:dyDescent="0.25">
      <c r="B49" s="34">
        <v>45</v>
      </c>
      <c r="C49" s="35">
        <f t="shared" si="2"/>
        <v>5990500</v>
      </c>
      <c r="D49" s="37">
        <f t="shared" si="1"/>
        <v>5985500</v>
      </c>
      <c r="E49">
        <v>45</v>
      </c>
    </row>
    <row r="50" spans="2:5" x14ac:dyDescent="0.25">
      <c r="B50" s="34">
        <v>46</v>
      </c>
      <c r="C50" s="35">
        <f t="shared" si="2"/>
        <v>6261250</v>
      </c>
      <c r="D50" s="37">
        <f t="shared" si="1"/>
        <v>6256250</v>
      </c>
      <c r="E50">
        <v>46</v>
      </c>
    </row>
    <row r="51" spans="2:5" x14ac:dyDescent="0.25">
      <c r="B51" s="34">
        <v>47</v>
      </c>
      <c r="C51" s="35">
        <f t="shared" si="2"/>
        <v>6538000</v>
      </c>
      <c r="D51" s="37">
        <f t="shared" si="1"/>
        <v>6533000</v>
      </c>
      <c r="E51">
        <v>47</v>
      </c>
    </row>
    <row r="52" spans="2:5" x14ac:dyDescent="0.25">
      <c r="B52" s="34">
        <v>48</v>
      </c>
      <c r="C52" s="35">
        <f t="shared" si="2"/>
        <v>6820750</v>
      </c>
      <c r="D52" s="37">
        <f t="shared" si="1"/>
        <v>6815750</v>
      </c>
      <c r="E52">
        <v>48</v>
      </c>
    </row>
    <row r="53" spans="2:5" x14ac:dyDescent="0.25">
      <c r="B53" s="34">
        <v>49</v>
      </c>
      <c r="C53" s="35">
        <f t="shared" si="2"/>
        <v>7109500</v>
      </c>
      <c r="D53" s="37">
        <f t="shared" si="1"/>
        <v>7104500</v>
      </c>
      <c r="E53">
        <v>49</v>
      </c>
    </row>
    <row r="54" spans="2:5" ht="15.75" thickBot="1" x14ac:dyDescent="0.3">
      <c r="B54" s="38">
        <v>50</v>
      </c>
      <c r="C54" s="39">
        <f t="shared" si="2"/>
        <v>7404250</v>
      </c>
      <c r="D54" s="257">
        <f t="shared" si="1"/>
        <v>7399250</v>
      </c>
      <c r="E54">
        <v>50</v>
      </c>
    </row>
  </sheetData>
  <pageMargins left="0.7" right="0.7" top="0.78740157499999996" bottom="0.78740157499999996" header="0.3" footer="0.3"/>
  <pageSetup paperSize="9" orientation="portrait" r:id="rId1"/>
  <headerFooter>
    <oddHeader>&amp;R&amp;"Arial"&amp;9&amp;K737373 Copyright Protection: Confidential - ISO 16016&amp;1#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2C428-07B3-4392-8B5D-70FCF56B750A}">
  <dimension ref="B1:F52"/>
  <sheetViews>
    <sheetView showGridLines="0" workbookViewId="0">
      <selection activeCell="F11" sqref="F11"/>
    </sheetView>
  </sheetViews>
  <sheetFormatPr baseColWidth="10" defaultRowHeight="15" x14ac:dyDescent="0.25"/>
  <cols>
    <col min="3" max="3" width="14.28515625" customWidth="1"/>
  </cols>
  <sheetData>
    <row r="1" spans="2:6" ht="15.75" thickBot="1" x14ac:dyDescent="0.3"/>
    <row r="2" spans="2:6" x14ac:dyDescent="0.25">
      <c r="B2" s="253" t="s">
        <v>40</v>
      </c>
      <c r="C2" s="258" t="s">
        <v>45</v>
      </c>
    </row>
    <row r="3" spans="2:6" x14ac:dyDescent="0.25">
      <c r="B3" s="34">
        <v>1</v>
      </c>
      <c r="C3" s="259">
        <f>1000*(4*B3^2-3*B3+9)</f>
        <v>10000</v>
      </c>
    </row>
    <row r="4" spans="2:6" x14ac:dyDescent="0.25">
      <c r="B4" s="34">
        <v>2</v>
      </c>
      <c r="C4" s="259">
        <f t="shared" ref="C4:C52" si="0">1000*(4*B4^2-3*B4+9)</f>
        <v>19000</v>
      </c>
    </row>
    <row r="5" spans="2:6" x14ac:dyDescent="0.25">
      <c r="B5" s="34">
        <v>3</v>
      </c>
      <c r="C5" s="259">
        <f t="shared" si="0"/>
        <v>36000</v>
      </c>
      <c r="F5" s="256"/>
    </row>
    <row r="6" spans="2:6" x14ac:dyDescent="0.25">
      <c r="B6" s="34">
        <v>4</v>
      </c>
      <c r="C6" s="259">
        <f t="shared" si="0"/>
        <v>61000</v>
      </c>
    </row>
    <row r="7" spans="2:6" x14ac:dyDescent="0.25">
      <c r="B7" s="34">
        <v>5</v>
      </c>
      <c r="C7" s="259">
        <f t="shared" si="0"/>
        <v>94000</v>
      </c>
    </row>
    <row r="8" spans="2:6" x14ac:dyDescent="0.25">
      <c r="B8" s="34">
        <v>6</v>
      </c>
      <c r="C8" s="259">
        <f t="shared" si="0"/>
        <v>135000</v>
      </c>
    </row>
    <row r="9" spans="2:6" x14ac:dyDescent="0.25">
      <c r="B9" s="34">
        <v>7</v>
      </c>
      <c r="C9" s="259">
        <f t="shared" si="0"/>
        <v>184000</v>
      </c>
    </row>
    <row r="10" spans="2:6" x14ac:dyDescent="0.25">
      <c r="B10" s="34">
        <v>8</v>
      </c>
      <c r="C10" s="259">
        <f t="shared" si="0"/>
        <v>241000</v>
      </c>
    </row>
    <row r="11" spans="2:6" x14ac:dyDescent="0.25">
      <c r="B11" s="34">
        <v>9</v>
      </c>
      <c r="C11" s="259">
        <f t="shared" si="0"/>
        <v>306000</v>
      </c>
    </row>
    <row r="12" spans="2:6" x14ac:dyDescent="0.25">
      <c r="B12" s="34">
        <v>10</v>
      </c>
      <c r="C12" s="259">
        <f t="shared" si="0"/>
        <v>379000</v>
      </c>
    </row>
    <row r="13" spans="2:6" x14ac:dyDescent="0.25">
      <c r="B13" s="34">
        <v>11</v>
      </c>
      <c r="C13" s="259">
        <f t="shared" si="0"/>
        <v>460000</v>
      </c>
    </row>
    <row r="14" spans="2:6" x14ac:dyDescent="0.25">
      <c r="B14" s="34">
        <v>12</v>
      </c>
      <c r="C14" s="259">
        <f t="shared" si="0"/>
        <v>549000</v>
      </c>
    </row>
    <row r="15" spans="2:6" x14ac:dyDescent="0.25">
      <c r="B15" s="34">
        <v>13</v>
      </c>
      <c r="C15" s="259">
        <f t="shared" si="0"/>
        <v>646000</v>
      </c>
    </row>
    <row r="16" spans="2:6" x14ac:dyDescent="0.25">
      <c r="B16" s="34">
        <v>14</v>
      </c>
      <c r="C16" s="259">
        <f t="shared" si="0"/>
        <v>751000</v>
      </c>
    </row>
    <row r="17" spans="2:3" x14ac:dyDescent="0.25">
      <c r="B17" s="34">
        <v>15</v>
      </c>
      <c r="C17" s="259">
        <f t="shared" si="0"/>
        <v>864000</v>
      </c>
    </row>
    <row r="18" spans="2:3" x14ac:dyDescent="0.25">
      <c r="B18" s="34">
        <v>16</v>
      </c>
      <c r="C18" s="259">
        <f t="shared" si="0"/>
        <v>985000</v>
      </c>
    </row>
    <row r="19" spans="2:3" x14ac:dyDescent="0.25">
      <c r="B19" s="34">
        <v>17</v>
      </c>
      <c r="C19" s="259">
        <f t="shared" si="0"/>
        <v>1114000</v>
      </c>
    </row>
    <row r="20" spans="2:3" x14ac:dyDescent="0.25">
      <c r="B20" s="34">
        <v>18</v>
      </c>
      <c r="C20" s="259">
        <f t="shared" si="0"/>
        <v>1251000</v>
      </c>
    </row>
    <row r="21" spans="2:3" x14ac:dyDescent="0.25">
      <c r="B21" s="34">
        <v>19</v>
      </c>
      <c r="C21" s="259">
        <f t="shared" si="0"/>
        <v>1396000</v>
      </c>
    </row>
    <row r="22" spans="2:3" x14ac:dyDescent="0.25">
      <c r="B22" s="34">
        <v>20</v>
      </c>
      <c r="C22" s="259">
        <f t="shared" si="0"/>
        <v>1549000</v>
      </c>
    </row>
    <row r="23" spans="2:3" x14ac:dyDescent="0.25">
      <c r="B23" s="34">
        <v>21</v>
      </c>
      <c r="C23" s="259">
        <f t="shared" si="0"/>
        <v>1710000</v>
      </c>
    </row>
    <row r="24" spans="2:3" x14ac:dyDescent="0.25">
      <c r="B24" s="34">
        <v>22</v>
      </c>
      <c r="C24" s="259">
        <f t="shared" si="0"/>
        <v>1879000</v>
      </c>
    </row>
    <row r="25" spans="2:3" x14ac:dyDescent="0.25">
      <c r="B25" s="34">
        <v>23</v>
      </c>
      <c r="C25" s="259">
        <f t="shared" si="0"/>
        <v>2056000</v>
      </c>
    </row>
    <row r="26" spans="2:3" x14ac:dyDescent="0.25">
      <c r="B26" s="34">
        <v>24</v>
      </c>
      <c r="C26" s="259">
        <f t="shared" si="0"/>
        <v>2241000</v>
      </c>
    </row>
    <row r="27" spans="2:3" x14ac:dyDescent="0.25">
      <c r="B27" s="34">
        <v>25</v>
      </c>
      <c r="C27" s="259">
        <f t="shared" si="0"/>
        <v>2434000</v>
      </c>
    </row>
    <row r="28" spans="2:3" x14ac:dyDescent="0.25">
      <c r="B28" s="34">
        <v>26</v>
      </c>
      <c r="C28" s="259">
        <f t="shared" si="0"/>
        <v>2635000</v>
      </c>
    </row>
    <row r="29" spans="2:3" x14ac:dyDescent="0.25">
      <c r="B29" s="34">
        <v>27</v>
      </c>
      <c r="C29" s="259">
        <f t="shared" si="0"/>
        <v>2844000</v>
      </c>
    </row>
    <row r="30" spans="2:3" x14ac:dyDescent="0.25">
      <c r="B30" s="34">
        <v>28</v>
      </c>
      <c r="C30" s="259">
        <f t="shared" si="0"/>
        <v>3061000</v>
      </c>
    </row>
    <row r="31" spans="2:3" x14ac:dyDescent="0.25">
      <c r="B31" s="34">
        <v>29</v>
      </c>
      <c r="C31" s="259">
        <f t="shared" si="0"/>
        <v>3286000</v>
      </c>
    </row>
    <row r="32" spans="2:3" x14ac:dyDescent="0.25">
      <c r="B32" s="34">
        <v>30</v>
      </c>
      <c r="C32" s="259">
        <f t="shared" si="0"/>
        <v>3519000</v>
      </c>
    </row>
    <row r="33" spans="2:3" x14ac:dyDescent="0.25">
      <c r="B33" s="34">
        <v>31</v>
      </c>
      <c r="C33" s="259">
        <f t="shared" si="0"/>
        <v>3760000</v>
      </c>
    </row>
    <row r="34" spans="2:3" x14ac:dyDescent="0.25">
      <c r="B34" s="34">
        <v>32</v>
      </c>
      <c r="C34" s="259">
        <f t="shared" si="0"/>
        <v>4009000</v>
      </c>
    </row>
    <row r="35" spans="2:3" x14ac:dyDescent="0.25">
      <c r="B35" s="34">
        <v>33</v>
      </c>
      <c r="C35" s="259">
        <f t="shared" si="0"/>
        <v>4266000</v>
      </c>
    </row>
    <row r="36" spans="2:3" x14ac:dyDescent="0.25">
      <c r="B36" s="34">
        <v>34</v>
      </c>
      <c r="C36" s="259">
        <f t="shared" si="0"/>
        <v>4531000</v>
      </c>
    </row>
    <row r="37" spans="2:3" x14ac:dyDescent="0.25">
      <c r="B37" s="34">
        <v>35</v>
      </c>
      <c r="C37" s="259">
        <f t="shared" si="0"/>
        <v>4804000</v>
      </c>
    </row>
    <row r="38" spans="2:3" x14ac:dyDescent="0.25">
      <c r="B38" s="34">
        <v>36</v>
      </c>
      <c r="C38" s="259">
        <f t="shared" si="0"/>
        <v>5085000</v>
      </c>
    </row>
    <row r="39" spans="2:3" x14ac:dyDescent="0.25">
      <c r="B39" s="34">
        <v>37</v>
      </c>
      <c r="C39" s="259">
        <f t="shared" si="0"/>
        <v>5374000</v>
      </c>
    </row>
    <row r="40" spans="2:3" x14ac:dyDescent="0.25">
      <c r="B40" s="34">
        <v>38</v>
      </c>
      <c r="C40" s="259">
        <f t="shared" si="0"/>
        <v>5671000</v>
      </c>
    </row>
    <row r="41" spans="2:3" x14ac:dyDescent="0.25">
      <c r="B41" s="34">
        <v>39</v>
      </c>
      <c r="C41" s="259">
        <f t="shared" si="0"/>
        <v>5976000</v>
      </c>
    </row>
    <row r="42" spans="2:3" x14ac:dyDescent="0.25">
      <c r="B42" s="34">
        <v>40</v>
      </c>
      <c r="C42" s="259">
        <f t="shared" si="0"/>
        <v>6289000</v>
      </c>
    </row>
    <row r="43" spans="2:3" x14ac:dyDescent="0.25">
      <c r="B43" s="34">
        <v>41</v>
      </c>
      <c r="C43" s="259">
        <f t="shared" si="0"/>
        <v>6610000</v>
      </c>
    </row>
    <row r="44" spans="2:3" x14ac:dyDescent="0.25">
      <c r="B44" s="34">
        <v>42</v>
      </c>
      <c r="C44" s="259">
        <f t="shared" si="0"/>
        <v>6939000</v>
      </c>
    </row>
    <row r="45" spans="2:3" x14ac:dyDescent="0.25">
      <c r="B45" s="34">
        <v>43</v>
      </c>
      <c r="C45" s="259">
        <f t="shared" si="0"/>
        <v>7276000</v>
      </c>
    </row>
    <row r="46" spans="2:3" x14ac:dyDescent="0.25">
      <c r="B46" s="34">
        <v>44</v>
      </c>
      <c r="C46" s="259">
        <f t="shared" si="0"/>
        <v>7621000</v>
      </c>
    </row>
    <row r="47" spans="2:3" x14ac:dyDescent="0.25">
      <c r="B47" s="34">
        <v>45</v>
      </c>
      <c r="C47" s="259">
        <f t="shared" si="0"/>
        <v>7974000</v>
      </c>
    </row>
    <row r="48" spans="2:3" x14ac:dyDescent="0.25">
      <c r="B48" s="34">
        <v>46</v>
      </c>
      <c r="C48" s="259">
        <f t="shared" si="0"/>
        <v>8335000</v>
      </c>
    </row>
    <row r="49" spans="2:3" x14ac:dyDescent="0.25">
      <c r="B49" s="34">
        <v>47</v>
      </c>
      <c r="C49" s="259">
        <f t="shared" si="0"/>
        <v>8704000</v>
      </c>
    </row>
    <row r="50" spans="2:3" x14ac:dyDescent="0.25">
      <c r="B50" s="34">
        <v>48</v>
      </c>
      <c r="C50" s="259">
        <f t="shared" si="0"/>
        <v>9081000</v>
      </c>
    </row>
    <row r="51" spans="2:3" x14ac:dyDescent="0.25">
      <c r="B51" s="34">
        <v>49</v>
      </c>
      <c r="C51" s="259">
        <f t="shared" si="0"/>
        <v>9466000</v>
      </c>
    </row>
    <row r="52" spans="2:3" ht="15.75" thickBot="1" x14ac:dyDescent="0.3">
      <c r="B52" s="38">
        <v>50</v>
      </c>
      <c r="C52" s="257">
        <f t="shared" si="0"/>
        <v>9859000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3E5CE-1426-4E67-B274-C0F11884207F}">
  <dimension ref="B2:P10"/>
  <sheetViews>
    <sheetView showGridLines="0" workbookViewId="0">
      <selection activeCell="H15" sqref="H15"/>
    </sheetView>
  </sheetViews>
  <sheetFormatPr baseColWidth="10" defaultRowHeight="15" x14ac:dyDescent="0.25"/>
  <sheetData>
    <row r="2" spans="2:16" ht="15.75" thickBot="1" x14ac:dyDescent="0.3"/>
    <row r="3" spans="2:16" x14ac:dyDescent="0.25">
      <c r="B3" s="306" t="s">
        <v>107</v>
      </c>
      <c r="C3" s="308"/>
      <c r="D3" s="309"/>
      <c r="E3" s="310"/>
      <c r="F3" s="311"/>
      <c r="G3" s="304"/>
      <c r="H3" s="305"/>
      <c r="I3" s="312"/>
      <c r="J3" s="313"/>
      <c r="K3" s="304"/>
      <c r="L3" s="305"/>
      <c r="M3" s="312"/>
      <c r="N3" s="313"/>
      <c r="O3" s="304" t="s">
        <v>116</v>
      </c>
      <c r="P3" s="305"/>
    </row>
    <row r="4" spans="2:16" x14ac:dyDescent="0.25">
      <c r="B4" s="307"/>
      <c r="C4" s="206" t="s">
        <v>117</v>
      </c>
      <c r="D4" s="200" t="s">
        <v>118</v>
      </c>
      <c r="E4" s="203" t="s">
        <v>117</v>
      </c>
      <c r="F4" s="207" t="s">
        <v>118</v>
      </c>
      <c r="G4" s="206" t="s">
        <v>117</v>
      </c>
      <c r="H4" s="200" t="s">
        <v>118</v>
      </c>
      <c r="I4" s="203" t="s">
        <v>117</v>
      </c>
      <c r="J4" s="207" t="s">
        <v>118</v>
      </c>
      <c r="K4" s="206" t="s">
        <v>117</v>
      </c>
      <c r="L4" s="200" t="s">
        <v>118</v>
      </c>
      <c r="M4" s="203" t="s">
        <v>117</v>
      </c>
      <c r="N4" s="207" t="s">
        <v>118</v>
      </c>
      <c r="O4" s="206" t="s">
        <v>117</v>
      </c>
      <c r="P4" s="200" t="s">
        <v>118</v>
      </c>
    </row>
    <row r="5" spans="2:16" x14ac:dyDescent="0.25">
      <c r="B5" s="201" t="s">
        <v>1</v>
      </c>
      <c r="C5" s="210"/>
      <c r="D5" s="184">
        <f>C5*24</f>
        <v>0</v>
      </c>
      <c r="E5" s="212"/>
      <c r="F5" s="208">
        <f>E5*24</f>
        <v>0</v>
      </c>
      <c r="G5" s="210"/>
      <c r="H5" s="184">
        <f>G5*24</f>
        <v>0</v>
      </c>
      <c r="I5" s="212">
        <v>0</v>
      </c>
      <c r="J5" s="208">
        <f>I5*24</f>
        <v>0</v>
      </c>
      <c r="K5" s="210">
        <v>0</v>
      </c>
      <c r="L5" s="184">
        <f>K5*24</f>
        <v>0</v>
      </c>
      <c r="M5" s="212">
        <v>0</v>
      </c>
      <c r="N5" s="208">
        <f>M5*24</f>
        <v>0</v>
      </c>
      <c r="O5" s="214">
        <f>SUM(C5,E5,G5,I5,K5,M5)</f>
        <v>0</v>
      </c>
      <c r="P5" s="215">
        <f>SUM(D5,F5,H5,J5,L5,N5)</f>
        <v>0</v>
      </c>
    </row>
    <row r="6" spans="2:16" x14ac:dyDescent="0.25">
      <c r="B6" s="201" t="s">
        <v>2</v>
      </c>
      <c r="C6" s="210"/>
      <c r="D6" s="184">
        <f t="shared" ref="D6:N10" si="0">C6*24</f>
        <v>0</v>
      </c>
      <c r="E6" s="212"/>
      <c r="F6" s="208">
        <f t="shared" si="0"/>
        <v>0</v>
      </c>
      <c r="G6" s="210"/>
      <c r="H6" s="184">
        <f t="shared" si="0"/>
        <v>0</v>
      </c>
      <c r="I6" s="212">
        <v>0</v>
      </c>
      <c r="J6" s="208">
        <f t="shared" si="0"/>
        <v>0</v>
      </c>
      <c r="K6" s="210">
        <v>0</v>
      </c>
      <c r="L6" s="184">
        <f t="shared" si="0"/>
        <v>0</v>
      </c>
      <c r="M6" s="212">
        <v>0</v>
      </c>
      <c r="N6" s="208">
        <f t="shared" si="0"/>
        <v>0</v>
      </c>
      <c r="O6" s="214">
        <f t="shared" ref="O6:O10" si="1">SUM(C6,E6,G6,I6,K6,M6)</f>
        <v>0</v>
      </c>
      <c r="P6" s="215">
        <f>SUM(D6,F6,H6,J6,L6,N6)</f>
        <v>0</v>
      </c>
    </row>
    <row r="7" spans="2:16" x14ac:dyDescent="0.25">
      <c r="B7" s="201" t="s">
        <v>3</v>
      </c>
      <c r="C7" s="210"/>
      <c r="D7" s="184">
        <f t="shared" si="0"/>
        <v>0</v>
      </c>
      <c r="E7" s="212"/>
      <c r="F7" s="208">
        <f t="shared" si="0"/>
        <v>0</v>
      </c>
      <c r="G7" s="210"/>
      <c r="H7" s="184">
        <f t="shared" si="0"/>
        <v>0</v>
      </c>
      <c r="I7" s="212">
        <v>0</v>
      </c>
      <c r="J7" s="208">
        <f t="shared" si="0"/>
        <v>0</v>
      </c>
      <c r="K7" s="210">
        <v>0</v>
      </c>
      <c r="L7" s="184">
        <f t="shared" si="0"/>
        <v>0</v>
      </c>
      <c r="M7" s="212">
        <v>0</v>
      </c>
      <c r="N7" s="208">
        <f t="shared" si="0"/>
        <v>0</v>
      </c>
      <c r="O7" s="214">
        <f t="shared" si="1"/>
        <v>0</v>
      </c>
      <c r="P7" s="215">
        <f>SUM(D7,F7,H7,J7,L7,N7)</f>
        <v>0</v>
      </c>
    </row>
    <row r="8" spans="2:16" x14ac:dyDescent="0.25">
      <c r="B8" s="201" t="s">
        <v>4</v>
      </c>
      <c r="C8" s="210"/>
      <c r="D8" s="184">
        <f t="shared" si="0"/>
        <v>0</v>
      </c>
      <c r="E8" s="212"/>
      <c r="F8" s="208">
        <f t="shared" si="0"/>
        <v>0</v>
      </c>
      <c r="G8" s="210"/>
      <c r="H8" s="184">
        <f t="shared" si="0"/>
        <v>0</v>
      </c>
      <c r="I8" s="212">
        <v>0</v>
      </c>
      <c r="J8" s="208">
        <f t="shared" si="0"/>
        <v>0</v>
      </c>
      <c r="K8" s="210">
        <v>0</v>
      </c>
      <c r="L8" s="184">
        <f t="shared" si="0"/>
        <v>0</v>
      </c>
      <c r="M8" s="212">
        <v>0</v>
      </c>
      <c r="N8" s="208">
        <f t="shared" si="0"/>
        <v>0</v>
      </c>
      <c r="O8" s="214">
        <f t="shared" si="1"/>
        <v>0</v>
      </c>
      <c r="P8" s="215">
        <f>SUM(D8,F8,H8,J8,L8,N8)</f>
        <v>0</v>
      </c>
    </row>
    <row r="9" spans="2:16" x14ac:dyDescent="0.25">
      <c r="B9" s="201" t="s">
        <v>5</v>
      </c>
      <c r="C9" s="210"/>
      <c r="D9" s="184">
        <f t="shared" si="0"/>
        <v>0</v>
      </c>
      <c r="E9" s="212"/>
      <c r="F9" s="208">
        <f t="shared" si="0"/>
        <v>0</v>
      </c>
      <c r="G9" s="210"/>
      <c r="H9" s="184">
        <f t="shared" si="0"/>
        <v>0</v>
      </c>
      <c r="I9" s="212">
        <v>0</v>
      </c>
      <c r="J9" s="208">
        <f t="shared" si="0"/>
        <v>0</v>
      </c>
      <c r="K9" s="210">
        <v>0</v>
      </c>
      <c r="L9" s="184">
        <f t="shared" si="0"/>
        <v>0</v>
      </c>
      <c r="M9" s="212">
        <v>0</v>
      </c>
      <c r="N9" s="208">
        <f t="shared" si="0"/>
        <v>0</v>
      </c>
      <c r="O9" s="214">
        <f t="shared" si="1"/>
        <v>0</v>
      </c>
      <c r="P9" s="215">
        <f>SUM(D9,F9,H9,J9,L9,N9)</f>
        <v>0</v>
      </c>
    </row>
    <row r="10" spans="2:16" ht="15.75" thickBot="1" x14ac:dyDescent="0.3">
      <c r="B10" s="202" t="s">
        <v>6</v>
      </c>
      <c r="C10" s="211"/>
      <c r="D10" s="185">
        <f t="shared" si="0"/>
        <v>0</v>
      </c>
      <c r="E10" s="213"/>
      <c r="F10" s="209">
        <f t="shared" si="0"/>
        <v>0</v>
      </c>
      <c r="G10" s="211"/>
      <c r="H10" s="185">
        <f t="shared" si="0"/>
        <v>0</v>
      </c>
      <c r="I10" s="213">
        <v>0</v>
      </c>
      <c r="J10" s="209">
        <f t="shared" si="0"/>
        <v>0</v>
      </c>
      <c r="K10" s="211">
        <v>0</v>
      </c>
      <c r="L10" s="185">
        <f t="shared" si="0"/>
        <v>0</v>
      </c>
      <c r="M10" s="213">
        <v>0</v>
      </c>
      <c r="N10" s="209">
        <f t="shared" si="0"/>
        <v>0</v>
      </c>
      <c r="O10" s="216">
        <f t="shared" si="1"/>
        <v>0</v>
      </c>
      <c r="P10" s="217">
        <f>SUM(D10,F10,H10,J10,L10,N10)</f>
        <v>0</v>
      </c>
    </row>
  </sheetData>
  <mergeCells count="8">
    <mergeCell ref="O3:P3"/>
    <mergeCell ref="B3:B4"/>
    <mergeCell ref="C3:D3"/>
    <mergeCell ref="E3:F3"/>
    <mergeCell ref="G3:H3"/>
    <mergeCell ref="I3:J3"/>
    <mergeCell ref="K3:L3"/>
    <mergeCell ref="M3:N3"/>
  </mergeCells>
  <pageMargins left="0.7" right="0.7" top="0.78740157499999996" bottom="0.78740157499999996" header="0.3" footer="0.3"/>
  <pageSetup paperSize="9" orientation="portrait" r:id="rId1"/>
  <headerFooter>
    <oddHeader>&amp;R&amp;"Arial"&amp;9&amp;K737373 Copyright Protection: Confidential - ISO 16016&amp;1#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1D51F-8810-45DE-8676-814BAD115BB5}">
  <dimension ref="B1:U18"/>
  <sheetViews>
    <sheetView showGridLines="0" workbookViewId="0">
      <selection activeCell="K24" sqref="K24"/>
    </sheetView>
  </sheetViews>
  <sheetFormatPr baseColWidth="10" defaultRowHeight="12.75" x14ac:dyDescent="0.2"/>
  <cols>
    <col min="1" max="1" width="11.42578125" style="40"/>
    <col min="2" max="3" width="5.7109375" style="40" customWidth="1"/>
    <col min="4" max="19" width="8.5703125" style="40" customWidth="1"/>
    <col min="20" max="21" width="5.7109375" style="40" customWidth="1"/>
    <col min="22" max="258" width="11.42578125" style="40"/>
    <col min="259" max="276" width="7.7109375" style="40" customWidth="1"/>
    <col min="277" max="514" width="11.42578125" style="40"/>
    <col min="515" max="532" width="7.7109375" style="40" customWidth="1"/>
    <col min="533" max="770" width="11.42578125" style="40"/>
    <col min="771" max="788" width="7.7109375" style="40" customWidth="1"/>
    <col min="789" max="1026" width="11.42578125" style="40"/>
    <col min="1027" max="1044" width="7.7109375" style="40" customWidth="1"/>
    <col min="1045" max="1282" width="11.42578125" style="40"/>
    <col min="1283" max="1300" width="7.7109375" style="40" customWidth="1"/>
    <col min="1301" max="1538" width="11.42578125" style="40"/>
    <col min="1539" max="1556" width="7.7109375" style="40" customWidth="1"/>
    <col min="1557" max="1794" width="11.42578125" style="40"/>
    <col min="1795" max="1812" width="7.7109375" style="40" customWidth="1"/>
    <col min="1813" max="2050" width="11.42578125" style="40"/>
    <col min="2051" max="2068" width="7.7109375" style="40" customWidth="1"/>
    <col min="2069" max="2306" width="11.42578125" style="40"/>
    <col min="2307" max="2324" width="7.7109375" style="40" customWidth="1"/>
    <col min="2325" max="2562" width="11.42578125" style="40"/>
    <col min="2563" max="2580" width="7.7109375" style="40" customWidth="1"/>
    <col min="2581" max="2818" width="11.42578125" style="40"/>
    <col min="2819" max="2836" width="7.7109375" style="40" customWidth="1"/>
    <col min="2837" max="3074" width="11.42578125" style="40"/>
    <col min="3075" max="3092" width="7.7109375" style="40" customWidth="1"/>
    <col min="3093" max="3330" width="11.42578125" style="40"/>
    <col min="3331" max="3348" width="7.7109375" style="40" customWidth="1"/>
    <col min="3349" max="3586" width="11.42578125" style="40"/>
    <col min="3587" max="3604" width="7.7109375" style="40" customWidth="1"/>
    <col min="3605" max="3842" width="11.42578125" style="40"/>
    <col min="3843" max="3860" width="7.7109375" style="40" customWidth="1"/>
    <col min="3861" max="4098" width="11.42578125" style="40"/>
    <col min="4099" max="4116" width="7.7109375" style="40" customWidth="1"/>
    <col min="4117" max="4354" width="11.42578125" style="40"/>
    <col min="4355" max="4372" width="7.7109375" style="40" customWidth="1"/>
    <col min="4373" max="4610" width="11.42578125" style="40"/>
    <col min="4611" max="4628" width="7.7109375" style="40" customWidth="1"/>
    <col min="4629" max="4866" width="11.42578125" style="40"/>
    <col min="4867" max="4884" width="7.7109375" style="40" customWidth="1"/>
    <col min="4885" max="5122" width="11.42578125" style="40"/>
    <col min="5123" max="5140" width="7.7109375" style="40" customWidth="1"/>
    <col min="5141" max="5378" width="11.42578125" style="40"/>
    <col min="5379" max="5396" width="7.7109375" style="40" customWidth="1"/>
    <col min="5397" max="5634" width="11.42578125" style="40"/>
    <col min="5635" max="5652" width="7.7109375" style="40" customWidth="1"/>
    <col min="5653" max="5890" width="11.42578125" style="40"/>
    <col min="5891" max="5908" width="7.7109375" style="40" customWidth="1"/>
    <col min="5909" max="6146" width="11.42578125" style="40"/>
    <col min="6147" max="6164" width="7.7109375" style="40" customWidth="1"/>
    <col min="6165" max="6402" width="11.42578125" style="40"/>
    <col min="6403" max="6420" width="7.7109375" style="40" customWidth="1"/>
    <col min="6421" max="6658" width="11.42578125" style="40"/>
    <col min="6659" max="6676" width="7.7109375" style="40" customWidth="1"/>
    <col min="6677" max="6914" width="11.42578125" style="40"/>
    <col min="6915" max="6932" width="7.7109375" style="40" customWidth="1"/>
    <col min="6933" max="7170" width="11.42578125" style="40"/>
    <col min="7171" max="7188" width="7.7109375" style="40" customWidth="1"/>
    <col min="7189" max="7426" width="11.42578125" style="40"/>
    <col min="7427" max="7444" width="7.7109375" style="40" customWidth="1"/>
    <col min="7445" max="7682" width="11.42578125" style="40"/>
    <col min="7683" max="7700" width="7.7109375" style="40" customWidth="1"/>
    <col min="7701" max="7938" width="11.42578125" style="40"/>
    <col min="7939" max="7956" width="7.7109375" style="40" customWidth="1"/>
    <col min="7957" max="8194" width="11.42578125" style="40"/>
    <col min="8195" max="8212" width="7.7109375" style="40" customWidth="1"/>
    <col min="8213" max="8450" width="11.42578125" style="40"/>
    <col min="8451" max="8468" width="7.7109375" style="40" customWidth="1"/>
    <col min="8469" max="8706" width="11.42578125" style="40"/>
    <col min="8707" max="8724" width="7.7109375" style="40" customWidth="1"/>
    <col min="8725" max="8962" width="11.42578125" style="40"/>
    <col min="8963" max="8980" width="7.7109375" style="40" customWidth="1"/>
    <col min="8981" max="9218" width="11.42578125" style="40"/>
    <col min="9219" max="9236" width="7.7109375" style="40" customWidth="1"/>
    <col min="9237" max="9474" width="11.42578125" style="40"/>
    <col min="9475" max="9492" width="7.7109375" style="40" customWidth="1"/>
    <col min="9493" max="9730" width="11.42578125" style="40"/>
    <col min="9731" max="9748" width="7.7109375" style="40" customWidth="1"/>
    <col min="9749" max="9986" width="11.42578125" style="40"/>
    <col min="9987" max="10004" width="7.7109375" style="40" customWidth="1"/>
    <col min="10005" max="10242" width="11.42578125" style="40"/>
    <col min="10243" max="10260" width="7.7109375" style="40" customWidth="1"/>
    <col min="10261" max="10498" width="11.42578125" style="40"/>
    <col min="10499" max="10516" width="7.7109375" style="40" customWidth="1"/>
    <col min="10517" max="10754" width="11.42578125" style="40"/>
    <col min="10755" max="10772" width="7.7109375" style="40" customWidth="1"/>
    <col min="10773" max="11010" width="11.42578125" style="40"/>
    <col min="11011" max="11028" width="7.7109375" style="40" customWidth="1"/>
    <col min="11029" max="11266" width="11.42578125" style="40"/>
    <col min="11267" max="11284" width="7.7109375" style="40" customWidth="1"/>
    <col min="11285" max="11522" width="11.42578125" style="40"/>
    <col min="11523" max="11540" width="7.7109375" style="40" customWidth="1"/>
    <col min="11541" max="11778" width="11.42578125" style="40"/>
    <col min="11779" max="11796" width="7.7109375" style="40" customWidth="1"/>
    <col min="11797" max="12034" width="11.42578125" style="40"/>
    <col min="12035" max="12052" width="7.7109375" style="40" customWidth="1"/>
    <col min="12053" max="12290" width="11.42578125" style="40"/>
    <col min="12291" max="12308" width="7.7109375" style="40" customWidth="1"/>
    <col min="12309" max="12546" width="11.42578125" style="40"/>
    <col min="12547" max="12564" width="7.7109375" style="40" customWidth="1"/>
    <col min="12565" max="12802" width="11.42578125" style="40"/>
    <col min="12803" max="12820" width="7.7109375" style="40" customWidth="1"/>
    <col min="12821" max="13058" width="11.42578125" style="40"/>
    <col min="13059" max="13076" width="7.7109375" style="40" customWidth="1"/>
    <col min="13077" max="13314" width="11.42578125" style="40"/>
    <col min="13315" max="13332" width="7.7109375" style="40" customWidth="1"/>
    <col min="13333" max="13570" width="11.42578125" style="40"/>
    <col min="13571" max="13588" width="7.7109375" style="40" customWidth="1"/>
    <col min="13589" max="13826" width="11.42578125" style="40"/>
    <col min="13827" max="13844" width="7.7109375" style="40" customWidth="1"/>
    <col min="13845" max="14082" width="11.42578125" style="40"/>
    <col min="14083" max="14100" width="7.7109375" style="40" customWidth="1"/>
    <col min="14101" max="14338" width="11.42578125" style="40"/>
    <col min="14339" max="14356" width="7.7109375" style="40" customWidth="1"/>
    <col min="14357" max="14594" width="11.42578125" style="40"/>
    <col min="14595" max="14612" width="7.7109375" style="40" customWidth="1"/>
    <col min="14613" max="14850" width="11.42578125" style="40"/>
    <col min="14851" max="14868" width="7.7109375" style="40" customWidth="1"/>
    <col min="14869" max="15106" width="11.42578125" style="40"/>
    <col min="15107" max="15124" width="7.7109375" style="40" customWidth="1"/>
    <col min="15125" max="15362" width="11.42578125" style="40"/>
    <col min="15363" max="15380" width="7.7109375" style="40" customWidth="1"/>
    <col min="15381" max="15618" width="11.42578125" style="40"/>
    <col min="15619" max="15636" width="7.7109375" style="40" customWidth="1"/>
    <col min="15637" max="15874" width="11.42578125" style="40"/>
    <col min="15875" max="15892" width="7.7109375" style="40" customWidth="1"/>
    <col min="15893" max="16130" width="11.42578125" style="40"/>
    <col min="16131" max="16148" width="7.7109375" style="40" customWidth="1"/>
    <col min="16149" max="16384" width="11.42578125" style="40"/>
  </cols>
  <sheetData>
    <row r="1" spans="2:21" ht="15" customHeight="1" x14ac:dyDescent="0.2"/>
    <row r="2" spans="2:21" ht="15" customHeight="1" thickBot="1" x14ac:dyDescent="0.25"/>
    <row r="3" spans="2:21" ht="18.75" customHeight="1" thickBot="1" x14ac:dyDescent="0.25">
      <c r="B3" s="88"/>
      <c r="C3" s="89"/>
      <c r="D3" s="90" t="s">
        <v>79</v>
      </c>
      <c r="E3" s="90" t="s">
        <v>79</v>
      </c>
      <c r="F3" s="90" t="s">
        <v>79</v>
      </c>
      <c r="G3" s="90" t="s">
        <v>79</v>
      </c>
      <c r="H3" s="90" t="s">
        <v>79</v>
      </c>
      <c r="I3" s="90" t="s">
        <v>79</v>
      </c>
      <c r="J3" s="90" t="s">
        <v>79</v>
      </c>
      <c r="K3" s="90" t="s">
        <v>79</v>
      </c>
      <c r="L3" s="90" t="s">
        <v>79</v>
      </c>
      <c r="M3" s="90" t="s">
        <v>79</v>
      </c>
      <c r="N3" s="90" t="s">
        <v>79</v>
      </c>
      <c r="O3" s="90" t="s">
        <v>79</v>
      </c>
      <c r="P3" s="90" t="s">
        <v>79</v>
      </c>
      <c r="Q3" s="90" t="s">
        <v>79</v>
      </c>
      <c r="R3" s="90" t="s">
        <v>79</v>
      </c>
      <c r="S3" s="90" t="s">
        <v>79</v>
      </c>
      <c r="T3" s="89"/>
      <c r="U3" s="91"/>
    </row>
    <row r="4" spans="2:21" ht="18.75" customHeight="1" thickBot="1" x14ac:dyDescent="0.25">
      <c r="B4" s="92"/>
      <c r="C4" s="93"/>
      <c r="D4" s="124">
        <v>0</v>
      </c>
      <c r="E4" s="83">
        <v>1</v>
      </c>
      <c r="F4" s="83">
        <v>2</v>
      </c>
      <c r="G4" s="84">
        <v>3</v>
      </c>
      <c r="H4" s="83">
        <v>4</v>
      </c>
      <c r="I4" s="83">
        <v>5</v>
      </c>
      <c r="J4" s="83">
        <v>6</v>
      </c>
      <c r="K4" s="84">
        <v>7</v>
      </c>
      <c r="L4" s="83">
        <v>8</v>
      </c>
      <c r="M4" s="83">
        <v>9</v>
      </c>
      <c r="N4" s="83">
        <v>10</v>
      </c>
      <c r="O4" s="84">
        <v>11</v>
      </c>
      <c r="P4" s="83">
        <v>12</v>
      </c>
      <c r="Q4" s="83">
        <v>13</v>
      </c>
      <c r="R4" s="83">
        <v>14</v>
      </c>
      <c r="S4" s="84">
        <v>15</v>
      </c>
      <c r="T4" s="93"/>
      <c r="U4" s="94"/>
    </row>
    <row r="5" spans="2:21" ht="18.75" customHeight="1" x14ac:dyDescent="0.2">
      <c r="B5" s="92" t="s">
        <v>80</v>
      </c>
      <c r="C5" s="127">
        <v>0</v>
      </c>
      <c r="D5" s="125">
        <f>1+2^$C$5*D4</f>
        <v>1</v>
      </c>
      <c r="E5" s="128">
        <v>1</v>
      </c>
      <c r="F5" s="128">
        <v>1</v>
      </c>
      <c r="G5" s="128">
        <v>1</v>
      </c>
      <c r="H5" s="125">
        <v>1</v>
      </c>
      <c r="I5" s="128">
        <v>1</v>
      </c>
      <c r="J5" s="128">
        <v>1</v>
      </c>
      <c r="K5" s="129">
        <v>1</v>
      </c>
      <c r="L5" s="128">
        <v>1</v>
      </c>
      <c r="M5" s="128">
        <v>1</v>
      </c>
      <c r="N5" s="128">
        <v>1</v>
      </c>
      <c r="O5" s="129">
        <v>1</v>
      </c>
      <c r="P5" s="128">
        <v>1</v>
      </c>
      <c r="Q5" s="128">
        <v>1</v>
      </c>
      <c r="R5" s="128">
        <v>1</v>
      </c>
      <c r="S5" s="128">
        <v>1</v>
      </c>
      <c r="T5" s="127">
        <v>0</v>
      </c>
      <c r="U5" s="95" t="s">
        <v>80</v>
      </c>
    </row>
    <row r="6" spans="2:21" ht="18.75" customHeight="1" x14ac:dyDescent="0.2">
      <c r="B6" s="92" t="s">
        <v>80</v>
      </c>
      <c r="C6" s="86">
        <v>1</v>
      </c>
      <c r="D6" s="126">
        <f>1+2^$C$6*D4</f>
        <v>1</v>
      </c>
      <c r="E6" s="81">
        <f>1+2^$C$6*E4</f>
        <v>3</v>
      </c>
      <c r="F6" s="81">
        <f t="shared" ref="F6:S6" si="0">1+2^$C$6*F4</f>
        <v>5</v>
      </c>
      <c r="G6" s="82">
        <f t="shared" si="0"/>
        <v>7</v>
      </c>
      <c r="H6" s="81">
        <f t="shared" si="0"/>
        <v>9</v>
      </c>
      <c r="I6" s="81">
        <f t="shared" si="0"/>
        <v>11</v>
      </c>
      <c r="J6" s="81">
        <f t="shared" si="0"/>
        <v>13</v>
      </c>
      <c r="K6" s="82">
        <f t="shared" si="0"/>
        <v>15</v>
      </c>
      <c r="L6" s="81">
        <f t="shared" si="0"/>
        <v>17</v>
      </c>
      <c r="M6" s="81">
        <f t="shared" si="0"/>
        <v>19</v>
      </c>
      <c r="N6" s="81">
        <f t="shared" si="0"/>
        <v>21</v>
      </c>
      <c r="O6" s="82">
        <f t="shared" si="0"/>
        <v>23</v>
      </c>
      <c r="P6" s="81">
        <f t="shared" si="0"/>
        <v>25</v>
      </c>
      <c r="Q6" s="81">
        <f t="shared" si="0"/>
        <v>27</v>
      </c>
      <c r="R6" s="81">
        <f t="shared" si="0"/>
        <v>29</v>
      </c>
      <c r="S6" s="82">
        <f t="shared" si="0"/>
        <v>31</v>
      </c>
      <c r="T6" s="86">
        <v>1</v>
      </c>
      <c r="U6" s="95" t="s">
        <v>80</v>
      </c>
    </row>
    <row r="7" spans="2:21" ht="18.75" customHeight="1" x14ac:dyDescent="0.2">
      <c r="B7" s="92" t="s">
        <v>80</v>
      </c>
      <c r="C7" s="86">
        <v>2</v>
      </c>
      <c r="D7" s="81">
        <f>1+2^$C$7*D4</f>
        <v>1</v>
      </c>
      <c r="E7" s="81">
        <f>1+2^$C$7*E4</f>
        <v>5</v>
      </c>
      <c r="F7" s="81">
        <f t="shared" ref="F7:S7" si="1">1+2^$C$7*F4</f>
        <v>9</v>
      </c>
      <c r="G7" s="82">
        <f t="shared" si="1"/>
        <v>13</v>
      </c>
      <c r="H7" s="81">
        <f t="shared" si="1"/>
        <v>17</v>
      </c>
      <c r="I7" s="81">
        <f t="shared" si="1"/>
        <v>21</v>
      </c>
      <c r="J7" s="81">
        <f t="shared" si="1"/>
        <v>25</v>
      </c>
      <c r="K7" s="82">
        <f t="shared" si="1"/>
        <v>29</v>
      </c>
      <c r="L7" s="81">
        <f t="shared" si="1"/>
        <v>33</v>
      </c>
      <c r="M7" s="81">
        <f t="shared" si="1"/>
        <v>37</v>
      </c>
      <c r="N7" s="81">
        <f t="shared" si="1"/>
        <v>41</v>
      </c>
      <c r="O7" s="82">
        <f t="shared" si="1"/>
        <v>45</v>
      </c>
      <c r="P7" s="81">
        <f t="shared" si="1"/>
        <v>49</v>
      </c>
      <c r="Q7" s="81">
        <f t="shared" si="1"/>
        <v>53</v>
      </c>
      <c r="R7" s="81">
        <f t="shared" si="1"/>
        <v>57</v>
      </c>
      <c r="S7" s="82">
        <f t="shared" si="1"/>
        <v>61</v>
      </c>
      <c r="T7" s="86">
        <v>2</v>
      </c>
      <c r="U7" s="95" t="s">
        <v>80</v>
      </c>
    </row>
    <row r="8" spans="2:21" ht="18.75" customHeight="1" thickBot="1" x14ac:dyDescent="0.25">
      <c r="B8" s="92" t="s">
        <v>80</v>
      </c>
      <c r="C8" s="86">
        <v>3</v>
      </c>
      <c r="D8" s="81">
        <f>1+2^$C$8*D4</f>
        <v>1</v>
      </c>
      <c r="E8" s="81">
        <f>1+2^$C$8*E4</f>
        <v>9</v>
      </c>
      <c r="F8" s="81">
        <f t="shared" ref="F8:S8" si="2">1+2^$C$8*F4</f>
        <v>17</v>
      </c>
      <c r="G8" s="82">
        <f t="shared" si="2"/>
        <v>25</v>
      </c>
      <c r="H8" s="81">
        <f t="shared" si="2"/>
        <v>33</v>
      </c>
      <c r="I8" s="81">
        <f t="shared" si="2"/>
        <v>41</v>
      </c>
      <c r="J8" s="81">
        <f t="shared" si="2"/>
        <v>49</v>
      </c>
      <c r="K8" s="82">
        <f t="shared" si="2"/>
        <v>57</v>
      </c>
      <c r="L8" s="81">
        <f t="shared" si="2"/>
        <v>65</v>
      </c>
      <c r="M8" s="81">
        <f t="shared" si="2"/>
        <v>73</v>
      </c>
      <c r="N8" s="81">
        <f t="shared" si="2"/>
        <v>81</v>
      </c>
      <c r="O8" s="82">
        <f t="shared" si="2"/>
        <v>89</v>
      </c>
      <c r="P8" s="81">
        <f t="shared" si="2"/>
        <v>97</v>
      </c>
      <c r="Q8" s="81">
        <f t="shared" si="2"/>
        <v>105</v>
      </c>
      <c r="R8" s="81">
        <f t="shared" si="2"/>
        <v>113</v>
      </c>
      <c r="S8" s="82">
        <f t="shared" si="2"/>
        <v>121</v>
      </c>
      <c r="T8" s="86">
        <v>3</v>
      </c>
      <c r="U8" s="95" t="s">
        <v>80</v>
      </c>
    </row>
    <row r="9" spans="2:21" ht="18.75" customHeight="1" x14ac:dyDescent="0.2">
      <c r="B9" s="92" t="s">
        <v>80</v>
      </c>
      <c r="C9" s="85">
        <v>4</v>
      </c>
      <c r="D9" s="79">
        <f>1+2^$C$9*D4</f>
        <v>1</v>
      </c>
      <c r="E9" s="79">
        <f>1+2^$C$9*E4</f>
        <v>17</v>
      </c>
      <c r="F9" s="79">
        <f t="shared" ref="F9:S9" si="3">1+2^$C$9*F4</f>
        <v>33</v>
      </c>
      <c r="G9" s="80">
        <f t="shared" si="3"/>
        <v>49</v>
      </c>
      <c r="H9" s="79">
        <f t="shared" si="3"/>
        <v>65</v>
      </c>
      <c r="I9" s="79">
        <f t="shared" si="3"/>
        <v>81</v>
      </c>
      <c r="J9" s="79">
        <f t="shared" si="3"/>
        <v>97</v>
      </c>
      <c r="K9" s="80">
        <f t="shared" si="3"/>
        <v>113</v>
      </c>
      <c r="L9" s="79">
        <f t="shared" si="3"/>
        <v>129</v>
      </c>
      <c r="M9" s="79">
        <f t="shared" si="3"/>
        <v>145</v>
      </c>
      <c r="N9" s="79">
        <f t="shared" si="3"/>
        <v>161</v>
      </c>
      <c r="O9" s="80">
        <f t="shared" si="3"/>
        <v>177</v>
      </c>
      <c r="P9" s="79">
        <f t="shared" si="3"/>
        <v>193</v>
      </c>
      <c r="Q9" s="79">
        <f t="shared" si="3"/>
        <v>209</v>
      </c>
      <c r="R9" s="79">
        <f t="shared" si="3"/>
        <v>225</v>
      </c>
      <c r="S9" s="80">
        <f t="shared" si="3"/>
        <v>241</v>
      </c>
      <c r="T9" s="85">
        <v>4</v>
      </c>
      <c r="U9" s="95" t="s">
        <v>80</v>
      </c>
    </row>
    <row r="10" spans="2:21" ht="18.75" customHeight="1" x14ac:dyDescent="0.2">
      <c r="B10" s="92" t="s">
        <v>80</v>
      </c>
      <c r="C10" s="86">
        <v>5</v>
      </c>
      <c r="D10" s="81">
        <f>1+2^$C$10*D4</f>
        <v>1</v>
      </c>
      <c r="E10" s="81">
        <f>1+2^$C$10*E4</f>
        <v>33</v>
      </c>
      <c r="F10" s="81">
        <f t="shared" ref="F10:S10" si="4">1+2^$C$10*F4</f>
        <v>65</v>
      </c>
      <c r="G10" s="82">
        <f t="shared" si="4"/>
        <v>97</v>
      </c>
      <c r="H10" s="81">
        <f t="shared" si="4"/>
        <v>129</v>
      </c>
      <c r="I10" s="81">
        <f t="shared" si="4"/>
        <v>161</v>
      </c>
      <c r="J10" s="81">
        <f t="shared" si="4"/>
        <v>193</v>
      </c>
      <c r="K10" s="82">
        <f t="shared" si="4"/>
        <v>225</v>
      </c>
      <c r="L10" s="81">
        <f t="shared" si="4"/>
        <v>257</v>
      </c>
      <c r="M10" s="81">
        <f t="shared" si="4"/>
        <v>289</v>
      </c>
      <c r="N10" s="81">
        <f t="shared" si="4"/>
        <v>321</v>
      </c>
      <c r="O10" s="82">
        <f t="shared" si="4"/>
        <v>353</v>
      </c>
      <c r="P10" s="81">
        <f t="shared" si="4"/>
        <v>385</v>
      </c>
      <c r="Q10" s="81">
        <f t="shared" si="4"/>
        <v>417</v>
      </c>
      <c r="R10" s="81">
        <f t="shared" si="4"/>
        <v>449</v>
      </c>
      <c r="S10" s="82">
        <f t="shared" si="4"/>
        <v>481</v>
      </c>
      <c r="T10" s="86">
        <v>5</v>
      </c>
      <c r="U10" s="95" t="s">
        <v>80</v>
      </c>
    </row>
    <row r="11" spans="2:21" ht="18.75" customHeight="1" x14ac:dyDescent="0.2">
      <c r="B11" s="92" t="s">
        <v>80</v>
      </c>
      <c r="C11" s="86">
        <v>6</v>
      </c>
      <c r="D11" s="81">
        <f>1+2^$C$11*D4</f>
        <v>1</v>
      </c>
      <c r="E11" s="81">
        <f>1+2^$C$11*E4</f>
        <v>65</v>
      </c>
      <c r="F11" s="81">
        <f t="shared" ref="F11:S11" si="5">1+2^$C$11*F4</f>
        <v>129</v>
      </c>
      <c r="G11" s="82">
        <f t="shared" si="5"/>
        <v>193</v>
      </c>
      <c r="H11" s="81">
        <f t="shared" si="5"/>
        <v>257</v>
      </c>
      <c r="I11" s="81">
        <f t="shared" si="5"/>
        <v>321</v>
      </c>
      <c r="J11" s="81">
        <f t="shared" si="5"/>
        <v>385</v>
      </c>
      <c r="K11" s="82">
        <f t="shared" si="5"/>
        <v>449</v>
      </c>
      <c r="L11" s="81">
        <f t="shared" si="5"/>
        <v>513</v>
      </c>
      <c r="M11" s="81">
        <f t="shared" si="5"/>
        <v>577</v>
      </c>
      <c r="N11" s="81">
        <f t="shared" si="5"/>
        <v>641</v>
      </c>
      <c r="O11" s="82">
        <f t="shared" si="5"/>
        <v>705</v>
      </c>
      <c r="P11" s="81">
        <f t="shared" si="5"/>
        <v>769</v>
      </c>
      <c r="Q11" s="81">
        <f t="shared" si="5"/>
        <v>833</v>
      </c>
      <c r="R11" s="81">
        <f t="shared" si="5"/>
        <v>897</v>
      </c>
      <c r="S11" s="82">
        <f t="shared" si="5"/>
        <v>961</v>
      </c>
      <c r="T11" s="86">
        <v>6</v>
      </c>
      <c r="U11" s="95" t="s">
        <v>80</v>
      </c>
    </row>
    <row r="12" spans="2:21" ht="18.75" customHeight="1" thickBot="1" x14ac:dyDescent="0.25">
      <c r="B12" s="92" t="s">
        <v>80</v>
      </c>
      <c r="C12" s="87">
        <v>7</v>
      </c>
      <c r="D12" s="122">
        <f>1+2^$C$12*D4</f>
        <v>1</v>
      </c>
      <c r="E12" s="122">
        <f>1+2^$C$12*E4</f>
        <v>129</v>
      </c>
      <c r="F12" s="122">
        <f t="shared" ref="F12:S12" si="6">1+2^$C$12*F4</f>
        <v>257</v>
      </c>
      <c r="G12" s="123">
        <f t="shared" si="6"/>
        <v>385</v>
      </c>
      <c r="H12" s="122">
        <f t="shared" si="6"/>
        <v>513</v>
      </c>
      <c r="I12" s="122">
        <f t="shared" si="6"/>
        <v>641</v>
      </c>
      <c r="J12" s="122">
        <f t="shared" si="6"/>
        <v>769</v>
      </c>
      <c r="K12" s="123">
        <f t="shared" si="6"/>
        <v>897</v>
      </c>
      <c r="L12" s="122">
        <f t="shared" si="6"/>
        <v>1025</v>
      </c>
      <c r="M12" s="122">
        <f t="shared" si="6"/>
        <v>1153</v>
      </c>
      <c r="N12" s="122">
        <f t="shared" si="6"/>
        <v>1281</v>
      </c>
      <c r="O12" s="123">
        <f t="shared" si="6"/>
        <v>1409</v>
      </c>
      <c r="P12" s="122">
        <f t="shared" si="6"/>
        <v>1537</v>
      </c>
      <c r="Q12" s="122">
        <f t="shared" si="6"/>
        <v>1665</v>
      </c>
      <c r="R12" s="122">
        <f t="shared" si="6"/>
        <v>1793</v>
      </c>
      <c r="S12" s="123">
        <f t="shared" si="6"/>
        <v>1921</v>
      </c>
      <c r="T12" s="87">
        <v>7</v>
      </c>
      <c r="U12" s="95" t="s">
        <v>80</v>
      </c>
    </row>
    <row r="13" spans="2:21" ht="18.75" customHeight="1" x14ac:dyDescent="0.2">
      <c r="B13" s="92" t="s">
        <v>80</v>
      </c>
      <c r="C13" s="86">
        <v>8</v>
      </c>
      <c r="D13" s="81">
        <f>1+2^$C$13*D4</f>
        <v>1</v>
      </c>
      <c r="E13" s="81">
        <f>1+2^$C$13*E4</f>
        <v>257</v>
      </c>
      <c r="F13" s="81">
        <f t="shared" ref="F13:S13" si="7">1+2^$C$13*F4</f>
        <v>513</v>
      </c>
      <c r="G13" s="82">
        <f t="shared" si="7"/>
        <v>769</v>
      </c>
      <c r="H13" s="81">
        <f t="shared" si="7"/>
        <v>1025</v>
      </c>
      <c r="I13" s="81">
        <f t="shared" si="7"/>
        <v>1281</v>
      </c>
      <c r="J13" s="81">
        <f t="shared" si="7"/>
        <v>1537</v>
      </c>
      <c r="K13" s="82">
        <f t="shared" si="7"/>
        <v>1793</v>
      </c>
      <c r="L13" s="81">
        <f t="shared" si="7"/>
        <v>2049</v>
      </c>
      <c r="M13" s="81">
        <f t="shared" si="7"/>
        <v>2305</v>
      </c>
      <c r="N13" s="81">
        <f t="shared" si="7"/>
        <v>2561</v>
      </c>
      <c r="O13" s="82">
        <f t="shared" si="7"/>
        <v>2817</v>
      </c>
      <c r="P13" s="81">
        <f t="shared" si="7"/>
        <v>3073</v>
      </c>
      <c r="Q13" s="81">
        <f t="shared" si="7"/>
        <v>3329</v>
      </c>
      <c r="R13" s="81">
        <f t="shared" si="7"/>
        <v>3585</v>
      </c>
      <c r="S13" s="82">
        <f t="shared" si="7"/>
        <v>3841</v>
      </c>
      <c r="T13" s="86">
        <v>8</v>
      </c>
      <c r="U13" s="95" t="s">
        <v>80</v>
      </c>
    </row>
    <row r="14" spans="2:21" ht="18.75" customHeight="1" x14ac:dyDescent="0.2">
      <c r="B14" s="92" t="s">
        <v>80</v>
      </c>
      <c r="C14" s="86">
        <v>9</v>
      </c>
      <c r="D14" s="81">
        <f>1+2^$C$14*D4</f>
        <v>1</v>
      </c>
      <c r="E14" s="81">
        <f>1+2^$C$14*E4</f>
        <v>513</v>
      </c>
      <c r="F14" s="81">
        <f t="shared" ref="F14:S14" si="8">1+2^$C$14*F4</f>
        <v>1025</v>
      </c>
      <c r="G14" s="82">
        <f t="shared" si="8"/>
        <v>1537</v>
      </c>
      <c r="H14" s="81">
        <f t="shared" si="8"/>
        <v>2049</v>
      </c>
      <c r="I14" s="81">
        <f t="shared" si="8"/>
        <v>2561</v>
      </c>
      <c r="J14" s="81">
        <f t="shared" si="8"/>
        <v>3073</v>
      </c>
      <c r="K14" s="82">
        <f t="shared" si="8"/>
        <v>3585</v>
      </c>
      <c r="L14" s="81">
        <f t="shared" si="8"/>
        <v>4097</v>
      </c>
      <c r="M14" s="81">
        <f t="shared" si="8"/>
        <v>4609</v>
      </c>
      <c r="N14" s="81">
        <f t="shared" si="8"/>
        <v>5121</v>
      </c>
      <c r="O14" s="82">
        <f t="shared" si="8"/>
        <v>5633</v>
      </c>
      <c r="P14" s="81">
        <f t="shared" si="8"/>
        <v>6145</v>
      </c>
      <c r="Q14" s="81">
        <f t="shared" si="8"/>
        <v>6657</v>
      </c>
      <c r="R14" s="81">
        <f t="shared" si="8"/>
        <v>7169</v>
      </c>
      <c r="S14" s="82">
        <f t="shared" si="8"/>
        <v>7681</v>
      </c>
      <c r="T14" s="86">
        <v>9</v>
      </c>
      <c r="U14" s="95" t="s">
        <v>80</v>
      </c>
    </row>
    <row r="15" spans="2:21" ht="18.75" customHeight="1" x14ac:dyDescent="0.2">
      <c r="B15" s="92" t="s">
        <v>80</v>
      </c>
      <c r="C15" s="86">
        <v>10</v>
      </c>
      <c r="D15" s="81">
        <f>1+2^$C$15*D4</f>
        <v>1</v>
      </c>
      <c r="E15" s="81">
        <f>1+2^$C$15*E4</f>
        <v>1025</v>
      </c>
      <c r="F15" s="81">
        <f t="shared" ref="F15:S15" si="9">1+2^$C$15*F4</f>
        <v>2049</v>
      </c>
      <c r="G15" s="82">
        <f t="shared" si="9"/>
        <v>3073</v>
      </c>
      <c r="H15" s="81">
        <f t="shared" si="9"/>
        <v>4097</v>
      </c>
      <c r="I15" s="81">
        <f t="shared" si="9"/>
        <v>5121</v>
      </c>
      <c r="J15" s="81">
        <f t="shared" si="9"/>
        <v>6145</v>
      </c>
      <c r="K15" s="82">
        <f t="shared" si="9"/>
        <v>7169</v>
      </c>
      <c r="L15" s="81">
        <f t="shared" si="9"/>
        <v>8193</v>
      </c>
      <c r="M15" s="81">
        <f t="shared" si="9"/>
        <v>9217</v>
      </c>
      <c r="N15" s="81">
        <f t="shared" si="9"/>
        <v>10241</v>
      </c>
      <c r="O15" s="82">
        <f t="shared" si="9"/>
        <v>11265</v>
      </c>
      <c r="P15" s="81">
        <f t="shared" si="9"/>
        <v>12289</v>
      </c>
      <c r="Q15" s="81">
        <f t="shared" si="9"/>
        <v>13313</v>
      </c>
      <c r="R15" s="81">
        <f t="shared" si="9"/>
        <v>14337</v>
      </c>
      <c r="S15" s="82">
        <f t="shared" si="9"/>
        <v>15361</v>
      </c>
      <c r="T15" s="86">
        <v>10</v>
      </c>
      <c r="U15" s="95" t="s">
        <v>80</v>
      </c>
    </row>
    <row r="16" spans="2:21" ht="18.75" customHeight="1" thickBot="1" x14ac:dyDescent="0.25">
      <c r="B16" s="92" t="s">
        <v>80</v>
      </c>
      <c r="C16" s="87">
        <v>11</v>
      </c>
      <c r="D16" s="81">
        <f>1+2^$C$16*D4</f>
        <v>1</v>
      </c>
      <c r="E16" s="81">
        <f>1+2^$C$16*E4</f>
        <v>2049</v>
      </c>
      <c r="F16" s="81">
        <f t="shared" ref="F16:S16" si="10">1+2^$C$16*F4</f>
        <v>4097</v>
      </c>
      <c r="G16" s="82">
        <f t="shared" si="10"/>
        <v>6145</v>
      </c>
      <c r="H16" s="81">
        <f t="shared" si="10"/>
        <v>8193</v>
      </c>
      <c r="I16" s="81">
        <f t="shared" si="10"/>
        <v>10241</v>
      </c>
      <c r="J16" s="81">
        <f t="shared" si="10"/>
        <v>12289</v>
      </c>
      <c r="K16" s="82">
        <f t="shared" si="10"/>
        <v>14337</v>
      </c>
      <c r="L16" s="81">
        <f t="shared" si="10"/>
        <v>16385</v>
      </c>
      <c r="M16" s="81">
        <f t="shared" si="10"/>
        <v>18433</v>
      </c>
      <c r="N16" s="81">
        <f t="shared" si="10"/>
        <v>20481</v>
      </c>
      <c r="O16" s="82">
        <f t="shared" si="10"/>
        <v>22529</v>
      </c>
      <c r="P16" s="81">
        <f t="shared" si="10"/>
        <v>24577</v>
      </c>
      <c r="Q16" s="81">
        <f t="shared" si="10"/>
        <v>26625</v>
      </c>
      <c r="R16" s="81">
        <f t="shared" si="10"/>
        <v>28673</v>
      </c>
      <c r="S16" s="81">
        <f t="shared" si="10"/>
        <v>30721</v>
      </c>
      <c r="T16" s="87">
        <v>11</v>
      </c>
      <c r="U16" s="95"/>
    </row>
    <row r="17" spans="2:21" ht="18.75" customHeight="1" thickBot="1" x14ac:dyDescent="0.25">
      <c r="B17" s="96"/>
      <c r="C17" s="93"/>
      <c r="D17" s="124">
        <v>0</v>
      </c>
      <c r="E17" s="83">
        <v>1</v>
      </c>
      <c r="F17" s="83">
        <v>2</v>
      </c>
      <c r="G17" s="84">
        <v>3</v>
      </c>
      <c r="H17" s="83">
        <v>4</v>
      </c>
      <c r="I17" s="83">
        <v>5</v>
      </c>
      <c r="J17" s="83">
        <v>6</v>
      </c>
      <c r="K17" s="84">
        <v>7</v>
      </c>
      <c r="L17" s="83">
        <v>8</v>
      </c>
      <c r="M17" s="83">
        <v>9</v>
      </c>
      <c r="N17" s="83">
        <v>10</v>
      </c>
      <c r="O17" s="84">
        <v>11</v>
      </c>
      <c r="P17" s="83">
        <v>12</v>
      </c>
      <c r="Q17" s="83">
        <v>13</v>
      </c>
      <c r="R17" s="83">
        <v>14</v>
      </c>
      <c r="S17" s="84">
        <v>15</v>
      </c>
      <c r="T17" s="93"/>
      <c r="U17" s="94"/>
    </row>
    <row r="18" spans="2:21" ht="18.75" customHeight="1" thickBot="1" x14ac:dyDescent="0.25">
      <c r="B18" s="97"/>
      <c r="C18" s="98"/>
      <c r="D18" s="99" t="s">
        <v>79</v>
      </c>
      <c r="E18" s="99" t="s">
        <v>79</v>
      </c>
      <c r="F18" s="99" t="s">
        <v>79</v>
      </c>
      <c r="G18" s="99" t="s">
        <v>79</v>
      </c>
      <c r="H18" s="99" t="s">
        <v>79</v>
      </c>
      <c r="I18" s="99" t="s">
        <v>79</v>
      </c>
      <c r="J18" s="99" t="s">
        <v>79</v>
      </c>
      <c r="K18" s="99" t="s">
        <v>79</v>
      </c>
      <c r="L18" s="99" t="s">
        <v>79</v>
      </c>
      <c r="M18" s="99" t="s">
        <v>79</v>
      </c>
      <c r="N18" s="99" t="s">
        <v>79</v>
      </c>
      <c r="O18" s="99" t="s">
        <v>79</v>
      </c>
      <c r="P18" s="99" t="s">
        <v>79</v>
      </c>
      <c r="Q18" s="99" t="s">
        <v>79</v>
      </c>
      <c r="R18" s="99" t="s">
        <v>79</v>
      </c>
      <c r="S18" s="99" t="s">
        <v>79</v>
      </c>
      <c r="T18" s="98"/>
      <c r="U18" s="100"/>
    </row>
  </sheetData>
  <conditionalFormatting sqref="D5:S16">
    <cfRule type="cellIs" dxfId="5" priority="1" operator="greaterThan">
      <formula>2100</formula>
    </cfRule>
  </conditionalFormatting>
  <pageMargins left="0.78749999999999998" right="0.78749999999999998" top="0.98402777777777783" bottom="0.98402777777777783" header="0.51180555555555562" footer="0.51180555555555562"/>
  <pageSetup paperSize="9" firstPageNumber="0" orientation="portrait" horizontalDpi="300" verticalDpi="300" r:id="rId1"/>
  <headerFooter alignWithMargins="0">
    <oddHeader>&amp;R&amp;"Arial"&amp;9&amp;K737373 Copyright Protection: Confidential - ISO 16016&amp;1#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D411B-DF36-4111-AC30-CB23D3EC7496}">
  <dimension ref="B1:Z27"/>
  <sheetViews>
    <sheetView showGridLines="0" zoomScale="70" zoomScaleNormal="70" workbookViewId="0">
      <selection activeCell="AB17" sqref="AB17"/>
    </sheetView>
  </sheetViews>
  <sheetFormatPr baseColWidth="10" defaultRowHeight="12.75" x14ac:dyDescent="0.2"/>
  <cols>
    <col min="1" max="1" width="11.5703125" style="40"/>
    <col min="2" max="2" width="6.140625" style="40" customWidth="1"/>
    <col min="3" max="3" width="5.7109375" style="40" customWidth="1"/>
    <col min="4" max="24" width="10" style="40" customWidth="1"/>
    <col min="25" max="25" width="5.7109375" style="40" customWidth="1"/>
    <col min="26" max="26" width="6.140625" style="40" customWidth="1"/>
    <col min="27" max="262" width="11.5703125" style="40"/>
    <col min="263" max="280" width="7.7109375" style="40" customWidth="1"/>
    <col min="281" max="518" width="11.5703125" style="40"/>
    <col min="519" max="536" width="7.7109375" style="40" customWidth="1"/>
    <col min="537" max="774" width="11.5703125" style="40"/>
    <col min="775" max="792" width="7.7109375" style="40" customWidth="1"/>
    <col min="793" max="1030" width="11.5703125" style="40"/>
    <col min="1031" max="1048" width="7.7109375" style="40" customWidth="1"/>
    <col min="1049" max="1286" width="11.5703125" style="40"/>
    <col min="1287" max="1304" width="7.7109375" style="40" customWidth="1"/>
    <col min="1305" max="1542" width="11.5703125" style="40"/>
    <col min="1543" max="1560" width="7.7109375" style="40" customWidth="1"/>
    <col min="1561" max="1798" width="11.5703125" style="40"/>
    <col min="1799" max="1816" width="7.7109375" style="40" customWidth="1"/>
    <col min="1817" max="2054" width="11.5703125" style="40"/>
    <col min="2055" max="2072" width="7.7109375" style="40" customWidth="1"/>
    <col min="2073" max="2310" width="11.5703125" style="40"/>
    <col min="2311" max="2328" width="7.7109375" style="40" customWidth="1"/>
    <col min="2329" max="2566" width="11.5703125" style="40"/>
    <col min="2567" max="2584" width="7.7109375" style="40" customWidth="1"/>
    <col min="2585" max="2822" width="11.5703125" style="40"/>
    <col min="2823" max="2840" width="7.7109375" style="40" customWidth="1"/>
    <col min="2841" max="3078" width="11.5703125" style="40"/>
    <col min="3079" max="3096" width="7.7109375" style="40" customWidth="1"/>
    <col min="3097" max="3334" width="11.5703125" style="40"/>
    <col min="3335" max="3352" width="7.7109375" style="40" customWidth="1"/>
    <col min="3353" max="3590" width="11.5703125" style="40"/>
    <col min="3591" max="3608" width="7.7109375" style="40" customWidth="1"/>
    <col min="3609" max="3846" width="11.5703125" style="40"/>
    <col min="3847" max="3864" width="7.7109375" style="40" customWidth="1"/>
    <col min="3865" max="4102" width="11.5703125" style="40"/>
    <col min="4103" max="4120" width="7.7109375" style="40" customWidth="1"/>
    <col min="4121" max="4358" width="11.5703125" style="40"/>
    <col min="4359" max="4376" width="7.7109375" style="40" customWidth="1"/>
    <col min="4377" max="4614" width="11.5703125" style="40"/>
    <col min="4615" max="4632" width="7.7109375" style="40" customWidth="1"/>
    <col min="4633" max="4870" width="11.5703125" style="40"/>
    <col min="4871" max="4888" width="7.7109375" style="40" customWidth="1"/>
    <col min="4889" max="5126" width="11.5703125" style="40"/>
    <col min="5127" max="5144" width="7.7109375" style="40" customWidth="1"/>
    <col min="5145" max="5382" width="11.5703125" style="40"/>
    <col min="5383" max="5400" width="7.7109375" style="40" customWidth="1"/>
    <col min="5401" max="5638" width="11.5703125" style="40"/>
    <col min="5639" max="5656" width="7.7109375" style="40" customWidth="1"/>
    <col min="5657" max="5894" width="11.5703125" style="40"/>
    <col min="5895" max="5912" width="7.7109375" style="40" customWidth="1"/>
    <col min="5913" max="6150" width="11.5703125" style="40"/>
    <col min="6151" max="6168" width="7.7109375" style="40" customWidth="1"/>
    <col min="6169" max="6406" width="11.5703125" style="40"/>
    <col min="6407" max="6424" width="7.7109375" style="40" customWidth="1"/>
    <col min="6425" max="6662" width="11.5703125" style="40"/>
    <col min="6663" max="6680" width="7.7109375" style="40" customWidth="1"/>
    <col min="6681" max="6918" width="11.5703125" style="40"/>
    <col min="6919" max="6936" width="7.7109375" style="40" customWidth="1"/>
    <col min="6937" max="7174" width="11.5703125" style="40"/>
    <col min="7175" max="7192" width="7.7109375" style="40" customWidth="1"/>
    <col min="7193" max="7430" width="11.5703125" style="40"/>
    <col min="7431" max="7448" width="7.7109375" style="40" customWidth="1"/>
    <col min="7449" max="7686" width="11.5703125" style="40"/>
    <col min="7687" max="7704" width="7.7109375" style="40" customWidth="1"/>
    <col min="7705" max="7942" width="11.5703125" style="40"/>
    <col min="7943" max="7960" width="7.7109375" style="40" customWidth="1"/>
    <col min="7961" max="8198" width="11.5703125" style="40"/>
    <col min="8199" max="8216" width="7.7109375" style="40" customWidth="1"/>
    <col min="8217" max="8454" width="11.5703125" style="40"/>
    <col min="8455" max="8472" width="7.7109375" style="40" customWidth="1"/>
    <col min="8473" max="8710" width="11.5703125" style="40"/>
    <col min="8711" max="8728" width="7.7109375" style="40" customWidth="1"/>
    <col min="8729" max="8966" width="11.5703125" style="40"/>
    <col min="8967" max="8984" width="7.7109375" style="40" customWidth="1"/>
    <col min="8985" max="9222" width="11.5703125" style="40"/>
    <col min="9223" max="9240" width="7.7109375" style="40" customWidth="1"/>
    <col min="9241" max="9478" width="11.5703125" style="40"/>
    <col min="9479" max="9496" width="7.7109375" style="40" customWidth="1"/>
    <col min="9497" max="9734" width="11.5703125" style="40"/>
    <col min="9735" max="9752" width="7.7109375" style="40" customWidth="1"/>
    <col min="9753" max="9990" width="11.5703125" style="40"/>
    <col min="9991" max="10008" width="7.7109375" style="40" customWidth="1"/>
    <col min="10009" max="10246" width="11.5703125" style="40"/>
    <col min="10247" max="10264" width="7.7109375" style="40" customWidth="1"/>
    <col min="10265" max="10502" width="11.5703125" style="40"/>
    <col min="10503" max="10520" width="7.7109375" style="40" customWidth="1"/>
    <col min="10521" max="10758" width="11.5703125" style="40"/>
    <col min="10759" max="10776" width="7.7109375" style="40" customWidth="1"/>
    <col min="10777" max="11014" width="11.5703125" style="40"/>
    <col min="11015" max="11032" width="7.7109375" style="40" customWidth="1"/>
    <col min="11033" max="11270" width="11.5703125" style="40"/>
    <col min="11271" max="11288" width="7.7109375" style="40" customWidth="1"/>
    <col min="11289" max="11526" width="11.5703125" style="40"/>
    <col min="11527" max="11544" width="7.7109375" style="40" customWidth="1"/>
    <col min="11545" max="11782" width="11.5703125" style="40"/>
    <col min="11783" max="11800" width="7.7109375" style="40" customWidth="1"/>
    <col min="11801" max="12038" width="11.5703125" style="40"/>
    <col min="12039" max="12056" width="7.7109375" style="40" customWidth="1"/>
    <col min="12057" max="12294" width="11.5703125" style="40"/>
    <col min="12295" max="12312" width="7.7109375" style="40" customWidth="1"/>
    <col min="12313" max="12550" width="11.5703125" style="40"/>
    <col min="12551" max="12568" width="7.7109375" style="40" customWidth="1"/>
    <col min="12569" max="12806" width="11.5703125" style="40"/>
    <col min="12807" max="12824" width="7.7109375" style="40" customWidth="1"/>
    <col min="12825" max="13062" width="11.5703125" style="40"/>
    <col min="13063" max="13080" width="7.7109375" style="40" customWidth="1"/>
    <col min="13081" max="13318" width="11.5703125" style="40"/>
    <col min="13319" max="13336" width="7.7109375" style="40" customWidth="1"/>
    <col min="13337" max="13574" width="11.5703125" style="40"/>
    <col min="13575" max="13592" width="7.7109375" style="40" customWidth="1"/>
    <col min="13593" max="13830" width="11.5703125" style="40"/>
    <col min="13831" max="13848" width="7.7109375" style="40" customWidth="1"/>
    <col min="13849" max="14086" width="11.5703125" style="40"/>
    <col min="14087" max="14104" width="7.7109375" style="40" customWidth="1"/>
    <col min="14105" max="14342" width="11.5703125" style="40"/>
    <col min="14343" max="14360" width="7.7109375" style="40" customWidth="1"/>
    <col min="14361" max="14598" width="11.5703125" style="40"/>
    <col min="14599" max="14616" width="7.7109375" style="40" customWidth="1"/>
    <col min="14617" max="14854" width="11.5703125" style="40"/>
    <col min="14855" max="14872" width="7.7109375" style="40" customWidth="1"/>
    <col min="14873" max="15110" width="11.5703125" style="40"/>
    <col min="15111" max="15128" width="7.7109375" style="40" customWidth="1"/>
    <col min="15129" max="15366" width="11.5703125" style="40"/>
    <col min="15367" max="15384" width="7.7109375" style="40" customWidth="1"/>
    <col min="15385" max="15622" width="11.5703125" style="40"/>
    <col min="15623" max="15640" width="7.7109375" style="40" customWidth="1"/>
    <col min="15641" max="15878" width="11.5703125" style="40"/>
    <col min="15879" max="15896" width="7.7109375" style="40" customWidth="1"/>
    <col min="15897" max="16134" width="11.5703125" style="40"/>
    <col min="16135" max="16152" width="7.7109375" style="40" customWidth="1"/>
    <col min="16153" max="16384" width="11.5703125" style="40"/>
  </cols>
  <sheetData>
    <row r="1" spans="2:26" ht="15" customHeight="1" x14ac:dyDescent="0.2"/>
    <row r="2" spans="2:26" ht="15" customHeight="1" thickBot="1" x14ac:dyDescent="0.25"/>
    <row r="3" spans="2:26" ht="24" customHeight="1" thickBot="1" x14ac:dyDescent="0.25">
      <c r="B3" s="331"/>
      <c r="C3" s="314"/>
      <c r="D3" s="325" t="s">
        <v>109</v>
      </c>
      <c r="E3" s="326"/>
      <c r="F3" s="326"/>
      <c r="G3" s="326"/>
      <c r="H3" s="326"/>
      <c r="I3" s="326"/>
      <c r="J3" s="326"/>
      <c r="K3" s="326"/>
      <c r="L3" s="326"/>
      <c r="M3" s="326"/>
      <c r="N3" s="326"/>
      <c r="O3" s="326"/>
      <c r="P3" s="326"/>
      <c r="Q3" s="326"/>
      <c r="R3" s="326"/>
      <c r="S3" s="326"/>
      <c r="T3" s="326"/>
      <c r="U3" s="326"/>
      <c r="V3" s="326"/>
      <c r="W3" s="326"/>
      <c r="X3" s="327"/>
      <c r="Y3" s="314"/>
      <c r="Z3" s="315"/>
    </row>
    <row r="4" spans="2:26" ht="18.75" customHeight="1" thickBot="1" x14ac:dyDescent="0.25">
      <c r="B4" s="322"/>
      <c r="C4" s="316"/>
      <c r="D4" s="150">
        <v>0</v>
      </c>
      <c r="E4" s="151">
        <v>1</v>
      </c>
      <c r="F4" s="151">
        <v>2</v>
      </c>
      <c r="G4" s="151">
        <v>3</v>
      </c>
      <c r="H4" s="151">
        <v>4</v>
      </c>
      <c r="I4" s="151">
        <v>5</v>
      </c>
      <c r="J4" s="152">
        <v>6</v>
      </c>
      <c r="K4" s="153">
        <v>7</v>
      </c>
      <c r="L4" s="151">
        <v>8</v>
      </c>
      <c r="M4" s="151">
        <v>9</v>
      </c>
      <c r="N4" s="151">
        <v>10</v>
      </c>
      <c r="O4" s="151">
        <v>11</v>
      </c>
      <c r="P4" s="151">
        <v>12</v>
      </c>
      <c r="Q4" s="154">
        <v>13</v>
      </c>
      <c r="R4" s="155">
        <v>14</v>
      </c>
      <c r="S4" s="151">
        <v>15</v>
      </c>
      <c r="T4" s="151">
        <v>16</v>
      </c>
      <c r="U4" s="151">
        <v>17</v>
      </c>
      <c r="V4" s="151">
        <v>18</v>
      </c>
      <c r="W4" s="151">
        <v>19</v>
      </c>
      <c r="X4" s="154">
        <v>20</v>
      </c>
      <c r="Y4" s="316"/>
      <c r="Z4" s="317"/>
    </row>
    <row r="5" spans="2:26" ht="18.75" customHeight="1" x14ac:dyDescent="0.2">
      <c r="B5" s="328" t="s">
        <v>110</v>
      </c>
      <c r="C5" s="162">
        <v>0</v>
      </c>
      <c r="D5" s="146">
        <f>IF($C$5&gt;=D4,0,2*2^(D4-$C$5))</f>
        <v>0</v>
      </c>
      <c r="E5" s="132">
        <f>IF($C$5&gt;=E4,0,2*2^(E4-$C$5))</f>
        <v>4</v>
      </c>
      <c r="F5" s="132">
        <f t="shared" ref="F5:X5" si="0">IF($C$5&gt;=F4,0,2*2^(F4-$C$5))</f>
        <v>8</v>
      </c>
      <c r="G5" s="132">
        <f t="shared" si="0"/>
        <v>16</v>
      </c>
      <c r="H5" s="132">
        <f t="shared" si="0"/>
        <v>32</v>
      </c>
      <c r="I5" s="132">
        <f t="shared" si="0"/>
        <v>64</v>
      </c>
      <c r="J5" s="136">
        <f t="shared" si="0"/>
        <v>128</v>
      </c>
      <c r="K5" s="146">
        <f t="shared" si="0"/>
        <v>256</v>
      </c>
      <c r="L5" s="132">
        <f t="shared" si="0"/>
        <v>512</v>
      </c>
      <c r="M5" s="132">
        <f t="shared" si="0"/>
        <v>1024</v>
      </c>
      <c r="N5" s="132">
        <f t="shared" si="0"/>
        <v>2048</v>
      </c>
      <c r="O5" s="132">
        <f t="shared" si="0"/>
        <v>4096</v>
      </c>
      <c r="P5" s="132">
        <f t="shared" si="0"/>
        <v>8192</v>
      </c>
      <c r="Q5" s="147">
        <f t="shared" si="0"/>
        <v>16384</v>
      </c>
      <c r="R5" s="140">
        <f t="shared" si="0"/>
        <v>32768</v>
      </c>
      <c r="S5" s="132">
        <f t="shared" si="0"/>
        <v>65536</v>
      </c>
      <c r="T5" s="132">
        <f t="shared" si="0"/>
        <v>131072</v>
      </c>
      <c r="U5" s="132">
        <f t="shared" si="0"/>
        <v>262144</v>
      </c>
      <c r="V5" s="132">
        <f t="shared" si="0"/>
        <v>524288</v>
      </c>
      <c r="W5" s="132">
        <f t="shared" si="0"/>
        <v>1048576</v>
      </c>
      <c r="X5" s="147">
        <f t="shared" si="0"/>
        <v>2097152</v>
      </c>
      <c r="Y5" s="163">
        <v>0</v>
      </c>
      <c r="Z5" s="328" t="s">
        <v>110</v>
      </c>
    </row>
    <row r="6" spans="2:26" ht="18.75" customHeight="1" x14ac:dyDescent="0.2">
      <c r="B6" s="329"/>
      <c r="C6" s="164">
        <v>1</v>
      </c>
      <c r="D6" s="142">
        <f>IF($C$6&gt;=D4,0,2*2^(D4-$C$6))</f>
        <v>0</v>
      </c>
      <c r="E6" s="130">
        <f t="shared" ref="E6:X6" si="1">IF($C$6&gt;=E4,0,2*2^(E4-$C$6))</f>
        <v>0</v>
      </c>
      <c r="F6" s="130">
        <f t="shared" si="1"/>
        <v>4</v>
      </c>
      <c r="G6" s="130">
        <f t="shared" si="1"/>
        <v>8</v>
      </c>
      <c r="H6" s="130">
        <f t="shared" si="1"/>
        <v>16</v>
      </c>
      <c r="I6" s="130">
        <f t="shared" si="1"/>
        <v>32</v>
      </c>
      <c r="J6" s="134">
        <f t="shared" si="1"/>
        <v>64</v>
      </c>
      <c r="K6" s="142">
        <f t="shared" si="1"/>
        <v>128</v>
      </c>
      <c r="L6" s="130">
        <f t="shared" si="1"/>
        <v>256</v>
      </c>
      <c r="M6" s="130">
        <f t="shared" si="1"/>
        <v>512</v>
      </c>
      <c r="N6" s="130">
        <f t="shared" si="1"/>
        <v>1024</v>
      </c>
      <c r="O6" s="130">
        <f t="shared" si="1"/>
        <v>2048</v>
      </c>
      <c r="P6" s="130">
        <f t="shared" si="1"/>
        <v>4096</v>
      </c>
      <c r="Q6" s="143">
        <f t="shared" si="1"/>
        <v>8192</v>
      </c>
      <c r="R6" s="138">
        <f t="shared" si="1"/>
        <v>16384</v>
      </c>
      <c r="S6" s="130">
        <f t="shared" si="1"/>
        <v>32768</v>
      </c>
      <c r="T6" s="130">
        <f t="shared" si="1"/>
        <v>65536</v>
      </c>
      <c r="U6" s="130">
        <f t="shared" si="1"/>
        <v>131072</v>
      </c>
      <c r="V6" s="130">
        <f t="shared" si="1"/>
        <v>262144</v>
      </c>
      <c r="W6" s="130">
        <f t="shared" si="1"/>
        <v>524288</v>
      </c>
      <c r="X6" s="143">
        <f t="shared" si="1"/>
        <v>1048576</v>
      </c>
      <c r="Y6" s="165">
        <v>1</v>
      </c>
      <c r="Z6" s="329"/>
    </row>
    <row r="7" spans="2:26" ht="18.75" customHeight="1" x14ac:dyDescent="0.2">
      <c r="B7" s="329"/>
      <c r="C7" s="164">
        <v>2</v>
      </c>
      <c r="D7" s="142">
        <f>IF($C$7&gt;=D4,0,2*2^(D4-$C$7))</f>
        <v>0</v>
      </c>
      <c r="E7" s="130">
        <f t="shared" ref="E7:X7" si="2">IF($C$7&gt;=E4,0,2*2^(E4-$C$7))</f>
        <v>0</v>
      </c>
      <c r="F7" s="130">
        <f t="shared" si="2"/>
        <v>0</v>
      </c>
      <c r="G7" s="130">
        <f t="shared" si="2"/>
        <v>4</v>
      </c>
      <c r="H7" s="130">
        <f t="shared" si="2"/>
        <v>8</v>
      </c>
      <c r="I7" s="130">
        <f t="shared" si="2"/>
        <v>16</v>
      </c>
      <c r="J7" s="134">
        <f t="shared" si="2"/>
        <v>32</v>
      </c>
      <c r="K7" s="142">
        <f t="shared" si="2"/>
        <v>64</v>
      </c>
      <c r="L7" s="130">
        <f t="shared" si="2"/>
        <v>128</v>
      </c>
      <c r="M7" s="130">
        <f t="shared" si="2"/>
        <v>256</v>
      </c>
      <c r="N7" s="130">
        <f t="shared" si="2"/>
        <v>512</v>
      </c>
      <c r="O7" s="130">
        <f t="shared" si="2"/>
        <v>1024</v>
      </c>
      <c r="P7" s="130">
        <f t="shared" si="2"/>
        <v>2048</v>
      </c>
      <c r="Q7" s="143">
        <f t="shared" si="2"/>
        <v>4096</v>
      </c>
      <c r="R7" s="138">
        <f t="shared" si="2"/>
        <v>8192</v>
      </c>
      <c r="S7" s="130">
        <f t="shared" si="2"/>
        <v>16384</v>
      </c>
      <c r="T7" s="130">
        <f t="shared" si="2"/>
        <v>32768</v>
      </c>
      <c r="U7" s="130">
        <f t="shared" si="2"/>
        <v>65536</v>
      </c>
      <c r="V7" s="130">
        <f t="shared" si="2"/>
        <v>131072</v>
      </c>
      <c r="W7" s="130">
        <f t="shared" si="2"/>
        <v>262144</v>
      </c>
      <c r="X7" s="143">
        <f t="shared" si="2"/>
        <v>524288</v>
      </c>
      <c r="Y7" s="165">
        <v>2</v>
      </c>
      <c r="Z7" s="329"/>
    </row>
    <row r="8" spans="2:26" ht="18.75" customHeight="1" x14ac:dyDescent="0.2">
      <c r="B8" s="329"/>
      <c r="C8" s="164">
        <v>3</v>
      </c>
      <c r="D8" s="142">
        <f>IF($C$8&gt;=D4,0,2*2^(D4-$C$8))</f>
        <v>0</v>
      </c>
      <c r="E8" s="130">
        <f t="shared" ref="E8:X8" si="3">IF($C$8&gt;=E4,0,2*2^(E4-$C$8))</f>
        <v>0</v>
      </c>
      <c r="F8" s="130">
        <f t="shared" si="3"/>
        <v>0</v>
      </c>
      <c r="G8" s="130">
        <f t="shared" si="3"/>
        <v>0</v>
      </c>
      <c r="H8" s="130">
        <f t="shared" si="3"/>
        <v>4</v>
      </c>
      <c r="I8" s="130">
        <f t="shared" si="3"/>
        <v>8</v>
      </c>
      <c r="J8" s="134">
        <f t="shared" si="3"/>
        <v>16</v>
      </c>
      <c r="K8" s="142">
        <f t="shared" si="3"/>
        <v>32</v>
      </c>
      <c r="L8" s="130">
        <f t="shared" si="3"/>
        <v>64</v>
      </c>
      <c r="M8" s="130">
        <f t="shared" si="3"/>
        <v>128</v>
      </c>
      <c r="N8" s="130">
        <f t="shared" si="3"/>
        <v>256</v>
      </c>
      <c r="O8" s="130">
        <f t="shared" si="3"/>
        <v>512</v>
      </c>
      <c r="P8" s="130">
        <f t="shared" si="3"/>
        <v>1024</v>
      </c>
      <c r="Q8" s="143">
        <f t="shared" si="3"/>
        <v>2048</v>
      </c>
      <c r="R8" s="138">
        <f t="shared" si="3"/>
        <v>4096</v>
      </c>
      <c r="S8" s="130">
        <f t="shared" si="3"/>
        <v>8192</v>
      </c>
      <c r="T8" s="130">
        <f t="shared" si="3"/>
        <v>16384</v>
      </c>
      <c r="U8" s="130">
        <f t="shared" si="3"/>
        <v>32768</v>
      </c>
      <c r="V8" s="130">
        <f t="shared" si="3"/>
        <v>65536</v>
      </c>
      <c r="W8" s="130">
        <f t="shared" si="3"/>
        <v>131072</v>
      </c>
      <c r="X8" s="143">
        <f t="shared" si="3"/>
        <v>262144</v>
      </c>
      <c r="Y8" s="165">
        <v>3</v>
      </c>
      <c r="Z8" s="329"/>
    </row>
    <row r="9" spans="2:26" ht="18.75" customHeight="1" x14ac:dyDescent="0.2">
      <c r="B9" s="329"/>
      <c r="C9" s="164">
        <v>4</v>
      </c>
      <c r="D9" s="142">
        <f>IF($C$9&gt;=D4,0,2*2^(D4-$C$9))</f>
        <v>0</v>
      </c>
      <c r="E9" s="130">
        <f t="shared" ref="E9:X9" si="4">IF($C$9&gt;=E4,0,2*2^(E4-$C$9))</f>
        <v>0</v>
      </c>
      <c r="F9" s="130">
        <f t="shared" si="4"/>
        <v>0</v>
      </c>
      <c r="G9" s="130">
        <f t="shared" si="4"/>
        <v>0</v>
      </c>
      <c r="H9" s="130">
        <f t="shared" si="4"/>
        <v>0</v>
      </c>
      <c r="I9" s="130">
        <f t="shared" si="4"/>
        <v>4</v>
      </c>
      <c r="J9" s="134">
        <f t="shared" si="4"/>
        <v>8</v>
      </c>
      <c r="K9" s="142">
        <f t="shared" si="4"/>
        <v>16</v>
      </c>
      <c r="L9" s="130">
        <f t="shared" si="4"/>
        <v>32</v>
      </c>
      <c r="M9" s="130">
        <f t="shared" si="4"/>
        <v>64</v>
      </c>
      <c r="N9" s="130">
        <f t="shared" si="4"/>
        <v>128</v>
      </c>
      <c r="O9" s="130">
        <f t="shared" si="4"/>
        <v>256</v>
      </c>
      <c r="P9" s="130">
        <f t="shared" si="4"/>
        <v>512</v>
      </c>
      <c r="Q9" s="143">
        <f t="shared" si="4"/>
        <v>1024</v>
      </c>
      <c r="R9" s="138">
        <f t="shared" si="4"/>
        <v>2048</v>
      </c>
      <c r="S9" s="130">
        <f t="shared" si="4"/>
        <v>4096</v>
      </c>
      <c r="T9" s="130">
        <f t="shared" si="4"/>
        <v>8192</v>
      </c>
      <c r="U9" s="130">
        <f t="shared" si="4"/>
        <v>16384</v>
      </c>
      <c r="V9" s="130">
        <f t="shared" si="4"/>
        <v>32768</v>
      </c>
      <c r="W9" s="130">
        <f t="shared" si="4"/>
        <v>65536</v>
      </c>
      <c r="X9" s="143">
        <f t="shared" si="4"/>
        <v>131072</v>
      </c>
      <c r="Y9" s="165">
        <v>4</v>
      </c>
      <c r="Z9" s="329"/>
    </row>
    <row r="10" spans="2:26" ht="18.75" customHeight="1" x14ac:dyDescent="0.2">
      <c r="B10" s="329"/>
      <c r="C10" s="164">
        <v>5</v>
      </c>
      <c r="D10" s="142">
        <f>IF($C$10&gt;=D4,0,2*2^(D4-$C$10))</f>
        <v>0</v>
      </c>
      <c r="E10" s="130">
        <f t="shared" ref="E10:X10" si="5">IF($C$10&gt;=E4,0,2*2^(E4-$C$10))</f>
        <v>0</v>
      </c>
      <c r="F10" s="130">
        <f t="shared" si="5"/>
        <v>0</v>
      </c>
      <c r="G10" s="130">
        <f t="shared" si="5"/>
        <v>0</v>
      </c>
      <c r="H10" s="130">
        <f t="shared" si="5"/>
        <v>0</v>
      </c>
      <c r="I10" s="130">
        <f t="shared" si="5"/>
        <v>0</v>
      </c>
      <c r="J10" s="134">
        <f t="shared" si="5"/>
        <v>4</v>
      </c>
      <c r="K10" s="142">
        <f t="shared" si="5"/>
        <v>8</v>
      </c>
      <c r="L10" s="130">
        <f t="shared" si="5"/>
        <v>16</v>
      </c>
      <c r="M10" s="130">
        <f t="shared" si="5"/>
        <v>32</v>
      </c>
      <c r="N10" s="130">
        <f t="shared" si="5"/>
        <v>64</v>
      </c>
      <c r="O10" s="130">
        <f t="shared" si="5"/>
        <v>128</v>
      </c>
      <c r="P10" s="130">
        <f t="shared" si="5"/>
        <v>256</v>
      </c>
      <c r="Q10" s="143">
        <f t="shared" si="5"/>
        <v>512</v>
      </c>
      <c r="R10" s="138">
        <f t="shared" si="5"/>
        <v>1024</v>
      </c>
      <c r="S10" s="130">
        <f t="shared" si="5"/>
        <v>2048</v>
      </c>
      <c r="T10" s="130">
        <f t="shared" si="5"/>
        <v>4096</v>
      </c>
      <c r="U10" s="130">
        <f t="shared" si="5"/>
        <v>8192</v>
      </c>
      <c r="V10" s="130">
        <f t="shared" si="5"/>
        <v>16384</v>
      </c>
      <c r="W10" s="130">
        <f t="shared" si="5"/>
        <v>32768</v>
      </c>
      <c r="X10" s="143">
        <f t="shared" si="5"/>
        <v>65536</v>
      </c>
      <c r="Y10" s="165">
        <v>5</v>
      </c>
      <c r="Z10" s="329"/>
    </row>
    <row r="11" spans="2:26" ht="18.75" customHeight="1" thickBot="1" x14ac:dyDescent="0.25">
      <c r="B11" s="329"/>
      <c r="C11" s="166">
        <v>6</v>
      </c>
      <c r="D11" s="144">
        <f>IF($C$11&gt;=D4,0,2*2^(D4-$C$11))</f>
        <v>0</v>
      </c>
      <c r="E11" s="131">
        <f t="shared" ref="E11:X11" si="6">IF($C$11&gt;=E4,0,2*2^(E4-$C$11))</f>
        <v>0</v>
      </c>
      <c r="F11" s="131">
        <f t="shared" si="6"/>
        <v>0</v>
      </c>
      <c r="G11" s="131">
        <f t="shared" si="6"/>
        <v>0</v>
      </c>
      <c r="H11" s="131">
        <f t="shared" si="6"/>
        <v>0</v>
      </c>
      <c r="I11" s="131">
        <f t="shared" si="6"/>
        <v>0</v>
      </c>
      <c r="J11" s="135">
        <f t="shared" si="6"/>
        <v>0</v>
      </c>
      <c r="K11" s="144">
        <f t="shared" si="6"/>
        <v>4</v>
      </c>
      <c r="L11" s="131">
        <f t="shared" si="6"/>
        <v>8</v>
      </c>
      <c r="M11" s="131">
        <f t="shared" si="6"/>
        <v>16</v>
      </c>
      <c r="N11" s="131">
        <f t="shared" si="6"/>
        <v>32</v>
      </c>
      <c r="O11" s="131">
        <f t="shared" si="6"/>
        <v>64</v>
      </c>
      <c r="P11" s="131">
        <f t="shared" si="6"/>
        <v>128</v>
      </c>
      <c r="Q11" s="145">
        <f t="shared" si="6"/>
        <v>256</v>
      </c>
      <c r="R11" s="139">
        <f t="shared" si="6"/>
        <v>512</v>
      </c>
      <c r="S11" s="131">
        <f t="shared" si="6"/>
        <v>1024</v>
      </c>
      <c r="T11" s="131">
        <f t="shared" si="6"/>
        <v>2048</v>
      </c>
      <c r="U11" s="131">
        <f t="shared" si="6"/>
        <v>4096</v>
      </c>
      <c r="V11" s="131">
        <f t="shared" si="6"/>
        <v>8192</v>
      </c>
      <c r="W11" s="131">
        <f t="shared" si="6"/>
        <v>16384</v>
      </c>
      <c r="X11" s="145">
        <f t="shared" si="6"/>
        <v>32768</v>
      </c>
      <c r="Y11" s="167">
        <v>6</v>
      </c>
      <c r="Z11" s="329"/>
    </row>
    <row r="12" spans="2:26" ht="18.75" customHeight="1" x14ac:dyDescent="0.2">
      <c r="B12" s="329"/>
      <c r="C12" s="168">
        <v>7</v>
      </c>
      <c r="D12" s="146">
        <f>IF($C$12&gt;=D4,0,2*2^(D4-$C$12))</f>
        <v>0</v>
      </c>
      <c r="E12" s="132">
        <f t="shared" ref="E12:X12" si="7">IF($C$12&gt;=E4,0,2*2^(E4-$C$12))</f>
        <v>0</v>
      </c>
      <c r="F12" s="132">
        <f t="shared" si="7"/>
        <v>0</v>
      </c>
      <c r="G12" s="132">
        <f t="shared" si="7"/>
        <v>0</v>
      </c>
      <c r="H12" s="132">
        <f t="shared" si="7"/>
        <v>0</v>
      </c>
      <c r="I12" s="132">
        <f t="shared" si="7"/>
        <v>0</v>
      </c>
      <c r="J12" s="136">
        <f t="shared" si="7"/>
        <v>0</v>
      </c>
      <c r="K12" s="146">
        <f t="shared" si="7"/>
        <v>0</v>
      </c>
      <c r="L12" s="132">
        <f t="shared" si="7"/>
        <v>4</v>
      </c>
      <c r="M12" s="132">
        <f t="shared" si="7"/>
        <v>8</v>
      </c>
      <c r="N12" s="132">
        <f t="shared" si="7"/>
        <v>16</v>
      </c>
      <c r="O12" s="132">
        <f t="shared" si="7"/>
        <v>32</v>
      </c>
      <c r="P12" s="132">
        <f t="shared" si="7"/>
        <v>64</v>
      </c>
      <c r="Q12" s="147">
        <f t="shared" si="7"/>
        <v>128</v>
      </c>
      <c r="R12" s="140">
        <f t="shared" si="7"/>
        <v>256</v>
      </c>
      <c r="S12" s="132">
        <f t="shared" si="7"/>
        <v>512</v>
      </c>
      <c r="T12" s="132">
        <f t="shared" si="7"/>
        <v>1024</v>
      </c>
      <c r="U12" s="132">
        <f t="shared" si="7"/>
        <v>2048</v>
      </c>
      <c r="V12" s="132">
        <f t="shared" si="7"/>
        <v>4096</v>
      </c>
      <c r="W12" s="132">
        <f t="shared" si="7"/>
        <v>8192</v>
      </c>
      <c r="X12" s="147">
        <f t="shared" si="7"/>
        <v>16384</v>
      </c>
      <c r="Y12" s="169">
        <v>7</v>
      </c>
      <c r="Z12" s="329"/>
    </row>
    <row r="13" spans="2:26" ht="18.75" customHeight="1" x14ac:dyDescent="0.2">
      <c r="B13" s="329"/>
      <c r="C13" s="164">
        <v>8</v>
      </c>
      <c r="D13" s="142">
        <f>IF($C$13&gt;=D4,0,2*2^(D4-$C$13))</f>
        <v>0</v>
      </c>
      <c r="E13" s="130">
        <f t="shared" ref="E13:X13" si="8">IF($C$13&gt;=E4,0,2*2^(E4-$C$13))</f>
        <v>0</v>
      </c>
      <c r="F13" s="130">
        <f t="shared" si="8"/>
        <v>0</v>
      </c>
      <c r="G13" s="130">
        <f t="shared" si="8"/>
        <v>0</v>
      </c>
      <c r="H13" s="130">
        <f t="shared" si="8"/>
        <v>0</v>
      </c>
      <c r="I13" s="130">
        <f t="shared" si="8"/>
        <v>0</v>
      </c>
      <c r="J13" s="134">
        <f t="shared" si="8"/>
        <v>0</v>
      </c>
      <c r="K13" s="142">
        <f t="shared" si="8"/>
        <v>0</v>
      </c>
      <c r="L13" s="130">
        <f t="shared" si="8"/>
        <v>0</v>
      </c>
      <c r="M13" s="130">
        <f t="shared" si="8"/>
        <v>4</v>
      </c>
      <c r="N13" s="130">
        <f t="shared" si="8"/>
        <v>8</v>
      </c>
      <c r="O13" s="130">
        <f t="shared" si="8"/>
        <v>16</v>
      </c>
      <c r="P13" s="130">
        <f t="shared" si="8"/>
        <v>32</v>
      </c>
      <c r="Q13" s="143">
        <f t="shared" si="8"/>
        <v>64</v>
      </c>
      <c r="R13" s="138">
        <f t="shared" si="8"/>
        <v>128</v>
      </c>
      <c r="S13" s="130">
        <f t="shared" si="8"/>
        <v>256</v>
      </c>
      <c r="T13" s="130">
        <f t="shared" si="8"/>
        <v>512</v>
      </c>
      <c r="U13" s="130">
        <f t="shared" si="8"/>
        <v>1024</v>
      </c>
      <c r="V13" s="130">
        <f t="shared" si="8"/>
        <v>2048</v>
      </c>
      <c r="W13" s="130">
        <f t="shared" si="8"/>
        <v>4096</v>
      </c>
      <c r="X13" s="143">
        <f t="shared" si="8"/>
        <v>8192</v>
      </c>
      <c r="Y13" s="165">
        <v>8</v>
      </c>
      <c r="Z13" s="329"/>
    </row>
    <row r="14" spans="2:26" ht="18.75" customHeight="1" x14ac:dyDescent="0.2">
      <c r="B14" s="329"/>
      <c r="C14" s="164">
        <v>9</v>
      </c>
      <c r="D14" s="142">
        <f>IF($C$14&gt;=D4,0,2*2^(D4-$C$14))</f>
        <v>0</v>
      </c>
      <c r="E14" s="130">
        <f t="shared" ref="E14:X14" si="9">IF($C$14&gt;=E4,0,2*2^(E4-$C$14))</f>
        <v>0</v>
      </c>
      <c r="F14" s="130">
        <f t="shared" si="9"/>
        <v>0</v>
      </c>
      <c r="G14" s="130">
        <f t="shared" si="9"/>
        <v>0</v>
      </c>
      <c r="H14" s="130">
        <f t="shared" si="9"/>
        <v>0</v>
      </c>
      <c r="I14" s="130">
        <f t="shared" si="9"/>
        <v>0</v>
      </c>
      <c r="J14" s="134">
        <f t="shared" si="9"/>
        <v>0</v>
      </c>
      <c r="K14" s="142">
        <f t="shared" si="9"/>
        <v>0</v>
      </c>
      <c r="L14" s="130">
        <f t="shared" si="9"/>
        <v>0</v>
      </c>
      <c r="M14" s="130">
        <f t="shared" si="9"/>
        <v>0</v>
      </c>
      <c r="N14" s="130">
        <f t="shared" si="9"/>
        <v>4</v>
      </c>
      <c r="O14" s="130">
        <f t="shared" si="9"/>
        <v>8</v>
      </c>
      <c r="P14" s="130">
        <f t="shared" si="9"/>
        <v>16</v>
      </c>
      <c r="Q14" s="143">
        <f t="shared" si="9"/>
        <v>32</v>
      </c>
      <c r="R14" s="138">
        <f t="shared" si="9"/>
        <v>64</v>
      </c>
      <c r="S14" s="130">
        <f t="shared" si="9"/>
        <v>128</v>
      </c>
      <c r="T14" s="130">
        <f t="shared" si="9"/>
        <v>256</v>
      </c>
      <c r="U14" s="130">
        <f t="shared" si="9"/>
        <v>512</v>
      </c>
      <c r="V14" s="130">
        <f t="shared" si="9"/>
        <v>1024</v>
      </c>
      <c r="W14" s="130">
        <f t="shared" si="9"/>
        <v>2048</v>
      </c>
      <c r="X14" s="143">
        <f t="shared" si="9"/>
        <v>4096</v>
      </c>
      <c r="Y14" s="165">
        <v>9</v>
      </c>
      <c r="Z14" s="329"/>
    </row>
    <row r="15" spans="2:26" ht="18.75" customHeight="1" x14ac:dyDescent="0.2">
      <c r="B15" s="329"/>
      <c r="C15" s="164">
        <v>10</v>
      </c>
      <c r="D15" s="142">
        <f>IF($C$15&gt;=D4,0,2*2^(D4-$C$15))</f>
        <v>0</v>
      </c>
      <c r="E15" s="130">
        <f t="shared" ref="E15:X15" si="10">IF($C$15&gt;=E4,0,2*2^(E4-$C$15))</f>
        <v>0</v>
      </c>
      <c r="F15" s="130">
        <f t="shared" si="10"/>
        <v>0</v>
      </c>
      <c r="G15" s="130">
        <f t="shared" si="10"/>
        <v>0</v>
      </c>
      <c r="H15" s="130">
        <f t="shared" si="10"/>
        <v>0</v>
      </c>
      <c r="I15" s="130">
        <f t="shared" si="10"/>
        <v>0</v>
      </c>
      <c r="J15" s="134">
        <f t="shared" si="10"/>
        <v>0</v>
      </c>
      <c r="K15" s="142">
        <f t="shared" si="10"/>
        <v>0</v>
      </c>
      <c r="L15" s="130">
        <f t="shared" si="10"/>
        <v>0</v>
      </c>
      <c r="M15" s="130">
        <f t="shared" si="10"/>
        <v>0</v>
      </c>
      <c r="N15" s="130">
        <f t="shared" si="10"/>
        <v>0</v>
      </c>
      <c r="O15" s="130">
        <f t="shared" si="10"/>
        <v>4</v>
      </c>
      <c r="P15" s="130">
        <f t="shared" si="10"/>
        <v>8</v>
      </c>
      <c r="Q15" s="143">
        <f t="shared" si="10"/>
        <v>16</v>
      </c>
      <c r="R15" s="138">
        <f t="shared" si="10"/>
        <v>32</v>
      </c>
      <c r="S15" s="130">
        <f t="shared" si="10"/>
        <v>64</v>
      </c>
      <c r="T15" s="130">
        <f t="shared" si="10"/>
        <v>128</v>
      </c>
      <c r="U15" s="130">
        <f t="shared" si="10"/>
        <v>256</v>
      </c>
      <c r="V15" s="130">
        <f t="shared" si="10"/>
        <v>512</v>
      </c>
      <c r="W15" s="130">
        <f t="shared" si="10"/>
        <v>1024</v>
      </c>
      <c r="X15" s="143">
        <f t="shared" si="10"/>
        <v>2048</v>
      </c>
      <c r="Y15" s="165">
        <v>10</v>
      </c>
      <c r="Z15" s="329"/>
    </row>
    <row r="16" spans="2:26" ht="18.75" customHeight="1" x14ac:dyDescent="0.2">
      <c r="B16" s="329"/>
      <c r="C16" s="164">
        <v>11</v>
      </c>
      <c r="D16" s="142">
        <f>IF($C$16&gt;=D4,0,2*2^(D4-$C$16))</f>
        <v>0</v>
      </c>
      <c r="E16" s="130">
        <f t="shared" ref="E16:X16" si="11">IF($C$16&gt;=E4,0,2*2^(E4-$C$16))</f>
        <v>0</v>
      </c>
      <c r="F16" s="130">
        <f t="shared" si="11"/>
        <v>0</v>
      </c>
      <c r="G16" s="130">
        <f t="shared" si="11"/>
        <v>0</v>
      </c>
      <c r="H16" s="130">
        <f t="shared" si="11"/>
        <v>0</v>
      </c>
      <c r="I16" s="130">
        <f t="shared" si="11"/>
        <v>0</v>
      </c>
      <c r="J16" s="134">
        <f t="shared" si="11"/>
        <v>0</v>
      </c>
      <c r="K16" s="142">
        <f t="shared" si="11"/>
        <v>0</v>
      </c>
      <c r="L16" s="130">
        <f t="shared" si="11"/>
        <v>0</v>
      </c>
      <c r="M16" s="130">
        <f t="shared" si="11"/>
        <v>0</v>
      </c>
      <c r="N16" s="130">
        <f t="shared" si="11"/>
        <v>0</v>
      </c>
      <c r="O16" s="130">
        <f t="shared" si="11"/>
        <v>0</v>
      </c>
      <c r="P16" s="130">
        <f t="shared" si="11"/>
        <v>4</v>
      </c>
      <c r="Q16" s="143">
        <f t="shared" si="11"/>
        <v>8</v>
      </c>
      <c r="R16" s="138">
        <f t="shared" si="11"/>
        <v>16</v>
      </c>
      <c r="S16" s="130">
        <f t="shared" si="11"/>
        <v>32</v>
      </c>
      <c r="T16" s="130">
        <f t="shared" si="11"/>
        <v>64</v>
      </c>
      <c r="U16" s="130">
        <f t="shared" si="11"/>
        <v>128</v>
      </c>
      <c r="V16" s="130">
        <f t="shared" si="11"/>
        <v>256</v>
      </c>
      <c r="W16" s="130">
        <f t="shared" si="11"/>
        <v>512</v>
      </c>
      <c r="X16" s="143">
        <f t="shared" si="11"/>
        <v>1024</v>
      </c>
      <c r="Y16" s="165">
        <v>11</v>
      </c>
      <c r="Z16" s="329"/>
    </row>
    <row r="17" spans="2:26" ht="18.75" customHeight="1" x14ac:dyDescent="0.2">
      <c r="B17" s="329"/>
      <c r="C17" s="164">
        <v>12</v>
      </c>
      <c r="D17" s="142">
        <f>IF($C$17&gt;=D4,0,2*2^(D4-$C$17))</f>
        <v>0</v>
      </c>
      <c r="E17" s="130">
        <f t="shared" ref="E17:X17" si="12">IF($C$17&gt;=E4,0,2*2^(E4-$C$17))</f>
        <v>0</v>
      </c>
      <c r="F17" s="130">
        <f t="shared" si="12"/>
        <v>0</v>
      </c>
      <c r="G17" s="130">
        <f t="shared" si="12"/>
        <v>0</v>
      </c>
      <c r="H17" s="130">
        <f t="shared" si="12"/>
        <v>0</v>
      </c>
      <c r="I17" s="130">
        <f t="shared" si="12"/>
        <v>0</v>
      </c>
      <c r="J17" s="134">
        <f t="shared" si="12"/>
        <v>0</v>
      </c>
      <c r="K17" s="142">
        <f t="shared" si="12"/>
        <v>0</v>
      </c>
      <c r="L17" s="130">
        <f t="shared" si="12"/>
        <v>0</v>
      </c>
      <c r="M17" s="130">
        <f t="shared" si="12"/>
        <v>0</v>
      </c>
      <c r="N17" s="130">
        <f t="shared" si="12"/>
        <v>0</v>
      </c>
      <c r="O17" s="130">
        <f t="shared" si="12"/>
        <v>0</v>
      </c>
      <c r="P17" s="130">
        <f t="shared" si="12"/>
        <v>0</v>
      </c>
      <c r="Q17" s="143">
        <f t="shared" si="12"/>
        <v>4</v>
      </c>
      <c r="R17" s="138">
        <f t="shared" si="12"/>
        <v>8</v>
      </c>
      <c r="S17" s="130">
        <f t="shared" si="12"/>
        <v>16</v>
      </c>
      <c r="T17" s="130">
        <f t="shared" si="12"/>
        <v>32</v>
      </c>
      <c r="U17" s="130">
        <f t="shared" si="12"/>
        <v>64</v>
      </c>
      <c r="V17" s="130">
        <f t="shared" si="12"/>
        <v>128</v>
      </c>
      <c r="W17" s="130">
        <f t="shared" si="12"/>
        <v>256</v>
      </c>
      <c r="X17" s="143">
        <f t="shared" si="12"/>
        <v>512</v>
      </c>
      <c r="Y17" s="165">
        <v>12</v>
      </c>
      <c r="Z17" s="329"/>
    </row>
    <row r="18" spans="2:26" ht="18.75" customHeight="1" thickBot="1" x14ac:dyDescent="0.25">
      <c r="B18" s="329"/>
      <c r="C18" s="170">
        <v>13</v>
      </c>
      <c r="D18" s="148">
        <f>IF($C$18&gt;=D4,0,2*2^(D4-$C$18))</f>
        <v>0</v>
      </c>
      <c r="E18" s="133">
        <f t="shared" ref="E18:X18" si="13">IF($C$18&gt;=E4,0,2*2^(E4-$C$18))</f>
        <v>0</v>
      </c>
      <c r="F18" s="133">
        <f t="shared" si="13"/>
        <v>0</v>
      </c>
      <c r="G18" s="133">
        <f t="shared" si="13"/>
        <v>0</v>
      </c>
      <c r="H18" s="133">
        <f t="shared" si="13"/>
        <v>0</v>
      </c>
      <c r="I18" s="133">
        <f t="shared" si="13"/>
        <v>0</v>
      </c>
      <c r="J18" s="137">
        <f t="shared" si="13"/>
        <v>0</v>
      </c>
      <c r="K18" s="148">
        <f t="shared" si="13"/>
        <v>0</v>
      </c>
      <c r="L18" s="133">
        <f t="shared" si="13"/>
        <v>0</v>
      </c>
      <c r="M18" s="133">
        <f t="shared" si="13"/>
        <v>0</v>
      </c>
      <c r="N18" s="133">
        <f t="shared" si="13"/>
        <v>0</v>
      </c>
      <c r="O18" s="133">
        <f t="shared" si="13"/>
        <v>0</v>
      </c>
      <c r="P18" s="133">
        <f t="shared" si="13"/>
        <v>0</v>
      </c>
      <c r="Q18" s="149">
        <f t="shared" si="13"/>
        <v>0</v>
      </c>
      <c r="R18" s="141">
        <f t="shared" si="13"/>
        <v>4</v>
      </c>
      <c r="S18" s="133">
        <f t="shared" si="13"/>
        <v>8</v>
      </c>
      <c r="T18" s="133">
        <f t="shared" si="13"/>
        <v>16</v>
      </c>
      <c r="U18" s="133">
        <f t="shared" si="13"/>
        <v>32</v>
      </c>
      <c r="V18" s="133">
        <f t="shared" si="13"/>
        <v>64</v>
      </c>
      <c r="W18" s="133">
        <f t="shared" si="13"/>
        <v>128</v>
      </c>
      <c r="X18" s="149">
        <f t="shared" si="13"/>
        <v>256</v>
      </c>
      <c r="Y18" s="171">
        <v>13</v>
      </c>
      <c r="Z18" s="329"/>
    </row>
    <row r="19" spans="2:26" ht="18.75" customHeight="1" x14ac:dyDescent="0.2">
      <c r="B19" s="329"/>
      <c r="C19" s="172">
        <v>14</v>
      </c>
      <c r="D19" s="146">
        <f>IF($C$19&gt;=D4,0,2*2^(D4-$C$19))</f>
        <v>0</v>
      </c>
      <c r="E19" s="132">
        <f t="shared" ref="E19:X19" si="14">IF($C$19&gt;=E4,0,2*2^(E4-$C$19))</f>
        <v>0</v>
      </c>
      <c r="F19" s="132">
        <f t="shared" si="14"/>
        <v>0</v>
      </c>
      <c r="G19" s="132">
        <f t="shared" si="14"/>
        <v>0</v>
      </c>
      <c r="H19" s="132">
        <f t="shared" si="14"/>
        <v>0</v>
      </c>
      <c r="I19" s="132">
        <f t="shared" si="14"/>
        <v>0</v>
      </c>
      <c r="J19" s="136">
        <f t="shared" si="14"/>
        <v>0</v>
      </c>
      <c r="K19" s="146">
        <f t="shared" si="14"/>
        <v>0</v>
      </c>
      <c r="L19" s="132">
        <f t="shared" si="14"/>
        <v>0</v>
      </c>
      <c r="M19" s="132">
        <f t="shared" si="14"/>
        <v>0</v>
      </c>
      <c r="N19" s="132">
        <f t="shared" si="14"/>
        <v>0</v>
      </c>
      <c r="O19" s="132">
        <f t="shared" si="14"/>
        <v>0</v>
      </c>
      <c r="P19" s="132">
        <f t="shared" si="14"/>
        <v>0</v>
      </c>
      <c r="Q19" s="147">
        <f t="shared" si="14"/>
        <v>0</v>
      </c>
      <c r="R19" s="140">
        <f t="shared" si="14"/>
        <v>0</v>
      </c>
      <c r="S19" s="132">
        <f t="shared" si="14"/>
        <v>4</v>
      </c>
      <c r="T19" s="132">
        <f t="shared" si="14"/>
        <v>8</v>
      </c>
      <c r="U19" s="132">
        <f t="shared" si="14"/>
        <v>16</v>
      </c>
      <c r="V19" s="132">
        <f t="shared" si="14"/>
        <v>32</v>
      </c>
      <c r="W19" s="132">
        <f t="shared" si="14"/>
        <v>64</v>
      </c>
      <c r="X19" s="147">
        <f t="shared" si="14"/>
        <v>128</v>
      </c>
      <c r="Y19" s="173">
        <v>14</v>
      </c>
      <c r="Z19" s="329"/>
    </row>
    <row r="20" spans="2:26" ht="18.75" customHeight="1" x14ac:dyDescent="0.2">
      <c r="B20" s="329"/>
      <c r="C20" s="164">
        <v>15</v>
      </c>
      <c r="D20" s="142">
        <f>IF($C$20&gt;=D4,0,2*2^(D4-$C$20))</f>
        <v>0</v>
      </c>
      <c r="E20" s="130">
        <f t="shared" ref="E20:X20" si="15">IF($C$20&gt;=E4,0,2*2^(E4-$C$20))</f>
        <v>0</v>
      </c>
      <c r="F20" s="130">
        <f t="shared" si="15"/>
        <v>0</v>
      </c>
      <c r="G20" s="130">
        <f t="shared" si="15"/>
        <v>0</v>
      </c>
      <c r="H20" s="130">
        <f t="shared" si="15"/>
        <v>0</v>
      </c>
      <c r="I20" s="130">
        <f t="shared" si="15"/>
        <v>0</v>
      </c>
      <c r="J20" s="134">
        <f t="shared" si="15"/>
        <v>0</v>
      </c>
      <c r="K20" s="142">
        <f t="shared" si="15"/>
        <v>0</v>
      </c>
      <c r="L20" s="130">
        <f t="shared" si="15"/>
        <v>0</v>
      </c>
      <c r="M20" s="130">
        <f t="shared" si="15"/>
        <v>0</v>
      </c>
      <c r="N20" s="130">
        <f t="shared" si="15"/>
        <v>0</v>
      </c>
      <c r="O20" s="130">
        <f t="shared" si="15"/>
        <v>0</v>
      </c>
      <c r="P20" s="130">
        <f t="shared" si="15"/>
        <v>0</v>
      </c>
      <c r="Q20" s="143">
        <f t="shared" si="15"/>
        <v>0</v>
      </c>
      <c r="R20" s="138">
        <f t="shared" si="15"/>
        <v>0</v>
      </c>
      <c r="S20" s="130">
        <f t="shared" si="15"/>
        <v>0</v>
      </c>
      <c r="T20" s="130">
        <f t="shared" si="15"/>
        <v>4</v>
      </c>
      <c r="U20" s="130">
        <f t="shared" si="15"/>
        <v>8</v>
      </c>
      <c r="V20" s="130">
        <f t="shared" si="15"/>
        <v>16</v>
      </c>
      <c r="W20" s="130">
        <f t="shared" si="15"/>
        <v>32</v>
      </c>
      <c r="X20" s="143">
        <f t="shared" si="15"/>
        <v>64</v>
      </c>
      <c r="Y20" s="165">
        <v>15</v>
      </c>
      <c r="Z20" s="329"/>
    </row>
    <row r="21" spans="2:26" ht="18.75" customHeight="1" x14ac:dyDescent="0.2">
      <c r="B21" s="329"/>
      <c r="C21" s="164">
        <v>16</v>
      </c>
      <c r="D21" s="142">
        <f>IF($C$21&gt;=D4,0,2*2^(D4-$C$21))</f>
        <v>0</v>
      </c>
      <c r="E21" s="130">
        <f t="shared" ref="E21:X21" si="16">IF($C$21&gt;=E4,0,2*2^(E4-$C$21))</f>
        <v>0</v>
      </c>
      <c r="F21" s="130">
        <f t="shared" si="16"/>
        <v>0</v>
      </c>
      <c r="G21" s="130">
        <f t="shared" si="16"/>
        <v>0</v>
      </c>
      <c r="H21" s="130">
        <f t="shared" si="16"/>
        <v>0</v>
      </c>
      <c r="I21" s="130">
        <f t="shared" si="16"/>
        <v>0</v>
      </c>
      <c r="J21" s="134">
        <f t="shared" si="16"/>
        <v>0</v>
      </c>
      <c r="K21" s="142">
        <f t="shared" si="16"/>
        <v>0</v>
      </c>
      <c r="L21" s="130">
        <f t="shared" si="16"/>
        <v>0</v>
      </c>
      <c r="M21" s="130">
        <f t="shared" si="16"/>
        <v>0</v>
      </c>
      <c r="N21" s="130">
        <f t="shared" si="16"/>
        <v>0</v>
      </c>
      <c r="O21" s="130">
        <f t="shared" si="16"/>
        <v>0</v>
      </c>
      <c r="P21" s="130">
        <f t="shared" si="16"/>
        <v>0</v>
      </c>
      <c r="Q21" s="143">
        <f t="shared" si="16"/>
        <v>0</v>
      </c>
      <c r="R21" s="138">
        <f t="shared" si="16"/>
        <v>0</v>
      </c>
      <c r="S21" s="130">
        <f t="shared" si="16"/>
        <v>0</v>
      </c>
      <c r="T21" s="130">
        <f t="shared" si="16"/>
        <v>0</v>
      </c>
      <c r="U21" s="130">
        <f t="shared" si="16"/>
        <v>4</v>
      </c>
      <c r="V21" s="130">
        <f t="shared" si="16"/>
        <v>8</v>
      </c>
      <c r="W21" s="130">
        <f t="shared" si="16"/>
        <v>16</v>
      </c>
      <c r="X21" s="143">
        <f t="shared" si="16"/>
        <v>32</v>
      </c>
      <c r="Y21" s="165">
        <v>16</v>
      </c>
      <c r="Z21" s="329"/>
    </row>
    <row r="22" spans="2:26" ht="18.75" customHeight="1" x14ac:dyDescent="0.2">
      <c r="B22" s="329"/>
      <c r="C22" s="164">
        <v>17</v>
      </c>
      <c r="D22" s="142">
        <f>IF($C$22&gt;=D4,0,2*2^(D4-$C$22))</f>
        <v>0</v>
      </c>
      <c r="E22" s="130">
        <f t="shared" ref="E22:X22" si="17">IF($C$22&gt;=E4,0,2*2^(E4-$C$22))</f>
        <v>0</v>
      </c>
      <c r="F22" s="130">
        <f t="shared" si="17"/>
        <v>0</v>
      </c>
      <c r="G22" s="130">
        <f t="shared" si="17"/>
        <v>0</v>
      </c>
      <c r="H22" s="130">
        <f t="shared" si="17"/>
        <v>0</v>
      </c>
      <c r="I22" s="130">
        <f t="shared" si="17"/>
        <v>0</v>
      </c>
      <c r="J22" s="134">
        <f t="shared" si="17"/>
        <v>0</v>
      </c>
      <c r="K22" s="142">
        <f t="shared" si="17"/>
        <v>0</v>
      </c>
      <c r="L22" s="130">
        <f t="shared" si="17"/>
        <v>0</v>
      </c>
      <c r="M22" s="130">
        <f t="shared" si="17"/>
        <v>0</v>
      </c>
      <c r="N22" s="130">
        <f t="shared" si="17"/>
        <v>0</v>
      </c>
      <c r="O22" s="130">
        <f t="shared" si="17"/>
        <v>0</v>
      </c>
      <c r="P22" s="130">
        <f t="shared" si="17"/>
        <v>0</v>
      </c>
      <c r="Q22" s="143">
        <f t="shared" si="17"/>
        <v>0</v>
      </c>
      <c r="R22" s="138">
        <f t="shared" si="17"/>
        <v>0</v>
      </c>
      <c r="S22" s="130">
        <f t="shared" si="17"/>
        <v>0</v>
      </c>
      <c r="T22" s="130">
        <f t="shared" si="17"/>
        <v>0</v>
      </c>
      <c r="U22" s="130">
        <f t="shared" si="17"/>
        <v>0</v>
      </c>
      <c r="V22" s="130">
        <f t="shared" si="17"/>
        <v>4</v>
      </c>
      <c r="W22" s="130">
        <f t="shared" si="17"/>
        <v>8</v>
      </c>
      <c r="X22" s="143">
        <f t="shared" si="17"/>
        <v>16</v>
      </c>
      <c r="Y22" s="165">
        <v>17</v>
      </c>
      <c r="Z22" s="329"/>
    </row>
    <row r="23" spans="2:26" ht="18.75" customHeight="1" x14ac:dyDescent="0.2">
      <c r="B23" s="329"/>
      <c r="C23" s="164">
        <v>18</v>
      </c>
      <c r="D23" s="142">
        <f>IF($C$23&gt;=D4,0,2*2^(D4-$C$23))</f>
        <v>0</v>
      </c>
      <c r="E23" s="130">
        <f t="shared" ref="E23:X23" si="18">IF($C$23&gt;=E4,0,2*2^(E4-$C$23))</f>
        <v>0</v>
      </c>
      <c r="F23" s="130">
        <f t="shared" si="18"/>
        <v>0</v>
      </c>
      <c r="G23" s="130">
        <f t="shared" si="18"/>
        <v>0</v>
      </c>
      <c r="H23" s="130">
        <f t="shared" si="18"/>
        <v>0</v>
      </c>
      <c r="I23" s="130">
        <f t="shared" si="18"/>
        <v>0</v>
      </c>
      <c r="J23" s="134">
        <f t="shared" si="18"/>
        <v>0</v>
      </c>
      <c r="K23" s="142">
        <f t="shared" si="18"/>
        <v>0</v>
      </c>
      <c r="L23" s="130">
        <f t="shared" si="18"/>
        <v>0</v>
      </c>
      <c r="M23" s="130">
        <f t="shared" si="18"/>
        <v>0</v>
      </c>
      <c r="N23" s="130">
        <f t="shared" si="18"/>
        <v>0</v>
      </c>
      <c r="O23" s="130">
        <f t="shared" si="18"/>
        <v>0</v>
      </c>
      <c r="P23" s="130">
        <f t="shared" si="18"/>
        <v>0</v>
      </c>
      <c r="Q23" s="143">
        <f t="shared" si="18"/>
        <v>0</v>
      </c>
      <c r="R23" s="138">
        <f t="shared" si="18"/>
        <v>0</v>
      </c>
      <c r="S23" s="130">
        <f t="shared" si="18"/>
        <v>0</v>
      </c>
      <c r="T23" s="130">
        <f t="shared" si="18"/>
        <v>0</v>
      </c>
      <c r="U23" s="130">
        <f t="shared" si="18"/>
        <v>0</v>
      </c>
      <c r="V23" s="130">
        <f t="shared" si="18"/>
        <v>0</v>
      </c>
      <c r="W23" s="130">
        <f t="shared" si="18"/>
        <v>4</v>
      </c>
      <c r="X23" s="143">
        <f t="shared" si="18"/>
        <v>8</v>
      </c>
      <c r="Y23" s="165">
        <v>18</v>
      </c>
      <c r="Z23" s="329"/>
    </row>
    <row r="24" spans="2:26" ht="18.75" customHeight="1" x14ac:dyDescent="0.2">
      <c r="B24" s="329"/>
      <c r="C24" s="164">
        <v>19</v>
      </c>
      <c r="D24" s="142">
        <f>IF($C$24&gt;=D4,0,2*2^(D4-$C$24))</f>
        <v>0</v>
      </c>
      <c r="E24" s="130">
        <f t="shared" ref="E24:X24" si="19">IF($C$24&gt;=E4,0,2*2^(E4-$C$24))</f>
        <v>0</v>
      </c>
      <c r="F24" s="130">
        <f t="shared" si="19"/>
        <v>0</v>
      </c>
      <c r="G24" s="130">
        <f t="shared" si="19"/>
        <v>0</v>
      </c>
      <c r="H24" s="130">
        <f t="shared" si="19"/>
        <v>0</v>
      </c>
      <c r="I24" s="130">
        <f t="shared" si="19"/>
        <v>0</v>
      </c>
      <c r="J24" s="134">
        <f t="shared" si="19"/>
        <v>0</v>
      </c>
      <c r="K24" s="142">
        <f t="shared" si="19"/>
        <v>0</v>
      </c>
      <c r="L24" s="130">
        <f t="shared" si="19"/>
        <v>0</v>
      </c>
      <c r="M24" s="130">
        <f t="shared" si="19"/>
        <v>0</v>
      </c>
      <c r="N24" s="130">
        <f t="shared" si="19"/>
        <v>0</v>
      </c>
      <c r="O24" s="130">
        <f t="shared" si="19"/>
        <v>0</v>
      </c>
      <c r="P24" s="130">
        <f t="shared" si="19"/>
        <v>0</v>
      </c>
      <c r="Q24" s="143">
        <f t="shared" si="19"/>
        <v>0</v>
      </c>
      <c r="R24" s="138">
        <f t="shared" si="19"/>
        <v>0</v>
      </c>
      <c r="S24" s="130">
        <f t="shared" si="19"/>
        <v>0</v>
      </c>
      <c r="T24" s="130">
        <f t="shared" si="19"/>
        <v>0</v>
      </c>
      <c r="U24" s="130">
        <f t="shared" si="19"/>
        <v>0</v>
      </c>
      <c r="V24" s="130">
        <f t="shared" si="19"/>
        <v>0</v>
      </c>
      <c r="W24" s="130">
        <f t="shared" si="19"/>
        <v>0</v>
      </c>
      <c r="X24" s="143">
        <f t="shared" si="19"/>
        <v>4</v>
      </c>
      <c r="Y24" s="165">
        <v>19</v>
      </c>
      <c r="Z24" s="329"/>
    </row>
    <row r="25" spans="2:26" ht="18.75" customHeight="1" thickBot="1" x14ac:dyDescent="0.25">
      <c r="B25" s="330"/>
      <c r="C25" s="170">
        <v>20</v>
      </c>
      <c r="D25" s="148">
        <f>IF($C$25&gt;=D4,0,2*2^(D4-$C$25))</f>
        <v>0</v>
      </c>
      <c r="E25" s="133">
        <f t="shared" ref="E25:X25" si="20">IF($C$25&gt;=E4,0,2*2^(E4-$C$25))</f>
        <v>0</v>
      </c>
      <c r="F25" s="133">
        <f t="shared" si="20"/>
        <v>0</v>
      </c>
      <c r="G25" s="133">
        <f t="shared" si="20"/>
        <v>0</v>
      </c>
      <c r="H25" s="133">
        <f t="shared" si="20"/>
        <v>0</v>
      </c>
      <c r="I25" s="133">
        <f t="shared" si="20"/>
        <v>0</v>
      </c>
      <c r="J25" s="137">
        <f t="shared" si="20"/>
        <v>0</v>
      </c>
      <c r="K25" s="148">
        <f t="shared" si="20"/>
        <v>0</v>
      </c>
      <c r="L25" s="133">
        <f t="shared" si="20"/>
        <v>0</v>
      </c>
      <c r="M25" s="133">
        <f t="shared" si="20"/>
        <v>0</v>
      </c>
      <c r="N25" s="133">
        <f t="shared" si="20"/>
        <v>0</v>
      </c>
      <c r="O25" s="133">
        <f t="shared" si="20"/>
        <v>0</v>
      </c>
      <c r="P25" s="133">
        <f t="shared" si="20"/>
        <v>0</v>
      </c>
      <c r="Q25" s="149">
        <f t="shared" si="20"/>
        <v>0</v>
      </c>
      <c r="R25" s="141">
        <f t="shared" si="20"/>
        <v>0</v>
      </c>
      <c r="S25" s="133">
        <f t="shared" si="20"/>
        <v>0</v>
      </c>
      <c r="T25" s="133">
        <f t="shared" si="20"/>
        <v>0</v>
      </c>
      <c r="U25" s="133">
        <f t="shared" si="20"/>
        <v>0</v>
      </c>
      <c r="V25" s="133">
        <f t="shared" si="20"/>
        <v>0</v>
      </c>
      <c r="W25" s="133">
        <f t="shared" si="20"/>
        <v>0</v>
      </c>
      <c r="X25" s="149">
        <f t="shared" si="20"/>
        <v>0</v>
      </c>
      <c r="Y25" s="171">
        <v>20</v>
      </c>
      <c r="Z25" s="330"/>
    </row>
    <row r="26" spans="2:26" ht="18.75" customHeight="1" thickBot="1" x14ac:dyDescent="0.25">
      <c r="B26" s="322"/>
      <c r="C26" s="316"/>
      <c r="D26" s="156">
        <v>0</v>
      </c>
      <c r="E26" s="157">
        <v>1</v>
      </c>
      <c r="F26" s="157">
        <v>2</v>
      </c>
      <c r="G26" s="157">
        <v>3</v>
      </c>
      <c r="H26" s="157">
        <v>4</v>
      </c>
      <c r="I26" s="157">
        <v>5</v>
      </c>
      <c r="J26" s="158">
        <v>6</v>
      </c>
      <c r="K26" s="159">
        <v>7</v>
      </c>
      <c r="L26" s="157">
        <v>8</v>
      </c>
      <c r="M26" s="157">
        <v>9</v>
      </c>
      <c r="N26" s="157">
        <v>10</v>
      </c>
      <c r="O26" s="157">
        <v>11</v>
      </c>
      <c r="P26" s="157">
        <v>12</v>
      </c>
      <c r="Q26" s="160">
        <v>13</v>
      </c>
      <c r="R26" s="161">
        <v>14</v>
      </c>
      <c r="S26" s="157">
        <v>15</v>
      </c>
      <c r="T26" s="157">
        <v>16</v>
      </c>
      <c r="U26" s="157">
        <v>17</v>
      </c>
      <c r="V26" s="157">
        <v>18</v>
      </c>
      <c r="W26" s="157">
        <v>19</v>
      </c>
      <c r="X26" s="160">
        <v>20</v>
      </c>
      <c r="Y26" s="318"/>
      <c r="Z26" s="319"/>
    </row>
    <row r="27" spans="2:26" ht="24" customHeight="1" thickBot="1" x14ac:dyDescent="0.25">
      <c r="B27" s="323"/>
      <c r="C27" s="324"/>
      <c r="D27" s="325" t="s">
        <v>109</v>
      </c>
      <c r="E27" s="326"/>
      <c r="F27" s="326"/>
      <c r="G27" s="326"/>
      <c r="H27" s="326"/>
      <c r="I27" s="326"/>
      <c r="J27" s="326"/>
      <c r="K27" s="326"/>
      <c r="L27" s="326"/>
      <c r="M27" s="326"/>
      <c r="N27" s="326"/>
      <c r="O27" s="326"/>
      <c r="P27" s="326"/>
      <c r="Q27" s="326"/>
      <c r="R27" s="326"/>
      <c r="S27" s="326"/>
      <c r="T27" s="326"/>
      <c r="U27" s="326"/>
      <c r="V27" s="326"/>
      <c r="W27" s="326"/>
      <c r="X27" s="327"/>
      <c r="Y27" s="320"/>
      <c r="Z27" s="321"/>
    </row>
  </sheetData>
  <mergeCells count="8">
    <mergeCell ref="Y3:Z4"/>
    <mergeCell ref="Y26:Z27"/>
    <mergeCell ref="B26:C27"/>
    <mergeCell ref="D3:X3"/>
    <mergeCell ref="B5:B25"/>
    <mergeCell ref="Z5:Z25"/>
    <mergeCell ref="D27:X27"/>
    <mergeCell ref="B3:C4"/>
  </mergeCells>
  <conditionalFormatting sqref="D5:X25">
    <cfRule type="cellIs" dxfId="4" priority="1" operator="greaterThan">
      <formula>2100</formula>
    </cfRule>
  </conditionalFormatting>
  <pageMargins left="0.78749999999999998" right="0.78749999999999998" top="0.98402777777777783" bottom="0.98402777777777783" header="0.51180555555555562" footer="0.51180555555555562"/>
  <pageSetup paperSize="9" firstPageNumber="0" orientation="portrait" horizontalDpi="300" verticalDpi="300" r:id="rId1"/>
  <headerFooter alignWithMargins="0">
    <oddHeader>&amp;R&amp;"Arial"&amp;9&amp;K737373 Copyright Protection: Confidential - ISO 16016&amp;1#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7D4E5-5940-4365-A9C3-E08B80C35744}">
  <dimension ref="B2:M104"/>
  <sheetViews>
    <sheetView showGridLines="0" workbookViewId="0">
      <selection activeCell="M17" sqref="M17"/>
    </sheetView>
  </sheetViews>
  <sheetFormatPr baseColWidth="10" defaultRowHeight="15" x14ac:dyDescent="0.25"/>
  <cols>
    <col min="2" max="2" width="15.7109375" customWidth="1"/>
    <col min="3" max="5" width="10" customWidth="1"/>
    <col min="7" max="7" width="17.140625" customWidth="1"/>
    <col min="8" max="10" width="5" customWidth="1"/>
    <col min="12" max="12" width="12.140625" bestFit="1" customWidth="1"/>
    <col min="13" max="13" width="12" bestFit="1" customWidth="1"/>
  </cols>
  <sheetData>
    <row r="2" spans="2:12" ht="15.75" thickBot="1" x14ac:dyDescent="0.3"/>
    <row r="3" spans="2:12" ht="15.75" thickBot="1" x14ac:dyDescent="0.3">
      <c r="B3" s="204" t="s">
        <v>122</v>
      </c>
      <c r="C3" s="32" t="s">
        <v>121</v>
      </c>
      <c r="D3" s="32" t="s">
        <v>125</v>
      </c>
      <c r="E3" s="205" t="s">
        <v>124</v>
      </c>
      <c r="G3" s="219" t="s">
        <v>123</v>
      </c>
      <c r="H3" s="346">
        <v>1</v>
      </c>
      <c r="I3" s="346"/>
      <c r="J3" s="347"/>
      <c r="L3" s="2"/>
    </row>
    <row r="4" spans="2:12" ht="15.75" thickBot="1" x14ac:dyDescent="0.3">
      <c r="B4" s="34">
        <v>0</v>
      </c>
      <c r="C4" s="222">
        <f>((7200)*(2-$H$3/1))/86400</f>
        <v>8.3333333333333329E-2</v>
      </c>
      <c r="D4" s="222">
        <f>((10800 + 300 * (B5-1))*(2-$H$3/1))/86400</f>
        <v>0.125</v>
      </c>
      <c r="E4" s="223">
        <f>((10800)*(2-$H$3/1))/86400</f>
        <v>0.125</v>
      </c>
    </row>
    <row r="5" spans="2:12" ht="15.75" thickBot="1" x14ac:dyDescent="0.3">
      <c r="B5" s="34">
        <v>1</v>
      </c>
      <c r="C5" s="222">
        <f>((7200)*(2-$H$3/1))/86400</f>
        <v>8.3333333333333329E-2</v>
      </c>
      <c r="D5" s="222">
        <f t="shared" ref="D5:D10" si="0">((10800 + 300 * (B5-1))*(2-$H$3/1))/86400</f>
        <v>0.125</v>
      </c>
      <c r="E5" s="223">
        <f>((10800)*(2-$H$3/1))/86400</f>
        <v>0.125</v>
      </c>
      <c r="G5" s="220" t="s">
        <v>119</v>
      </c>
      <c r="H5" s="221">
        <v>4</v>
      </c>
      <c r="I5" s="221">
        <v>5</v>
      </c>
      <c r="J5" s="195">
        <v>7</v>
      </c>
    </row>
    <row r="6" spans="2:12" ht="15.75" thickBot="1" x14ac:dyDescent="0.3">
      <c r="B6" s="34">
        <v>2</v>
      </c>
      <c r="C6" s="222">
        <f>((9000)*(2-$H$3/1))/86400</f>
        <v>0.10416666666666667</v>
      </c>
      <c r="D6" s="222">
        <f t="shared" si="0"/>
        <v>0.12847222222222221</v>
      </c>
      <c r="E6" s="223">
        <f>((14400)*(2-$H$3/1))/86400</f>
        <v>0.16666666666666666</v>
      </c>
      <c r="L6" s="254"/>
    </row>
    <row r="7" spans="2:12" ht="15.75" thickBot="1" x14ac:dyDescent="0.3">
      <c r="B7" s="34">
        <v>3</v>
      </c>
      <c r="C7" s="222">
        <f>((9450 + 420 * (B7-3))*(2-$H$3/1))/86400</f>
        <v>0.109375</v>
      </c>
      <c r="D7" s="222">
        <f t="shared" si="0"/>
        <v>0.13194444444444445</v>
      </c>
      <c r="E7" s="223">
        <f>((14608 + 69.2 * (B7-3))*(2-$H$3/1))/86400</f>
        <v>0.16907407407407407</v>
      </c>
      <c r="G7" s="220" t="s">
        <v>120</v>
      </c>
      <c r="H7" s="221">
        <v>4</v>
      </c>
      <c r="I7" s="221">
        <v>36</v>
      </c>
      <c r="J7" s="195">
        <v>4</v>
      </c>
      <c r="L7" s="2"/>
    </row>
    <row r="8" spans="2:12" ht="15.75" thickBot="1" x14ac:dyDescent="0.3">
      <c r="B8" s="34">
        <v>4</v>
      </c>
      <c r="C8" s="222">
        <f>((9450 + 420 * (B8-3))*(2-$H$3/1))/86400</f>
        <v>0.11423611111111111</v>
      </c>
      <c r="D8" s="222">
        <f t="shared" si="0"/>
        <v>0.13541666666666666</v>
      </c>
      <c r="E8" s="223">
        <f t="shared" ref="E8:E30" si="1">((14608 + 69.2 * (B8-3))*(2-$H$3/1))/86400</f>
        <v>0.169875</v>
      </c>
    </row>
    <row r="9" spans="2:12" ht="15.75" thickBot="1" x14ac:dyDescent="0.3">
      <c r="B9" s="34">
        <v>5</v>
      </c>
      <c r="C9" s="222">
        <f>((9450 + 420 * (B9-3))*(2-$H$3/1))/86400</f>
        <v>0.11909722222222222</v>
      </c>
      <c r="D9" s="222">
        <f t="shared" si="0"/>
        <v>0.1388888888888889</v>
      </c>
      <c r="E9" s="223">
        <f t="shared" si="1"/>
        <v>0.17067592592592593</v>
      </c>
      <c r="G9" s="219" t="s">
        <v>122</v>
      </c>
      <c r="H9" s="343">
        <f>IF(H5=H7,ABS(I5-I7),IF(_xlfn.XOR(H5=1,H7=1,),1000+I7,IF(OR(ABS(H5-H7)=1,ABS(H5-H7)=5),1000+I7,IF(ABS(H5-H7)=3,2000+I7,1500+I7))))</f>
        <v>31</v>
      </c>
      <c r="I9" s="344"/>
      <c r="J9" s="345"/>
    </row>
    <row r="10" spans="2:12" ht="15.75" thickBot="1" x14ac:dyDescent="0.3">
      <c r="B10" s="34">
        <v>6</v>
      </c>
      <c r="C10" s="222">
        <f>((9450 + 420 * (B10-3))*(2-$H$3/1))/86400</f>
        <v>0.12395833333333334</v>
      </c>
      <c r="D10" s="222">
        <f t="shared" si="0"/>
        <v>0.1423611111111111</v>
      </c>
      <c r="E10" s="223">
        <f t="shared" si="1"/>
        <v>0.17147685185185185</v>
      </c>
    </row>
    <row r="11" spans="2:12" x14ac:dyDescent="0.25">
      <c r="B11" s="34">
        <v>7</v>
      </c>
      <c r="C11" s="222">
        <f t="shared" ref="C11:C22" si="2">((11100 + 300 * (B11-7))*(2-$H$3/1))/86400</f>
        <v>0.12847222222222221</v>
      </c>
      <c r="D11" s="222">
        <f>((12600 + 180 * (B11-7))*(2-$H$3/1))/86400</f>
        <v>0.14583333333333334</v>
      </c>
      <c r="E11" s="223">
        <f t="shared" si="1"/>
        <v>0.17227777777777778</v>
      </c>
      <c r="G11" s="188" t="s">
        <v>126</v>
      </c>
      <c r="H11" s="348">
        <f>IF(H9&gt;100,0,IF(H9&gt;=19,((20250+112.5*(H9-70))*(2-$H$3/1)),IF(H9&gt;=7,((11100+300*(H9-7))*(2-$H$3/1)),IF(H9&gt;=3,((9450+420*(H9-3))*(2-$H$3/1)),IF(H9=2,9000*(2-$H$3/1),7200*(2-$H$3/1))))))/86400</f>
        <v>0.18359375</v>
      </c>
      <c r="I11" s="348"/>
      <c r="J11" s="349"/>
      <c r="L11" s="27"/>
    </row>
    <row r="12" spans="2:12" x14ac:dyDescent="0.25">
      <c r="B12" s="34">
        <v>8</v>
      </c>
      <c r="C12" s="222">
        <f t="shared" si="2"/>
        <v>0.13194444444444445</v>
      </c>
      <c r="D12" s="222">
        <f t="shared" ref="D12:D21" si="3">((12600 + 180 * (B12-7))*(2-$H$3/1))/86400</f>
        <v>0.14791666666666667</v>
      </c>
      <c r="E12" s="223">
        <f t="shared" si="1"/>
        <v>0.17307870370370371</v>
      </c>
      <c r="G12" s="190" t="s">
        <v>127</v>
      </c>
      <c r="H12" s="350">
        <f>IF(H9&gt;100,0,IF(H9&gt;=18,((19800+105.86*(H9-68))*(2-$H$3/1)),IF(H9&gt;=7,((12600+180*(H9-7))*(2-$H$3/1)),IF(H9&gt;=1,(10800+300*(H9-1))*(2-$H$3/1),10800*(2-$H$3/1))))/86400)</f>
        <v>0.18383310185185187</v>
      </c>
      <c r="I12" s="350"/>
      <c r="J12" s="351"/>
    </row>
    <row r="13" spans="2:12" x14ac:dyDescent="0.25">
      <c r="B13" s="34">
        <v>9</v>
      </c>
      <c r="C13" s="222">
        <f t="shared" si="2"/>
        <v>0.13541666666666666</v>
      </c>
      <c r="D13" s="222">
        <f t="shared" si="3"/>
        <v>0.15</v>
      </c>
      <c r="E13" s="223">
        <f t="shared" si="1"/>
        <v>0.17387962962962963</v>
      </c>
      <c r="G13" s="190" t="s">
        <v>128</v>
      </c>
      <c r="H13" s="350">
        <f>IF(H9&gt;=27,((16686+18*(H9-27))*(2-$H$3/1)),IF(H9&gt;=3,((14628+69.2*(H9-3))*(2-$H$3/1)),IF(H9=2,14400*(2-$H$3/1),10800*(2-$H$3/1))))/86400</f>
        <v>0.19395833333333334</v>
      </c>
      <c r="I13" s="350"/>
      <c r="J13" s="351"/>
    </row>
    <row r="14" spans="2:12" ht="15.75" thickBot="1" x14ac:dyDescent="0.3">
      <c r="B14" s="34">
        <v>10</v>
      </c>
      <c r="C14" s="222">
        <f t="shared" si="2"/>
        <v>0.1388888888888889</v>
      </c>
      <c r="D14" s="222">
        <f t="shared" si="3"/>
        <v>0.15208333333333332</v>
      </c>
      <c r="E14" s="223">
        <f t="shared" si="1"/>
        <v>0.17468055555555556</v>
      </c>
      <c r="G14" s="192" t="s">
        <v>129</v>
      </c>
      <c r="H14" s="341">
        <f>16200*(2-$H$3/1)/86400</f>
        <v>0.1875</v>
      </c>
      <c r="I14" s="341"/>
      <c r="J14" s="342"/>
    </row>
    <row r="15" spans="2:12" x14ac:dyDescent="0.25">
      <c r="B15" s="34">
        <v>11</v>
      </c>
      <c r="C15" s="222">
        <f t="shared" si="2"/>
        <v>0.1423611111111111</v>
      </c>
      <c r="D15" s="222">
        <f t="shared" si="3"/>
        <v>0.15416666666666667</v>
      </c>
      <c r="E15" s="223">
        <f t="shared" si="1"/>
        <v>0.17548148148148149</v>
      </c>
    </row>
    <row r="16" spans="2:12" ht="15.75" thickBot="1" x14ac:dyDescent="0.3">
      <c r="B16" s="34">
        <v>12</v>
      </c>
      <c r="C16" s="222">
        <f t="shared" si="2"/>
        <v>0.14583333333333334</v>
      </c>
      <c r="D16" s="222">
        <f t="shared" si="3"/>
        <v>0.15625</v>
      </c>
      <c r="E16" s="223">
        <f t="shared" si="1"/>
        <v>0.17628240740740739</v>
      </c>
    </row>
    <row r="17" spans="2:13" ht="15.75" thickBot="1" x14ac:dyDescent="0.3">
      <c r="B17" s="34">
        <v>13</v>
      </c>
      <c r="C17" s="222">
        <f t="shared" si="2"/>
        <v>0.14930555555555555</v>
      </c>
      <c r="D17" s="222">
        <f t="shared" si="3"/>
        <v>0.15833333333333333</v>
      </c>
      <c r="E17" s="223">
        <f t="shared" si="1"/>
        <v>0.17708333333333334</v>
      </c>
      <c r="G17" s="219" t="s">
        <v>150</v>
      </c>
      <c r="H17" s="332">
        <v>0.16340277777777779</v>
      </c>
      <c r="I17" s="333"/>
      <c r="J17" s="334"/>
      <c r="M17" s="254"/>
    </row>
    <row r="18" spans="2:13" ht="15.75" thickBot="1" x14ac:dyDescent="0.3">
      <c r="B18" s="34">
        <v>14</v>
      </c>
      <c r="C18" s="222">
        <f t="shared" si="2"/>
        <v>0.15277777777777779</v>
      </c>
      <c r="D18" s="222">
        <f t="shared" si="3"/>
        <v>0.16041666666666668</v>
      </c>
      <c r="E18" s="223">
        <f t="shared" si="1"/>
        <v>0.17788425925925927</v>
      </c>
      <c r="M18" s="255"/>
    </row>
    <row r="19" spans="2:13" x14ac:dyDescent="0.25">
      <c r="B19" s="34">
        <v>15</v>
      </c>
      <c r="C19" s="222">
        <f t="shared" si="2"/>
        <v>0.15625</v>
      </c>
      <c r="D19" s="222">
        <f t="shared" si="3"/>
        <v>0.16250000000000001</v>
      </c>
      <c r="E19" s="223">
        <f t="shared" si="1"/>
        <v>0.17868518518518517</v>
      </c>
      <c r="G19" s="188" t="s">
        <v>151</v>
      </c>
      <c r="H19" s="335">
        <f>IF(H9&gt;100,0,IF(H9&gt;=19,2-((H17*86400)/(20250+112.5*(H9-70))),IF(H9&gt;=7,2-((H17*86400)/(11100+300*(H9-7))),IF(H9&gt;=3,2-((H17*86400)/(9450+420*(H9-3))),IF(H9=2,2-((H17*86400)/(9000)),2-((H17*86400)/(7200)))))))</f>
        <v>1.1099763593380616</v>
      </c>
      <c r="I19" s="335"/>
      <c r="J19" s="336"/>
      <c r="M19" s="255"/>
    </row>
    <row r="20" spans="2:13" x14ac:dyDescent="0.25">
      <c r="B20" s="34">
        <v>16</v>
      </c>
      <c r="C20" s="222">
        <f t="shared" si="2"/>
        <v>0.15972222222222221</v>
      </c>
      <c r="D20" s="222">
        <f t="shared" si="3"/>
        <v>0.16458333333333333</v>
      </c>
      <c r="E20" s="223">
        <f t="shared" si="1"/>
        <v>0.17948611111111112</v>
      </c>
      <c r="G20" s="190" t="s">
        <v>152</v>
      </c>
      <c r="H20" s="337">
        <f>IF(H9&gt;100,0,IF(H9&gt;=18,2-((H17*86400)/(19800+105.86*(H9-68))),IF(H9&gt;=7,2-((H17*86400)/(12600+180*(H9-7))),IF(H9&gt;=1,2-((H17*86400)/(10800+300*(H9-1))),2-((H17*86400)/(10800))))))</f>
        <v>1.1111351757015913</v>
      </c>
      <c r="I20" s="337"/>
      <c r="J20" s="338"/>
      <c r="M20" s="2"/>
    </row>
    <row r="21" spans="2:13" x14ac:dyDescent="0.25">
      <c r="B21" s="34">
        <v>17</v>
      </c>
      <c r="C21" s="222">
        <f t="shared" si="2"/>
        <v>0.16319444444444445</v>
      </c>
      <c r="D21" s="222">
        <f t="shared" si="3"/>
        <v>0.16666666666666666</v>
      </c>
      <c r="E21" s="223">
        <f t="shared" si="1"/>
        <v>0.18028703703703702</v>
      </c>
      <c r="G21" s="190" t="s">
        <v>153</v>
      </c>
      <c r="H21" s="337">
        <f>IF(H9&gt;=27,2-((H17*86400)/(16686+18*(H9-27))),IF(H9&gt;=3,2-((H17*86400)/(14628+69.2*(H9-3))),IF(H9=2,2-((H17*86400)/(14400)),2-((H17*86400)/(10800)))))</f>
        <v>1.1575366988900824</v>
      </c>
      <c r="I21" s="337"/>
      <c r="J21" s="338"/>
    </row>
    <row r="22" spans="2:13" ht="15.75" thickBot="1" x14ac:dyDescent="0.3">
      <c r="B22" s="34">
        <v>18</v>
      </c>
      <c r="C22" s="222">
        <f t="shared" si="2"/>
        <v>0.16666666666666666</v>
      </c>
      <c r="D22" s="222">
        <f>((19800 + 105.86 * (B22-68))*(2-$H$3/1))/86400</f>
        <v>0.16790509259259259</v>
      </c>
      <c r="E22" s="223">
        <f t="shared" si="1"/>
        <v>0.18108796296296295</v>
      </c>
      <c r="G22" s="192" t="s">
        <v>154</v>
      </c>
      <c r="H22" s="339">
        <f>2-((H17*86400)/(16200))</f>
        <v>1.1285185185185185</v>
      </c>
      <c r="I22" s="339"/>
      <c r="J22" s="340"/>
    </row>
    <row r="23" spans="2:13" x14ac:dyDescent="0.25">
      <c r="B23" s="34">
        <v>19</v>
      </c>
      <c r="C23" s="222">
        <f>((20250 + 112.5 * (B23-70))*(2-$H$3/1))/86400</f>
        <v>0.16796875</v>
      </c>
      <c r="D23" s="222">
        <f t="shared" ref="D23:D86" si="4">((19800 + 105.86 * (B23-68))*(2-$H$3/1))/86400</f>
        <v>0.16913032407407408</v>
      </c>
      <c r="E23" s="223">
        <f t="shared" si="1"/>
        <v>0.18188888888888891</v>
      </c>
    </row>
    <row r="24" spans="2:13" x14ac:dyDescent="0.25">
      <c r="B24" s="34">
        <v>20</v>
      </c>
      <c r="C24" s="222">
        <f t="shared" ref="C24:C87" si="5">((20250 + 112.5 * (B24-70))*(2-$H$3/1))/86400</f>
        <v>0.16927083333333334</v>
      </c>
      <c r="D24" s="222">
        <f t="shared" si="4"/>
        <v>0.17035555555555557</v>
      </c>
      <c r="E24" s="223">
        <f t="shared" si="1"/>
        <v>0.1826898148148148</v>
      </c>
    </row>
    <row r="25" spans="2:13" x14ac:dyDescent="0.25">
      <c r="B25" s="34">
        <v>21</v>
      </c>
      <c r="C25" s="222">
        <f t="shared" si="5"/>
        <v>0.17057291666666666</v>
      </c>
      <c r="D25" s="222">
        <f t="shared" si="4"/>
        <v>0.17158078703703702</v>
      </c>
      <c r="E25" s="223">
        <f t="shared" si="1"/>
        <v>0.18349074074074073</v>
      </c>
    </row>
    <row r="26" spans="2:13" x14ac:dyDescent="0.25">
      <c r="B26" s="34">
        <v>22</v>
      </c>
      <c r="C26" s="222">
        <f t="shared" si="5"/>
        <v>0.171875</v>
      </c>
      <c r="D26" s="222">
        <f t="shared" si="4"/>
        <v>0.17280601851851851</v>
      </c>
      <c r="E26" s="223">
        <f t="shared" si="1"/>
        <v>0.18429166666666666</v>
      </c>
    </row>
    <row r="27" spans="2:13" x14ac:dyDescent="0.25">
      <c r="B27" s="34">
        <v>23</v>
      </c>
      <c r="C27" s="222">
        <f t="shared" si="5"/>
        <v>0.17317708333333334</v>
      </c>
      <c r="D27" s="222">
        <f t="shared" si="4"/>
        <v>0.17403125</v>
      </c>
      <c r="E27" s="223">
        <f t="shared" si="1"/>
        <v>0.18509259259259259</v>
      </c>
    </row>
    <row r="28" spans="2:13" x14ac:dyDescent="0.25">
      <c r="B28" s="34">
        <v>24</v>
      </c>
      <c r="C28" s="222">
        <f t="shared" si="5"/>
        <v>0.17447916666666666</v>
      </c>
      <c r="D28" s="222">
        <f t="shared" si="4"/>
        <v>0.17525648148148149</v>
      </c>
      <c r="E28" s="223">
        <f t="shared" si="1"/>
        <v>0.18589351851851851</v>
      </c>
    </row>
    <row r="29" spans="2:13" x14ac:dyDescent="0.25">
      <c r="B29" s="34">
        <v>25</v>
      </c>
      <c r="C29" s="222">
        <f t="shared" si="5"/>
        <v>0.17578125</v>
      </c>
      <c r="D29" s="222">
        <f t="shared" si="4"/>
        <v>0.17648171296296297</v>
      </c>
      <c r="E29" s="223">
        <f t="shared" si="1"/>
        <v>0.18669444444444444</v>
      </c>
    </row>
    <row r="30" spans="2:13" x14ac:dyDescent="0.25">
      <c r="B30" s="34">
        <v>26</v>
      </c>
      <c r="C30" s="222">
        <f t="shared" si="5"/>
        <v>0.17708333333333334</v>
      </c>
      <c r="D30" s="222">
        <f t="shared" si="4"/>
        <v>0.17770694444444446</v>
      </c>
      <c r="E30" s="223">
        <f t="shared" si="1"/>
        <v>0.18749537037037037</v>
      </c>
    </row>
    <row r="31" spans="2:13" x14ac:dyDescent="0.25">
      <c r="B31" s="34">
        <v>27</v>
      </c>
      <c r="C31" s="222">
        <f t="shared" si="5"/>
        <v>0.17838541666666666</v>
      </c>
      <c r="D31" s="222">
        <f t="shared" si="4"/>
        <v>0.17893217592592592</v>
      </c>
      <c r="E31" s="223">
        <f>((16686 + 18 * (B31-27))*(2-$H$3/1))/86400</f>
        <v>0.19312499999999999</v>
      </c>
    </row>
    <row r="32" spans="2:13" x14ac:dyDescent="0.25">
      <c r="B32" s="34">
        <v>28</v>
      </c>
      <c r="C32" s="222">
        <f t="shared" si="5"/>
        <v>0.1796875</v>
      </c>
      <c r="D32" s="222">
        <f t="shared" si="4"/>
        <v>0.1801574074074074</v>
      </c>
      <c r="E32" s="223">
        <f t="shared" ref="E32:E95" si="6">((16686 + 18 * (B32-27))*(2-$H$3/1))/86400</f>
        <v>0.19333333333333333</v>
      </c>
    </row>
    <row r="33" spans="2:5" x14ac:dyDescent="0.25">
      <c r="B33" s="34">
        <v>29</v>
      </c>
      <c r="C33" s="222">
        <f t="shared" si="5"/>
        <v>0.18098958333333334</v>
      </c>
      <c r="D33" s="222">
        <f t="shared" si="4"/>
        <v>0.18138263888888889</v>
      </c>
      <c r="E33" s="223">
        <f t="shared" si="6"/>
        <v>0.19354166666666667</v>
      </c>
    </row>
    <row r="34" spans="2:5" x14ac:dyDescent="0.25">
      <c r="B34" s="34">
        <v>30</v>
      </c>
      <c r="C34" s="222">
        <f t="shared" si="5"/>
        <v>0.18229166666666666</v>
      </c>
      <c r="D34" s="222">
        <f t="shared" si="4"/>
        <v>0.18260787037037038</v>
      </c>
      <c r="E34" s="223">
        <f t="shared" si="6"/>
        <v>0.19375000000000001</v>
      </c>
    </row>
    <row r="35" spans="2:5" x14ac:dyDescent="0.25">
      <c r="B35" s="34">
        <v>31</v>
      </c>
      <c r="C35" s="222">
        <f t="shared" si="5"/>
        <v>0.18359375</v>
      </c>
      <c r="D35" s="222">
        <f t="shared" si="4"/>
        <v>0.18383310185185187</v>
      </c>
      <c r="E35" s="223">
        <f t="shared" si="6"/>
        <v>0.19395833333333334</v>
      </c>
    </row>
    <row r="36" spans="2:5" x14ac:dyDescent="0.25">
      <c r="B36" s="34">
        <v>32</v>
      </c>
      <c r="C36" s="222">
        <f t="shared" si="5"/>
        <v>0.18489583333333334</v>
      </c>
      <c r="D36" s="222">
        <f t="shared" si="4"/>
        <v>0.18505833333333335</v>
      </c>
      <c r="E36" s="223">
        <f t="shared" si="6"/>
        <v>0.19416666666666665</v>
      </c>
    </row>
    <row r="37" spans="2:5" x14ac:dyDescent="0.25">
      <c r="B37" s="34">
        <v>33</v>
      </c>
      <c r="C37" s="222">
        <f t="shared" si="5"/>
        <v>0.18619791666666666</v>
      </c>
      <c r="D37" s="222">
        <f t="shared" si="4"/>
        <v>0.18628356481481481</v>
      </c>
      <c r="E37" s="223">
        <f t="shared" si="6"/>
        <v>0.19437499999999999</v>
      </c>
    </row>
    <row r="38" spans="2:5" x14ac:dyDescent="0.25">
      <c r="B38" s="34">
        <v>34</v>
      </c>
      <c r="C38" s="222">
        <f t="shared" si="5"/>
        <v>0.1875</v>
      </c>
      <c r="D38" s="222">
        <f t="shared" si="4"/>
        <v>0.1875087962962963</v>
      </c>
      <c r="E38" s="223">
        <f t="shared" si="6"/>
        <v>0.19458333333333333</v>
      </c>
    </row>
    <row r="39" spans="2:5" x14ac:dyDescent="0.25">
      <c r="B39" s="34">
        <v>35</v>
      </c>
      <c r="C39" s="222">
        <f t="shared" si="5"/>
        <v>0.18880208333333334</v>
      </c>
      <c r="D39" s="222">
        <f t="shared" si="4"/>
        <v>0.18873402777777776</v>
      </c>
      <c r="E39" s="223">
        <f t="shared" si="6"/>
        <v>0.19479166666666667</v>
      </c>
    </row>
    <row r="40" spans="2:5" x14ac:dyDescent="0.25">
      <c r="B40" s="34">
        <v>36</v>
      </c>
      <c r="C40" s="222">
        <f t="shared" si="5"/>
        <v>0.19010416666666666</v>
      </c>
      <c r="D40" s="222">
        <f t="shared" si="4"/>
        <v>0.18995925925925924</v>
      </c>
      <c r="E40" s="223">
        <f t="shared" si="6"/>
        <v>0.19500000000000001</v>
      </c>
    </row>
    <row r="41" spans="2:5" x14ac:dyDescent="0.25">
      <c r="B41" s="34">
        <v>37</v>
      </c>
      <c r="C41" s="222">
        <f t="shared" si="5"/>
        <v>0.19140625</v>
      </c>
      <c r="D41" s="222">
        <f t="shared" si="4"/>
        <v>0.19118449074074073</v>
      </c>
      <c r="E41" s="223">
        <f t="shared" si="6"/>
        <v>0.19520833333333334</v>
      </c>
    </row>
    <row r="42" spans="2:5" x14ac:dyDescent="0.25">
      <c r="B42" s="34">
        <v>38</v>
      </c>
      <c r="C42" s="222">
        <f t="shared" si="5"/>
        <v>0.19270833333333334</v>
      </c>
      <c r="D42" s="222">
        <f t="shared" si="4"/>
        <v>0.19240972222222222</v>
      </c>
      <c r="E42" s="223">
        <f t="shared" si="6"/>
        <v>0.19541666666666666</v>
      </c>
    </row>
    <row r="43" spans="2:5" x14ac:dyDescent="0.25">
      <c r="B43" s="34">
        <v>39</v>
      </c>
      <c r="C43" s="222">
        <f t="shared" si="5"/>
        <v>0.19401041666666666</v>
      </c>
      <c r="D43" s="222">
        <f t="shared" si="4"/>
        <v>0.19363495370370373</v>
      </c>
      <c r="E43" s="223">
        <f t="shared" si="6"/>
        <v>0.19562499999999999</v>
      </c>
    </row>
    <row r="44" spans="2:5" x14ac:dyDescent="0.25">
      <c r="B44" s="34">
        <v>40</v>
      </c>
      <c r="C44" s="222">
        <f t="shared" si="5"/>
        <v>0.1953125</v>
      </c>
      <c r="D44" s="222">
        <f t="shared" si="4"/>
        <v>0.19486018518518516</v>
      </c>
      <c r="E44" s="223">
        <f t="shared" si="6"/>
        <v>0.19583333333333333</v>
      </c>
    </row>
    <row r="45" spans="2:5" x14ac:dyDescent="0.25">
      <c r="B45" s="34">
        <v>41</v>
      </c>
      <c r="C45" s="222">
        <f t="shared" si="5"/>
        <v>0.19661458333333334</v>
      </c>
      <c r="D45" s="222">
        <f t="shared" si="4"/>
        <v>0.19608541666666665</v>
      </c>
      <c r="E45" s="223">
        <f t="shared" si="6"/>
        <v>0.19604166666666667</v>
      </c>
    </row>
    <row r="46" spans="2:5" x14ac:dyDescent="0.25">
      <c r="B46" s="34">
        <v>42</v>
      </c>
      <c r="C46" s="222">
        <f t="shared" si="5"/>
        <v>0.19791666666666666</v>
      </c>
      <c r="D46" s="222">
        <f t="shared" si="4"/>
        <v>0.19731064814814814</v>
      </c>
      <c r="E46" s="223">
        <f t="shared" si="6"/>
        <v>0.19625000000000001</v>
      </c>
    </row>
    <row r="47" spans="2:5" x14ac:dyDescent="0.25">
      <c r="B47" s="34">
        <v>43</v>
      </c>
      <c r="C47" s="222">
        <f t="shared" si="5"/>
        <v>0.19921875</v>
      </c>
      <c r="D47" s="222">
        <f t="shared" si="4"/>
        <v>0.19853587962962962</v>
      </c>
      <c r="E47" s="223">
        <f t="shared" si="6"/>
        <v>0.19645833333333335</v>
      </c>
    </row>
    <row r="48" spans="2:5" x14ac:dyDescent="0.25">
      <c r="B48" s="34">
        <v>44</v>
      </c>
      <c r="C48" s="222">
        <f t="shared" si="5"/>
        <v>0.20052083333333334</v>
      </c>
      <c r="D48" s="222">
        <f t="shared" si="4"/>
        <v>0.19976111111111111</v>
      </c>
      <c r="E48" s="223">
        <f t="shared" si="6"/>
        <v>0.19666666666666666</v>
      </c>
    </row>
    <row r="49" spans="2:5" x14ac:dyDescent="0.25">
      <c r="B49" s="34">
        <v>45</v>
      </c>
      <c r="C49" s="222">
        <f t="shared" si="5"/>
        <v>0.20182291666666666</v>
      </c>
      <c r="D49" s="222">
        <f t="shared" si="4"/>
        <v>0.2009863425925926</v>
      </c>
      <c r="E49" s="223">
        <f t="shared" si="6"/>
        <v>0.19687499999999999</v>
      </c>
    </row>
    <row r="50" spans="2:5" x14ac:dyDescent="0.25">
      <c r="B50" s="34">
        <v>46</v>
      </c>
      <c r="C50" s="222">
        <f t="shared" si="5"/>
        <v>0.203125</v>
      </c>
      <c r="D50" s="222">
        <f t="shared" si="4"/>
        <v>0.20221157407407409</v>
      </c>
      <c r="E50" s="223">
        <f t="shared" si="6"/>
        <v>0.19708333333333333</v>
      </c>
    </row>
    <row r="51" spans="2:5" x14ac:dyDescent="0.25">
      <c r="B51" s="34">
        <v>47</v>
      </c>
      <c r="C51" s="222">
        <f t="shared" si="5"/>
        <v>0.20442708333333334</v>
      </c>
      <c r="D51" s="222">
        <f t="shared" si="4"/>
        <v>0.20343680555555554</v>
      </c>
      <c r="E51" s="223">
        <f t="shared" si="6"/>
        <v>0.19729166666666667</v>
      </c>
    </row>
    <row r="52" spans="2:5" x14ac:dyDescent="0.25">
      <c r="B52" s="34">
        <v>48</v>
      </c>
      <c r="C52" s="222">
        <f t="shared" si="5"/>
        <v>0.20572916666666666</v>
      </c>
      <c r="D52" s="222">
        <f t="shared" si="4"/>
        <v>0.20466203703703703</v>
      </c>
      <c r="E52" s="223">
        <f t="shared" si="6"/>
        <v>0.19750000000000001</v>
      </c>
    </row>
    <row r="53" spans="2:5" x14ac:dyDescent="0.25">
      <c r="B53" s="34">
        <v>49</v>
      </c>
      <c r="C53" s="222">
        <f t="shared" si="5"/>
        <v>0.20703125</v>
      </c>
      <c r="D53" s="222">
        <f t="shared" si="4"/>
        <v>0.20588726851851852</v>
      </c>
      <c r="E53" s="223">
        <f t="shared" si="6"/>
        <v>0.19770833333333335</v>
      </c>
    </row>
    <row r="54" spans="2:5" x14ac:dyDescent="0.25">
      <c r="B54" s="34">
        <v>50</v>
      </c>
      <c r="C54" s="222">
        <f t="shared" si="5"/>
        <v>0.20833333333333334</v>
      </c>
      <c r="D54" s="222">
        <f t="shared" si="4"/>
        <v>0.2071125</v>
      </c>
      <c r="E54" s="223">
        <f t="shared" si="6"/>
        <v>0.19791666666666666</v>
      </c>
    </row>
    <row r="55" spans="2:5" x14ac:dyDescent="0.25">
      <c r="B55" s="34">
        <v>51</v>
      </c>
      <c r="C55" s="222">
        <f t="shared" si="5"/>
        <v>0.20963541666666666</v>
      </c>
      <c r="D55" s="222">
        <f t="shared" si="4"/>
        <v>0.20833773148148149</v>
      </c>
      <c r="E55" s="223">
        <f t="shared" si="6"/>
        <v>0.198125</v>
      </c>
    </row>
    <row r="56" spans="2:5" x14ac:dyDescent="0.25">
      <c r="B56" s="34">
        <v>52</v>
      </c>
      <c r="C56" s="222">
        <f t="shared" si="5"/>
        <v>0.2109375</v>
      </c>
      <c r="D56" s="222">
        <f t="shared" si="4"/>
        <v>0.20956296296296298</v>
      </c>
      <c r="E56" s="223">
        <f t="shared" si="6"/>
        <v>0.19833333333333333</v>
      </c>
    </row>
    <row r="57" spans="2:5" x14ac:dyDescent="0.25">
      <c r="B57" s="34">
        <v>53</v>
      </c>
      <c r="C57" s="222">
        <f t="shared" si="5"/>
        <v>0.21223958333333334</v>
      </c>
      <c r="D57" s="222">
        <f t="shared" si="4"/>
        <v>0.21078819444444444</v>
      </c>
      <c r="E57" s="223">
        <f t="shared" si="6"/>
        <v>0.19854166666666667</v>
      </c>
    </row>
    <row r="58" spans="2:5" x14ac:dyDescent="0.25">
      <c r="B58" s="34">
        <v>54</v>
      </c>
      <c r="C58" s="222">
        <f t="shared" si="5"/>
        <v>0.21354166666666666</v>
      </c>
      <c r="D58" s="222">
        <f t="shared" si="4"/>
        <v>0.21201342592592592</v>
      </c>
      <c r="E58" s="223">
        <f t="shared" si="6"/>
        <v>0.19875000000000001</v>
      </c>
    </row>
    <row r="59" spans="2:5" x14ac:dyDescent="0.25">
      <c r="B59" s="34">
        <v>55</v>
      </c>
      <c r="C59" s="222">
        <f t="shared" si="5"/>
        <v>0.21484375</v>
      </c>
      <c r="D59" s="222">
        <f t="shared" si="4"/>
        <v>0.21323865740740741</v>
      </c>
      <c r="E59" s="223">
        <f t="shared" si="6"/>
        <v>0.19895833333333332</v>
      </c>
    </row>
    <row r="60" spans="2:5" x14ac:dyDescent="0.25">
      <c r="B60" s="34">
        <v>56</v>
      </c>
      <c r="C60" s="222">
        <f t="shared" si="5"/>
        <v>0.21614583333333334</v>
      </c>
      <c r="D60" s="222">
        <f t="shared" si="4"/>
        <v>0.2144638888888889</v>
      </c>
      <c r="E60" s="223">
        <f t="shared" si="6"/>
        <v>0.19916666666666666</v>
      </c>
    </row>
    <row r="61" spans="2:5" x14ac:dyDescent="0.25">
      <c r="B61" s="34">
        <v>57</v>
      </c>
      <c r="C61" s="222">
        <f t="shared" si="5"/>
        <v>0.21744791666666666</v>
      </c>
      <c r="D61" s="222">
        <f t="shared" si="4"/>
        <v>0.21568912037037039</v>
      </c>
      <c r="E61" s="223">
        <f t="shared" si="6"/>
        <v>0.199375</v>
      </c>
    </row>
    <row r="62" spans="2:5" x14ac:dyDescent="0.25">
      <c r="B62" s="34">
        <v>58</v>
      </c>
      <c r="C62" s="222">
        <f t="shared" si="5"/>
        <v>0.21875</v>
      </c>
      <c r="D62" s="222">
        <f t="shared" si="4"/>
        <v>0.21691435185185187</v>
      </c>
      <c r="E62" s="223">
        <f t="shared" si="6"/>
        <v>0.19958333333333333</v>
      </c>
    </row>
    <row r="63" spans="2:5" x14ac:dyDescent="0.25">
      <c r="B63" s="34">
        <v>59</v>
      </c>
      <c r="C63" s="222">
        <f t="shared" si="5"/>
        <v>0.22005208333333334</v>
      </c>
      <c r="D63" s="222">
        <f t="shared" si="4"/>
        <v>0.2181395833333333</v>
      </c>
      <c r="E63" s="223">
        <f t="shared" si="6"/>
        <v>0.19979166666666667</v>
      </c>
    </row>
    <row r="64" spans="2:5" x14ac:dyDescent="0.25">
      <c r="B64" s="34">
        <v>60</v>
      </c>
      <c r="C64" s="222">
        <f t="shared" si="5"/>
        <v>0.22135416666666666</v>
      </c>
      <c r="D64" s="222">
        <f t="shared" si="4"/>
        <v>0.21936481481481479</v>
      </c>
      <c r="E64" s="223">
        <f t="shared" si="6"/>
        <v>0.2</v>
      </c>
    </row>
    <row r="65" spans="2:5" x14ac:dyDescent="0.25">
      <c r="B65" s="34">
        <v>61</v>
      </c>
      <c r="C65" s="222">
        <f t="shared" si="5"/>
        <v>0.22265625</v>
      </c>
      <c r="D65" s="222">
        <f t="shared" si="4"/>
        <v>0.2205900462962963</v>
      </c>
      <c r="E65" s="223">
        <f t="shared" si="6"/>
        <v>0.20020833333333332</v>
      </c>
    </row>
    <row r="66" spans="2:5" x14ac:dyDescent="0.25">
      <c r="B66" s="34">
        <v>62</v>
      </c>
      <c r="C66" s="222">
        <f t="shared" si="5"/>
        <v>0.22395833333333334</v>
      </c>
      <c r="D66" s="222">
        <f t="shared" si="4"/>
        <v>0.22181527777777779</v>
      </c>
      <c r="E66" s="223">
        <f t="shared" si="6"/>
        <v>0.20041666666666666</v>
      </c>
    </row>
    <row r="67" spans="2:5" x14ac:dyDescent="0.25">
      <c r="B67" s="34">
        <v>63</v>
      </c>
      <c r="C67" s="222">
        <f t="shared" si="5"/>
        <v>0.22526041666666666</v>
      </c>
      <c r="D67" s="222">
        <f t="shared" si="4"/>
        <v>0.22304050925925928</v>
      </c>
      <c r="E67" s="223">
        <f t="shared" si="6"/>
        <v>0.200625</v>
      </c>
    </row>
    <row r="68" spans="2:5" x14ac:dyDescent="0.25">
      <c r="B68" s="34">
        <v>64</v>
      </c>
      <c r="C68" s="222">
        <f t="shared" si="5"/>
        <v>0.2265625</v>
      </c>
      <c r="D68" s="222">
        <f t="shared" si="4"/>
        <v>0.22426574074074077</v>
      </c>
      <c r="E68" s="223">
        <f t="shared" si="6"/>
        <v>0.20083333333333334</v>
      </c>
    </row>
    <row r="69" spans="2:5" x14ac:dyDescent="0.25">
      <c r="B69" s="34">
        <v>65</v>
      </c>
      <c r="C69" s="222">
        <f t="shared" si="5"/>
        <v>0.22786458333333334</v>
      </c>
      <c r="D69" s="222">
        <f t="shared" si="4"/>
        <v>0.2254909722222222</v>
      </c>
      <c r="E69" s="223">
        <f t="shared" si="6"/>
        <v>0.20104166666666667</v>
      </c>
    </row>
    <row r="70" spans="2:5" x14ac:dyDescent="0.25">
      <c r="B70" s="34">
        <v>66</v>
      </c>
      <c r="C70" s="222">
        <f t="shared" si="5"/>
        <v>0.22916666666666666</v>
      </c>
      <c r="D70" s="222">
        <f t="shared" si="4"/>
        <v>0.22671620370370368</v>
      </c>
      <c r="E70" s="223">
        <f t="shared" si="6"/>
        <v>0.20125000000000001</v>
      </c>
    </row>
    <row r="71" spans="2:5" x14ac:dyDescent="0.25">
      <c r="B71" s="34">
        <v>67</v>
      </c>
      <c r="C71" s="222">
        <f t="shared" si="5"/>
        <v>0.23046875</v>
      </c>
      <c r="D71" s="222">
        <f t="shared" si="4"/>
        <v>0.22794143518518517</v>
      </c>
      <c r="E71" s="223">
        <f t="shared" si="6"/>
        <v>0.20145833333333332</v>
      </c>
    </row>
    <row r="72" spans="2:5" x14ac:dyDescent="0.25">
      <c r="B72" s="34">
        <v>68</v>
      </c>
      <c r="C72" s="222">
        <f t="shared" si="5"/>
        <v>0.23177083333333334</v>
      </c>
      <c r="D72" s="222">
        <f t="shared" si="4"/>
        <v>0.22916666666666666</v>
      </c>
      <c r="E72" s="223">
        <f t="shared" si="6"/>
        <v>0.20166666666666666</v>
      </c>
    </row>
    <row r="73" spans="2:5" x14ac:dyDescent="0.25">
      <c r="B73" s="34">
        <v>69</v>
      </c>
      <c r="C73" s="222">
        <f t="shared" si="5"/>
        <v>0.23307291666666666</v>
      </c>
      <c r="D73" s="222">
        <f t="shared" si="4"/>
        <v>0.23039189814814814</v>
      </c>
      <c r="E73" s="223">
        <f t="shared" si="6"/>
        <v>0.201875</v>
      </c>
    </row>
    <row r="74" spans="2:5" x14ac:dyDescent="0.25">
      <c r="B74" s="34">
        <v>70</v>
      </c>
      <c r="C74" s="222">
        <f t="shared" si="5"/>
        <v>0.234375</v>
      </c>
      <c r="D74" s="222">
        <f t="shared" si="4"/>
        <v>0.23161712962962963</v>
      </c>
      <c r="E74" s="223">
        <f t="shared" si="6"/>
        <v>0.20208333333333334</v>
      </c>
    </row>
    <row r="75" spans="2:5" x14ac:dyDescent="0.25">
      <c r="B75" s="34">
        <v>71</v>
      </c>
      <c r="C75" s="222">
        <f t="shared" si="5"/>
        <v>0.23567708333333334</v>
      </c>
      <c r="D75" s="222">
        <f t="shared" si="4"/>
        <v>0.23284236111111112</v>
      </c>
      <c r="E75" s="223">
        <f t="shared" si="6"/>
        <v>0.20229166666666668</v>
      </c>
    </row>
    <row r="76" spans="2:5" x14ac:dyDescent="0.25">
      <c r="B76" s="34">
        <v>72</v>
      </c>
      <c r="C76" s="222">
        <f t="shared" si="5"/>
        <v>0.23697916666666666</v>
      </c>
      <c r="D76" s="222">
        <f t="shared" si="4"/>
        <v>0.23406759259259258</v>
      </c>
      <c r="E76" s="223">
        <f t="shared" si="6"/>
        <v>0.20250000000000001</v>
      </c>
    </row>
    <row r="77" spans="2:5" x14ac:dyDescent="0.25">
      <c r="B77" s="34">
        <v>73</v>
      </c>
      <c r="C77" s="222">
        <f t="shared" si="5"/>
        <v>0.23828125</v>
      </c>
      <c r="D77" s="222">
        <f t="shared" si="4"/>
        <v>0.23529282407407406</v>
      </c>
      <c r="E77" s="223">
        <f t="shared" si="6"/>
        <v>0.20270833333333332</v>
      </c>
    </row>
    <row r="78" spans="2:5" x14ac:dyDescent="0.25">
      <c r="B78" s="34">
        <v>74</v>
      </c>
      <c r="C78" s="222">
        <f t="shared" si="5"/>
        <v>0.23958333333333334</v>
      </c>
      <c r="D78" s="222">
        <f t="shared" si="4"/>
        <v>0.23651805555555555</v>
      </c>
      <c r="E78" s="223">
        <f t="shared" si="6"/>
        <v>0.20291666666666666</v>
      </c>
    </row>
    <row r="79" spans="2:5" x14ac:dyDescent="0.25">
      <c r="B79" s="34">
        <v>75</v>
      </c>
      <c r="C79" s="222">
        <f t="shared" si="5"/>
        <v>0.24088541666666666</v>
      </c>
      <c r="D79" s="222">
        <f t="shared" si="4"/>
        <v>0.23774328703703704</v>
      </c>
      <c r="E79" s="223">
        <f t="shared" si="6"/>
        <v>0.203125</v>
      </c>
    </row>
    <row r="80" spans="2:5" x14ac:dyDescent="0.25">
      <c r="B80" s="34">
        <v>76</v>
      </c>
      <c r="C80" s="222">
        <f t="shared" si="5"/>
        <v>0.2421875</v>
      </c>
      <c r="D80" s="222">
        <f t="shared" si="4"/>
        <v>0.23896851851851852</v>
      </c>
      <c r="E80" s="223">
        <f t="shared" si="6"/>
        <v>0.20333333333333334</v>
      </c>
    </row>
    <row r="81" spans="2:5" x14ac:dyDescent="0.25">
      <c r="B81" s="34">
        <v>77</v>
      </c>
      <c r="C81" s="222">
        <f t="shared" si="5"/>
        <v>0.24348958333333334</v>
      </c>
      <c r="D81" s="222">
        <f t="shared" si="4"/>
        <v>0.24019375000000001</v>
      </c>
      <c r="E81" s="223">
        <f t="shared" si="6"/>
        <v>0.20354166666666668</v>
      </c>
    </row>
    <row r="82" spans="2:5" x14ac:dyDescent="0.25">
      <c r="B82" s="34">
        <v>78</v>
      </c>
      <c r="C82" s="222">
        <f t="shared" si="5"/>
        <v>0.24479166666666666</v>
      </c>
      <c r="D82" s="222">
        <f t="shared" si="4"/>
        <v>0.24141898148148147</v>
      </c>
      <c r="E82" s="223">
        <f t="shared" si="6"/>
        <v>0.20374999999999999</v>
      </c>
    </row>
    <row r="83" spans="2:5" x14ac:dyDescent="0.25">
      <c r="B83" s="34">
        <v>79</v>
      </c>
      <c r="C83" s="222">
        <f t="shared" si="5"/>
        <v>0.24609375</v>
      </c>
      <c r="D83" s="222">
        <f t="shared" si="4"/>
        <v>0.24264421296296296</v>
      </c>
      <c r="E83" s="223">
        <f t="shared" si="6"/>
        <v>0.20395833333333332</v>
      </c>
    </row>
    <row r="84" spans="2:5" x14ac:dyDescent="0.25">
      <c r="B84" s="34">
        <v>80</v>
      </c>
      <c r="C84" s="222">
        <f t="shared" si="5"/>
        <v>0.24739583333333334</v>
      </c>
      <c r="D84" s="222">
        <f t="shared" si="4"/>
        <v>0.24386944444444444</v>
      </c>
      <c r="E84" s="223">
        <f t="shared" si="6"/>
        <v>0.20416666666666666</v>
      </c>
    </row>
    <row r="85" spans="2:5" x14ac:dyDescent="0.25">
      <c r="B85" s="34">
        <v>81</v>
      </c>
      <c r="C85" s="222">
        <f t="shared" si="5"/>
        <v>0.24869791666666666</v>
      </c>
      <c r="D85" s="222">
        <f t="shared" si="4"/>
        <v>0.24509467592592593</v>
      </c>
      <c r="E85" s="223">
        <f t="shared" si="6"/>
        <v>0.204375</v>
      </c>
    </row>
    <row r="86" spans="2:5" x14ac:dyDescent="0.25">
      <c r="B86" s="34">
        <v>82</v>
      </c>
      <c r="C86" s="222">
        <f t="shared" si="5"/>
        <v>0.25</v>
      </c>
      <c r="D86" s="222">
        <f t="shared" si="4"/>
        <v>0.24631990740740742</v>
      </c>
      <c r="E86" s="223">
        <f t="shared" si="6"/>
        <v>0.20458333333333334</v>
      </c>
    </row>
    <row r="87" spans="2:5" x14ac:dyDescent="0.25">
      <c r="B87" s="34">
        <v>83</v>
      </c>
      <c r="C87" s="222">
        <f t="shared" si="5"/>
        <v>0.25130208333333331</v>
      </c>
      <c r="D87" s="222">
        <f t="shared" ref="D87:D104" si="7">((19800 + 105.86 * (B87-68))*(2-$H$3/1))/86400</f>
        <v>0.2475451388888889</v>
      </c>
      <c r="E87" s="223">
        <f t="shared" si="6"/>
        <v>0.20479166666666668</v>
      </c>
    </row>
    <row r="88" spans="2:5" x14ac:dyDescent="0.25">
      <c r="B88" s="34">
        <v>84</v>
      </c>
      <c r="C88" s="222">
        <f t="shared" ref="C88:C104" si="8">((20250 + 112.5 * (B88-70))*(2-$H$3/1))/86400</f>
        <v>0.25260416666666669</v>
      </c>
      <c r="D88" s="222">
        <f t="shared" si="7"/>
        <v>0.24877037037037036</v>
      </c>
      <c r="E88" s="223">
        <f t="shared" si="6"/>
        <v>0.20499999999999999</v>
      </c>
    </row>
    <row r="89" spans="2:5" x14ac:dyDescent="0.25">
      <c r="B89" s="34">
        <v>85</v>
      </c>
      <c r="C89" s="222">
        <f t="shared" si="8"/>
        <v>0.25390625</v>
      </c>
      <c r="D89" s="222">
        <f t="shared" si="7"/>
        <v>0.24999560185185185</v>
      </c>
      <c r="E89" s="223">
        <f t="shared" si="6"/>
        <v>0.20520833333333333</v>
      </c>
    </row>
    <row r="90" spans="2:5" x14ac:dyDescent="0.25">
      <c r="B90" s="34">
        <v>86</v>
      </c>
      <c r="C90" s="222">
        <f t="shared" si="8"/>
        <v>0.25520833333333331</v>
      </c>
      <c r="D90" s="222">
        <f t="shared" si="7"/>
        <v>0.25122083333333334</v>
      </c>
      <c r="E90" s="223">
        <f t="shared" si="6"/>
        <v>0.20541666666666666</v>
      </c>
    </row>
    <row r="91" spans="2:5" x14ac:dyDescent="0.25">
      <c r="B91" s="34">
        <v>87</v>
      </c>
      <c r="C91" s="222">
        <f t="shared" si="8"/>
        <v>0.25651041666666669</v>
      </c>
      <c r="D91" s="222">
        <f t="shared" si="7"/>
        <v>0.2524460648148148</v>
      </c>
      <c r="E91" s="223">
        <f t="shared" si="6"/>
        <v>0.205625</v>
      </c>
    </row>
    <row r="92" spans="2:5" x14ac:dyDescent="0.25">
      <c r="B92" s="34">
        <v>88</v>
      </c>
      <c r="C92" s="222">
        <f t="shared" si="8"/>
        <v>0.2578125</v>
      </c>
      <c r="D92" s="222">
        <f t="shared" si="7"/>
        <v>0.25367129629629631</v>
      </c>
      <c r="E92" s="223">
        <f t="shared" si="6"/>
        <v>0.20583333333333334</v>
      </c>
    </row>
    <row r="93" spans="2:5" x14ac:dyDescent="0.25">
      <c r="B93" s="34">
        <v>89</v>
      </c>
      <c r="C93" s="222">
        <f t="shared" si="8"/>
        <v>0.25911458333333331</v>
      </c>
      <c r="D93" s="222">
        <f t="shared" si="7"/>
        <v>0.25489652777777777</v>
      </c>
      <c r="E93" s="223">
        <f t="shared" si="6"/>
        <v>0.20604166666666668</v>
      </c>
    </row>
    <row r="94" spans="2:5" x14ac:dyDescent="0.25">
      <c r="B94" s="34">
        <v>90</v>
      </c>
      <c r="C94" s="222">
        <f t="shared" si="8"/>
        <v>0.26041666666666669</v>
      </c>
      <c r="D94" s="222">
        <f t="shared" si="7"/>
        <v>0.25612175925925923</v>
      </c>
      <c r="E94" s="223">
        <f t="shared" si="6"/>
        <v>0.20624999999999999</v>
      </c>
    </row>
    <row r="95" spans="2:5" x14ac:dyDescent="0.25">
      <c r="B95" s="34">
        <v>91</v>
      </c>
      <c r="C95" s="222">
        <f t="shared" si="8"/>
        <v>0.26171875</v>
      </c>
      <c r="D95" s="222">
        <f t="shared" si="7"/>
        <v>0.25734699074074074</v>
      </c>
      <c r="E95" s="223">
        <f t="shared" si="6"/>
        <v>0.20645833333333333</v>
      </c>
    </row>
    <row r="96" spans="2:5" x14ac:dyDescent="0.25">
      <c r="B96" s="34">
        <v>92</v>
      </c>
      <c r="C96" s="222">
        <f t="shared" si="8"/>
        <v>0.26302083333333331</v>
      </c>
      <c r="D96" s="222">
        <f t="shared" si="7"/>
        <v>0.2585722222222222</v>
      </c>
      <c r="E96" s="223">
        <f t="shared" ref="E96:E104" si="9">((16686 + 18 * (B96-27))*(2-$H$3/1))/86400</f>
        <v>0.20666666666666667</v>
      </c>
    </row>
    <row r="97" spans="2:5" x14ac:dyDescent="0.25">
      <c r="B97" s="34">
        <v>93</v>
      </c>
      <c r="C97" s="222">
        <f t="shared" si="8"/>
        <v>0.26432291666666669</v>
      </c>
      <c r="D97" s="222">
        <f t="shared" si="7"/>
        <v>0.25979745370370372</v>
      </c>
      <c r="E97" s="223">
        <f t="shared" si="9"/>
        <v>0.206875</v>
      </c>
    </row>
    <row r="98" spans="2:5" x14ac:dyDescent="0.25">
      <c r="B98" s="34">
        <v>94</v>
      </c>
      <c r="C98" s="222">
        <f t="shared" si="8"/>
        <v>0.265625</v>
      </c>
      <c r="D98" s="222">
        <f t="shared" si="7"/>
        <v>0.26102268518518518</v>
      </c>
      <c r="E98" s="223">
        <f t="shared" si="9"/>
        <v>0.20708333333333334</v>
      </c>
    </row>
    <row r="99" spans="2:5" x14ac:dyDescent="0.25">
      <c r="B99" s="34">
        <v>95</v>
      </c>
      <c r="C99" s="222">
        <f t="shared" si="8"/>
        <v>0.26692708333333331</v>
      </c>
      <c r="D99" s="222">
        <f t="shared" si="7"/>
        <v>0.26224791666666669</v>
      </c>
      <c r="E99" s="223">
        <f t="shared" si="9"/>
        <v>0.20729166666666668</v>
      </c>
    </row>
    <row r="100" spans="2:5" x14ac:dyDescent="0.25">
      <c r="B100" s="34">
        <v>96</v>
      </c>
      <c r="C100" s="222">
        <f t="shared" si="8"/>
        <v>0.26822916666666669</v>
      </c>
      <c r="D100" s="222">
        <f t="shared" si="7"/>
        <v>0.26347314814814815</v>
      </c>
      <c r="E100" s="223">
        <f t="shared" si="9"/>
        <v>0.20749999999999999</v>
      </c>
    </row>
    <row r="101" spans="2:5" x14ac:dyDescent="0.25">
      <c r="B101" s="34">
        <v>97</v>
      </c>
      <c r="C101" s="222">
        <f t="shared" si="8"/>
        <v>0.26953125</v>
      </c>
      <c r="D101" s="222">
        <f t="shared" si="7"/>
        <v>0.26469837962962961</v>
      </c>
      <c r="E101" s="223">
        <f t="shared" si="9"/>
        <v>0.20770833333333333</v>
      </c>
    </row>
    <row r="102" spans="2:5" x14ac:dyDescent="0.25">
      <c r="B102" s="34">
        <v>98</v>
      </c>
      <c r="C102" s="222">
        <f t="shared" si="8"/>
        <v>0.27083333333333331</v>
      </c>
      <c r="D102" s="222">
        <f t="shared" si="7"/>
        <v>0.26592361111111112</v>
      </c>
      <c r="E102" s="223">
        <f t="shared" si="9"/>
        <v>0.20791666666666667</v>
      </c>
    </row>
    <row r="103" spans="2:5" x14ac:dyDescent="0.25">
      <c r="B103" s="34">
        <v>99</v>
      </c>
      <c r="C103" s="222">
        <f t="shared" si="8"/>
        <v>0.27213541666666669</v>
      </c>
      <c r="D103" s="222">
        <f t="shared" si="7"/>
        <v>0.26714884259259258</v>
      </c>
      <c r="E103" s="223">
        <f t="shared" si="9"/>
        <v>0.208125</v>
      </c>
    </row>
    <row r="104" spans="2:5" ht="15.75" thickBot="1" x14ac:dyDescent="0.3">
      <c r="B104" s="38">
        <v>100</v>
      </c>
      <c r="C104" s="224">
        <f t="shared" si="8"/>
        <v>0.2734375</v>
      </c>
      <c r="D104" s="224">
        <f t="shared" si="7"/>
        <v>0.2683740740740741</v>
      </c>
      <c r="E104" s="225">
        <f t="shared" si="9"/>
        <v>0.20833333333333334</v>
      </c>
    </row>
  </sheetData>
  <mergeCells count="11">
    <mergeCell ref="H14:J14"/>
    <mergeCell ref="H9:J9"/>
    <mergeCell ref="H3:J3"/>
    <mergeCell ref="H11:J11"/>
    <mergeCell ref="H12:J12"/>
    <mergeCell ref="H13:J13"/>
    <mergeCell ref="H17:J17"/>
    <mergeCell ref="H19:J19"/>
    <mergeCell ref="H20:J20"/>
    <mergeCell ref="H21:J21"/>
    <mergeCell ref="H22:J22"/>
  </mergeCells>
  <conditionalFormatting sqref="H19:J21">
    <cfRule type="cellIs" dxfId="3" priority="2" operator="notBetween">
      <formula>0.2</formula>
      <formula>1.6</formula>
    </cfRule>
  </conditionalFormatting>
  <conditionalFormatting sqref="H22:J22">
    <cfRule type="cellIs" dxfId="2" priority="1" operator="notBetween">
      <formula>0.2</formula>
      <formula>1</formula>
    </cfRule>
  </conditionalFormatting>
  <dataValidations count="3">
    <dataValidation type="whole" allowBlank="1" showInputMessage="1" showErrorMessage="1" sqref="H5 H7" xr:uid="{9772C5CD-5BAB-4121-82EC-9A44FAE3C83B}">
      <formula1>1</formula1>
      <formula2>7</formula2>
    </dataValidation>
    <dataValidation type="whole" allowBlank="1" showInputMessage="1" showErrorMessage="1" sqref="J5 J7" xr:uid="{C4A0D7D1-8E5A-4D73-8545-9018EE456DB3}">
      <formula1>1</formula1>
      <formula2>12</formula2>
    </dataValidation>
    <dataValidation type="whole" allowBlank="1" showInputMessage="1" showErrorMessage="1" sqref="I5 I7" xr:uid="{52B7DC5F-0143-4161-8AFA-938ABECE4E42}">
      <formula1>1</formula1>
      <formula2>100</formula2>
    </dataValidation>
  </dataValidations>
  <pageMargins left="0.7" right="0.7" top="0.78740157499999996" bottom="0.78740157499999996" header="0.3" footer="0.3"/>
  <pageSetup paperSize="9" orientation="portrait" r:id="rId1"/>
  <headerFooter>
    <oddHeader>&amp;R&amp;"Arial"&amp;9&amp;K737373 Copyright Protection: Confidential - ISO 16016&amp;1#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Konstruktion</vt:lpstr>
      <vt:lpstr>Forschung</vt:lpstr>
      <vt:lpstr>Rohstoffe</vt:lpstr>
      <vt:lpstr>Lagerkapazität</vt:lpstr>
      <vt:lpstr>Bankkapazität</vt:lpstr>
      <vt:lpstr>Tagesproduktion</vt:lpstr>
      <vt:lpstr>Frühwarnradius</vt:lpstr>
      <vt:lpstr>Tarnreichweite</vt:lpstr>
      <vt:lpstr>Flugzeitrechner</vt:lpstr>
      <vt:lpstr>Geheimdienstzentrum</vt:lpstr>
      <vt:lpstr>KS-Simulator</vt:lpstr>
      <vt:lpstr>Releasenotes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Vanitas</dc:creator>
  <cp:lastModifiedBy>Vanitas</cp:lastModifiedBy>
  <dcterms:created xsi:type="dcterms:W3CDTF">2019-11-24T13:00:41Z</dcterms:created>
  <dcterms:modified xsi:type="dcterms:W3CDTF">2019-12-15T20:57:19Z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a4f3930-35a4-43d2-be4a-3a5160255453_Enabled">
    <vt:lpwstr>True</vt:lpwstr>
  </property>
  <property fmtid="{D5CDD505-2E9C-101B-9397-08002B2CF9AE}" pid="3" name="MSIP_Label_5a4f3930-35a4-43d2-be4a-3a5160255453_SiteId">
    <vt:lpwstr>2d5eb7e2-d3ee-4bf5-bc62-79d5ae9cd9e1</vt:lpwstr>
  </property>
  <property fmtid="{D5CDD505-2E9C-101B-9397-08002B2CF9AE}" pid="4" name="MSIP_Label_5a4f3930-35a4-43d2-be4a-3a5160255453_Owner">
    <vt:lpwstr>Bjoern.Aring@hella.com</vt:lpwstr>
  </property>
  <property fmtid="{D5CDD505-2E9C-101B-9397-08002B2CF9AE}" pid="5" name="MSIP_Label_5a4f3930-35a4-43d2-be4a-3a5160255453_SetDate">
    <vt:lpwstr>2019-11-25T12:19:16.5037290Z</vt:lpwstr>
  </property>
  <property fmtid="{D5CDD505-2E9C-101B-9397-08002B2CF9AE}" pid="6" name="MSIP_Label_5a4f3930-35a4-43d2-be4a-3a5160255453_Name">
    <vt:lpwstr>Internal</vt:lpwstr>
  </property>
  <property fmtid="{D5CDD505-2E9C-101B-9397-08002B2CF9AE}" pid="7" name="MSIP_Label_5a4f3930-35a4-43d2-be4a-3a5160255453_Application">
    <vt:lpwstr>Microsoft Azure Information Protection</vt:lpwstr>
  </property>
  <property fmtid="{D5CDD505-2E9C-101B-9397-08002B2CF9AE}" pid="8" name="MSIP_Label_5a4f3930-35a4-43d2-be4a-3a5160255453_ActionId">
    <vt:lpwstr>4d82305a-147d-4e41-8396-202932b5bae4</vt:lpwstr>
  </property>
  <property fmtid="{D5CDD505-2E9C-101B-9397-08002B2CF9AE}" pid="9" name="MSIP_Label_5a4f3930-35a4-43d2-be4a-3a5160255453_Extended_MSFT_Method">
    <vt:lpwstr>Manual</vt:lpwstr>
  </property>
  <property fmtid="{D5CDD505-2E9C-101B-9397-08002B2CF9AE}" pid="10" name="MSIP_Label_4698f2b1-fe06-4489-9b90-7e2c0fb6f14e_Enabled">
    <vt:lpwstr>True</vt:lpwstr>
  </property>
  <property fmtid="{D5CDD505-2E9C-101B-9397-08002B2CF9AE}" pid="11" name="MSIP_Label_4698f2b1-fe06-4489-9b90-7e2c0fb6f14e_SiteId">
    <vt:lpwstr>2d5eb7e2-d3ee-4bf5-bc62-79d5ae9cd9e1</vt:lpwstr>
  </property>
  <property fmtid="{D5CDD505-2E9C-101B-9397-08002B2CF9AE}" pid="12" name="MSIP_Label_4698f2b1-fe06-4489-9b90-7e2c0fb6f14e_Owner">
    <vt:lpwstr>Bjoern.Aring@hella.com</vt:lpwstr>
  </property>
  <property fmtid="{D5CDD505-2E9C-101B-9397-08002B2CF9AE}" pid="13" name="MSIP_Label_4698f2b1-fe06-4489-9b90-7e2c0fb6f14e_SetDate">
    <vt:lpwstr>2019-11-25T12:19:16.5037290Z</vt:lpwstr>
  </property>
  <property fmtid="{D5CDD505-2E9C-101B-9397-08002B2CF9AE}" pid="14" name="MSIP_Label_4698f2b1-fe06-4489-9b90-7e2c0fb6f14e_Name">
    <vt:lpwstr>External Usage</vt:lpwstr>
  </property>
  <property fmtid="{D5CDD505-2E9C-101B-9397-08002B2CF9AE}" pid="15" name="MSIP_Label_4698f2b1-fe06-4489-9b90-7e2c0fb6f14e_Application">
    <vt:lpwstr>Microsoft Azure Information Protection</vt:lpwstr>
  </property>
  <property fmtid="{D5CDD505-2E9C-101B-9397-08002B2CF9AE}" pid="16" name="MSIP_Label_4698f2b1-fe06-4489-9b90-7e2c0fb6f14e_ActionId">
    <vt:lpwstr>4d82305a-147d-4e41-8396-202932b5bae4</vt:lpwstr>
  </property>
  <property fmtid="{D5CDD505-2E9C-101B-9397-08002B2CF9AE}" pid="17" name="MSIP_Label_4698f2b1-fe06-4489-9b90-7e2c0fb6f14e_Parent">
    <vt:lpwstr>5a4f3930-35a4-43d2-be4a-3a5160255453</vt:lpwstr>
  </property>
  <property fmtid="{D5CDD505-2E9C-101B-9397-08002B2CF9AE}" pid="18" name="MSIP_Label_4698f2b1-fe06-4489-9b90-7e2c0fb6f14e_Extended_MSFT_Method">
    <vt:lpwstr>Manual</vt:lpwstr>
  </property>
  <property fmtid="{D5CDD505-2E9C-101B-9397-08002B2CF9AE}" pid="19" name="Sensitivity">
    <vt:lpwstr>Internal External Usage</vt:lpwstr>
  </property>
</Properties>
</file>