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C:\Users\3819335\Desktop\"/>
    </mc:Choice>
  </mc:AlternateContent>
  <workbookProtection workbookAlgorithmName="SHA-512" workbookHashValue="BFlGW6O11smSndc09g+0ZfaMumnMpRvYyE1++kbJR35cPEJXk98Vg8dgbKEyyLP0bLukRI5+sGT9D+oCaHQGAA==" workbookSaltValue="zH+xErzzEAqX1nDsAt24Tg==" workbookSpinCount="100000" lockStructure="1"/>
  <bookViews>
    <workbookView xWindow="0" yWindow="0" windowWidth="9150" windowHeight="12240"/>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manual'!$A$1:$DL$1289</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C11" i="31" l="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R28" i="48"/>
  <c r="T5" i="31" s="1"/>
  <c r="N27" i="48"/>
  <c r="P31" i="31" s="1"/>
  <c r="M28" i="48"/>
  <c r="O32" i="31" s="1"/>
  <c r="M27" i="48"/>
  <c r="O31" i="31" s="1"/>
  <c r="Q6" i="31"/>
  <c r="Q7" i="31"/>
  <c r="Q8" i="31"/>
  <c r="Q9" i="31"/>
  <c r="Q10" i="31"/>
  <c r="Q11" i="31"/>
  <c r="Q12" i="31"/>
  <c r="Q13" i="31"/>
  <c r="Q14" i="31"/>
  <c r="Q15" i="31"/>
  <c r="Q5" i="31"/>
  <c r="D24" i="31" l="1"/>
  <c r="AY2" i="30"/>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D10" i="30"/>
  <c r="CD11" i="30"/>
  <c r="CD13" i="30"/>
  <c r="CD2" i="30"/>
  <c r="BX2" i="30"/>
  <c r="BR2" i="30"/>
  <c r="BJ2" i="30"/>
  <c r="S28" i="35" l="1"/>
  <c r="T28" i="35" s="1"/>
  <c r="S29" i="35"/>
  <c r="T29" i="35" s="1"/>
  <c r="S27" i="35"/>
  <c r="T27" i="35" s="1"/>
  <c r="T32" i="31" l="1"/>
  <c r="R27" i="48"/>
  <c r="T31" i="31" s="1"/>
  <c r="M19" i="48"/>
  <c r="M20" i="48"/>
  <c r="M21" i="48"/>
  <c r="N21" i="48"/>
  <c r="M22" i="48"/>
  <c r="M23" i="48"/>
  <c r="M24" i="48"/>
  <c r="M25" i="48"/>
  <c r="N25" i="48"/>
  <c r="M26" i="48"/>
  <c r="N18" i="48"/>
  <c r="M18" i="48"/>
  <c r="M3" i="48"/>
  <c r="M4" i="48"/>
  <c r="M5" i="48"/>
  <c r="M6" i="48"/>
  <c r="M7" i="48"/>
  <c r="N7" i="48"/>
  <c r="M8" i="48"/>
  <c r="M9" i="48"/>
  <c r="M10" i="48"/>
  <c r="N10" i="48"/>
  <c r="M11" i="48"/>
  <c r="M12" i="48"/>
  <c r="M13" i="48"/>
  <c r="M14" i="48"/>
  <c r="N14" i="48"/>
  <c r="M15" i="48"/>
  <c r="N15" i="48"/>
  <c r="M16" i="48"/>
  <c r="O19" i="31" s="1"/>
  <c r="M17" i="48"/>
  <c r="N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827" i="30" l="1"/>
  <c r="AG619" i="30"/>
  <c r="AG235" i="30"/>
  <c r="AG1041" i="30"/>
  <c r="AH1041" i="30" s="1"/>
  <c r="AG1061" i="30"/>
  <c r="AH1061" i="30" s="1"/>
  <c r="AG1126" i="30"/>
  <c r="AH1126" i="30" s="1"/>
  <c r="AG624" i="30"/>
  <c r="AG1187" i="30"/>
  <c r="AH1187" i="30" s="1"/>
  <c r="AG1202" i="30"/>
  <c r="AH1202" i="30" s="1"/>
  <c r="AG25" i="30"/>
  <c r="AG1198" i="30"/>
  <c r="AH1198" i="30" s="1"/>
  <c r="AG1166" i="30"/>
  <c r="AH1166" i="30" s="1"/>
  <c r="AG931" i="30"/>
  <c r="AH931" i="30" s="1"/>
  <c r="AG483" i="30"/>
  <c r="AG491" i="30"/>
  <c r="AG26" i="30"/>
  <c r="AG202" i="30"/>
  <c r="AG1148" i="30"/>
  <c r="AG1140" i="30"/>
  <c r="AH1140" i="30" s="1"/>
  <c r="AG274" i="30"/>
  <c r="AH274" i="30" s="1"/>
  <c r="AG194" i="30"/>
  <c r="AG419" i="30"/>
  <c r="AH419" i="30" s="1"/>
  <c r="AG753" i="30"/>
  <c r="AG729" i="30"/>
  <c r="AG713" i="30"/>
  <c r="AG705" i="30"/>
  <c r="AG633" i="30"/>
  <c r="AG630" i="30"/>
  <c r="AH630" i="30" s="1"/>
  <c r="AG1237" i="30"/>
  <c r="AH1237" i="30" s="1"/>
  <c r="AG190" i="30"/>
  <c r="AG1199" i="30"/>
  <c r="AH1199" i="30" s="1"/>
  <c r="AG1191" i="30"/>
  <c r="AH1191" i="30" s="1"/>
  <c r="AG1183" i="30"/>
  <c r="AG1175" i="30"/>
  <c r="AH1175" i="30" s="1"/>
  <c r="AG1151" i="30"/>
  <c r="AH1151" i="30" s="1"/>
  <c r="AG1050" i="30"/>
  <c r="AH1050" i="30" s="1"/>
  <c r="AG1034" i="30"/>
  <c r="AH1034" i="30" s="1"/>
  <c r="AG198" i="30"/>
  <c r="AG227" i="30"/>
  <c r="AG373" i="30"/>
  <c r="AG627" i="30"/>
  <c r="AG611" i="30"/>
  <c r="AG141" i="30"/>
  <c r="AG29" i="30"/>
  <c r="AG1270" i="30"/>
  <c r="AH1270" i="30" s="1"/>
  <c r="AG1246" i="30"/>
  <c r="AH1246" i="30" s="1"/>
  <c r="AG1230" i="30"/>
  <c r="AH1230" i="30" s="1"/>
  <c r="AG1222" i="30"/>
  <c r="AH1222" i="30" s="1"/>
  <c r="AG1150" i="30"/>
  <c r="AH1150" i="30" s="1"/>
  <c r="AG599" i="30"/>
  <c r="AG479" i="30"/>
  <c r="AG1218" i="30"/>
  <c r="AH1218" i="30" s="1"/>
  <c r="AG263" i="30"/>
  <c r="AG239" i="30"/>
  <c r="AG231" i="30"/>
  <c r="AG170" i="30"/>
  <c r="AG625" i="30"/>
  <c r="AG44" i="30"/>
  <c r="AG36" i="30"/>
  <c r="AG15" i="30"/>
  <c r="AG3" i="30"/>
  <c r="AG1281" i="30"/>
  <c r="AH1281" i="30" s="1"/>
  <c r="AG1277" i="30"/>
  <c r="AH1277" i="30" s="1"/>
  <c r="AG1265" i="30"/>
  <c r="AH1265" i="30" s="1"/>
  <c r="AG1174" i="30"/>
  <c r="AH1174" i="30" s="1"/>
  <c r="AG1167" i="30"/>
  <c r="AH1167" i="30" s="1"/>
  <c r="AG1159" i="30"/>
  <c r="AH1159" i="30" s="1"/>
  <c r="AG1128" i="30"/>
  <c r="AH1128" i="30" s="1"/>
  <c r="AG1046" i="30"/>
  <c r="AG1037" i="30"/>
  <c r="AH1037" i="30" s="1"/>
  <c r="AG920" i="30"/>
  <c r="AH920" i="30" s="1"/>
  <c r="AG819" i="30"/>
  <c r="AG750" i="30"/>
  <c r="AH750" i="30" s="1"/>
  <c r="AG742" i="30"/>
  <c r="AG738" i="30"/>
  <c r="AH738" i="30" s="1"/>
  <c r="AG734" i="30"/>
  <c r="AG722" i="30"/>
  <c r="AG715" i="30"/>
  <c r="AH715" i="30" s="1"/>
  <c r="AG710" i="30"/>
  <c r="AG707" i="30"/>
  <c r="AH707" i="30" s="1"/>
  <c r="AG639" i="30"/>
  <c r="AH639" i="30" s="1"/>
  <c r="AG418" i="30"/>
  <c r="AG349" i="30"/>
  <c r="AH349" i="30" s="1"/>
  <c r="AG187" i="30"/>
  <c r="AG171" i="30"/>
  <c r="AG147" i="30"/>
  <c r="AG138" i="30"/>
  <c r="AG130" i="30"/>
  <c r="AG90" i="30"/>
  <c r="AG14" i="30"/>
  <c r="AG6" i="30"/>
  <c r="AG1238" i="30"/>
  <c r="AH1238" i="30" s="1"/>
  <c r="AG1221" i="30"/>
  <c r="AH1221" i="30" s="1"/>
  <c r="AG1213" i="30"/>
  <c r="AH1213" i="30" s="1"/>
  <c r="AG1209" i="30"/>
  <c r="AH1209" i="30" s="1"/>
  <c r="AG1205" i="30"/>
  <c r="AH1205" i="30" s="1"/>
  <c r="AG1200" i="30"/>
  <c r="AH1200" i="30" s="1"/>
  <c r="AG1192" i="30"/>
  <c r="AH1192" i="30" s="1"/>
  <c r="AG1160" i="30"/>
  <c r="AH1160" i="30" s="1"/>
  <c r="AG1156" i="30"/>
  <c r="AH1156" i="30" s="1"/>
  <c r="AG1152" i="30"/>
  <c r="AH1152" i="30" s="1"/>
  <c r="AG1146" i="30"/>
  <c r="AH1146" i="30" s="1"/>
  <c r="AG1142" i="30"/>
  <c r="AH1142" i="30" s="1"/>
  <c r="AG1138" i="30"/>
  <c r="AH1138" i="30" s="1"/>
  <c r="AG1134" i="30"/>
  <c r="AH1134" i="30" s="1"/>
  <c r="AG835" i="30"/>
  <c r="AH835" i="30" s="1"/>
  <c r="AG632" i="30"/>
  <c r="AH632" i="30" s="1"/>
  <c r="AG609" i="30"/>
  <c r="AG262" i="30"/>
  <c r="AG242" i="30"/>
  <c r="AG238" i="30"/>
  <c r="AG234" i="30"/>
  <c r="AG213" i="30"/>
  <c r="AG209" i="30"/>
  <c r="AG144" i="30"/>
  <c r="AG91" i="30"/>
  <c r="AG66" i="30"/>
  <c r="AG62" i="30"/>
  <c r="AG46" i="30"/>
  <c r="AG13" i="30"/>
  <c r="AG1266" i="30"/>
  <c r="AH1266" i="30" s="1"/>
  <c r="AG1257" i="30"/>
  <c r="AH1257" i="30" s="1"/>
  <c r="AG1240" i="30"/>
  <c r="AH1240" i="30" s="1"/>
  <c r="AG1206" i="30"/>
  <c r="AH1206" i="30" s="1"/>
  <c r="AG1162" i="30"/>
  <c r="AH1162" i="30" s="1"/>
  <c r="AG1158" i="30"/>
  <c r="AH1158" i="30" s="1"/>
  <c r="AG1144" i="30"/>
  <c r="AH1144" i="30" s="1"/>
  <c r="AG850" i="30"/>
  <c r="AH850" i="30" s="1"/>
  <c r="AG614" i="30"/>
  <c r="AH614" i="30" s="1"/>
  <c r="AG270" i="30"/>
  <c r="AG230" i="30"/>
  <c r="AG221" i="30"/>
  <c r="AG152" i="30"/>
  <c r="AG5" i="30"/>
  <c r="AG1275" i="30"/>
  <c r="AH1275" i="30" s="1"/>
  <c r="AG1253" i="30"/>
  <c r="AH1253" i="30" s="1"/>
  <c r="AG1244" i="30"/>
  <c r="AH1244" i="30" s="1"/>
  <c r="AG1214" i="30"/>
  <c r="AG1184" i="30"/>
  <c r="AH1184" i="30" s="1"/>
  <c r="AG1176" i="30"/>
  <c r="AH1176" i="30" s="1"/>
  <c r="AG1154" i="30"/>
  <c r="AH1154" i="30" s="1"/>
  <c r="AG1130" i="30"/>
  <c r="AH1130" i="30" s="1"/>
  <c r="AG1057" i="30"/>
  <c r="AH1057" i="30" s="1"/>
  <c r="AG1053" i="30"/>
  <c r="AH1053" i="30" s="1"/>
  <c r="AG834" i="30"/>
  <c r="AG727" i="30"/>
  <c r="AH727" i="30" s="1"/>
  <c r="AG259" i="30"/>
  <c r="AG255" i="30"/>
  <c r="AG251" i="30"/>
  <c r="AG243" i="30"/>
  <c r="AG149" i="30"/>
  <c r="AG83" i="30"/>
  <c r="AG22" i="30"/>
  <c r="AG18" i="30"/>
  <c r="AG1262" i="30"/>
  <c r="AH1262" i="30" s="1"/>
  <c r="AG1258" i="30"/>
  <c r="AH1258" i="30" s="1"/>
  <c r="AG1228" i="30"/>
  <c r="AH1228" i="30" s="1"/>
  <c r="AG1224" i="30"/>
  <c r="AH1224" i="30" s="1"/>
  <c r="AG1211" i="30"/>
  <c r="AH1211" i="30" s="1"/>
  <c r="AG1195" i="30"/>
  <c r="AH1195" i="30" s="1"/>
  <c r="AG1190" i="30"/>
  <c r="AH1190" i="30" s="1"/>
  <c r="AG1182" i="30"/>
  <c r="AH1182" i="30" s="1"/>
  <c r="AG1171" i="30"/>
  <c r="AH1171" i="30" s="1"/>
  <c r="AG1164" i="30"/>
  <c r="AH1164" i="30" s="1"/>
  <c r="AG1163" i="30"/>
  <c r="AH1163" i="30" s="1"/>
  <c r="AG1155" i="30"/>
  <c r="AH1155" i="30" s="1"/>
  <c r="AG1136" i="30"/>
  <c r="AH1136" i="30" s="1"/>
  <c r="AG1132" i="30"/>
  <c r="AH1132" i="30" s="1"/>
  <c r="AG1066" i="30"/>
  <c r="AH1066" i="30" s="1"/>
  <c r="AG1062" i="30"/>
  <c r="AH1062" i="30" s="1"/>
  <c r="AG843" i="30"/>
  <c r="AH843" i="30" s="1"/>
  <c r="AG818" i="30"/>
  <c r="AH818" i="30" s="1"/>
  <c r="AG746" i="30"/>
  <c r="AG725" i="30"/>
  <c r="AG712" i="30"/>
  <c r="AH712" i="30" s="1"/>
  <c r="AG704" i="30"/>
  <c r="AH704" i="30" s="1"/>
  <c r="AG637" i="30"/>
  <c r="AH637" i="30" s="1"/>
  <c r="AG616" i="30"/>
  <c r="AG591" i="30"/>
  <c r="AH591" i="30" s="1"/>
  <c r="AG478" i="30"/>
  <c r="AG442" i="30"/>
  <c r="AG275" i="30"/>
  <c r="AG266" i="30"/>
  <c r="AG195" i="30"/>
  <c r="AG191" i="30"/>
  <c r="AG151" i="30"/>
  <c r="AG143" i="30"/>
  <c r="AG94" i="30"/>
  <c r="AG8" i="30"/>
  <c r="AG1179" i="30"/>
  <c r="AH1179" i="30" s="1"/>
  <c r="AG617" i="30"/>
  <c r="AG21" i="30"/>
  <c r="AG9" i="30"/>
  <c r="AG271" i="30"/>
  <c r="AG267" i="30"/>
  <c r="AG258" i="30"/>
  <c r="AG254" i="30"/>
  <c r="AG250" i="30"/>
  <c r="AG246" i="30"/>
  <c r="AG220" i="30"/>
  <c r="AG217" i="30"/>
  <c r="AG216" i="30"/>
  <c r="AG199" i="30"/>
  <c r="AG186" i="30"/>
  <c r="AG182" i="30"/>
  <c r="AG178" i="30"/>
  <c r="AG174" i="30"/>
  <c r="AG148" i="30"/>
  <c r="AG87" i="30"/>
  <c r="AG65" i="30"/>
  <c r="AG45" i="30"/>
  <c r="AG12" i="30"/>
  <c r="AG7" i="30"/>
  <c r="AG1261" i="30"/>
  <c r="AH1261" i="30" s="1"/>
  <c r="AG1252" i="30"/>
  <c r="AH1252" i="30" s="1"/>
  <c r="AG1243" i="30"/>
  <c r="AH1243" i="30" s="1"/>
  <c r="AG1239" i="30"/>
  <c r="AH1239" i="30" s="1"/>
  <c r="AG1234" i="30"/>
  <c r="AH1234" i="30" s="1"/>
  <c r="AG1229" i="30"/>
  <c r="AH1229" i="30" s="1"/>
  <c r="AG1225" i="30"/>
  <c r="AH1225" i="30" s="1"/>
  <c r="AG1194" i="30"/>
  <c r="AH1194" i="30" s="1"/>
  <c r="AG1188" i="30"/>
  <c r="AH1188" i="30" s="1"/>
  <c r="AG1178" i="30"/>
  <c r="AH1178" i="30" s="1"/>
  <c r="AG1172" i="30"/>
  <c r="AH1172" i="30" s="1"/>
  <c r="AG1170" i="30"/>
  <c r="AH1170" i="30" s="1"/>
  <c r="AG842" i="30"/>
  <c r="AH842" i="30" s="1"/>
  <c r="AG723" i="30"/>
  <c r="AH723" i="30" s="1"/>
  <c r="AG640" i="30"/>
  <c r="AH640" i="30" s="1"/>
  <c r="AG635" i="30"/>
  <c r="AH635" i="30" s="1"/>
  <c r="AG621" i="30"/>
  <c r="AG493" i="30"/>
  <c r="AG286" i="30"/>
  <c r="AG282" i="30"/>
  <c r="AG278" i="30"/>
  <c r="AG226" i="30"/>
  <c r="AG222" i="30"/>
  <c r="AG218" i="30"/>
  <c r="AG214" i="30"/>
  <c r="AG210" i="30"/>
  <c r="AG167" i="30"/>
  <c r="AG163" i="30"/>
  <c r="AG159" i="30"/>
  <c r="AG155" i="30"/>
  <c r="AG140" i="30"/>
  <c r="AG95" i="30"/>
  <c r="AG43" i="30"/>
  <c r="AG30" i="30"/>
  <c r="AG1286" i="30"/>
  <c r="AH1286" i="30" s="1"/>
  <c r="AG1274" i="30"/>
  <c r="AH1274" i="30" s="1"/>
  <c r="AG1269" i="30"/>
  <c r="AH1269" i="30" s="1"/>
  <c r="AG1250" i="30"/>
  <c r="AH1250" i="30" s="1"/>
  <c r="AG1245" i="30"/>
  <c r="AH1245" i="30" s="1"/>
  <c r="AG1241" i="30"/>
  <c r="AH1241" i="30" s="1"/>
  <c r="AG1227" i="30"/>
  <c r="AH1227" i="30" s="1"/>
  <c r="AG1223" i="30"/>
  <c r="AH1223" i="30" s="1"/>
  <c r="AG1212" i="30"/>
  <c r="AH1212" i="30" s="1"/>
  <c r="AG1196" i="30"/>
  <c r="AH1196" i="30" s="1"/>
  <c r="AG1186" i="30"/>
  <c r="AH1186" i="30" s="1"/>
  <c r="AG1180" i="30"/>
  <c r="AH1180" i="30" s="1"/>
  <c r="AG1168" i="30"/>
  <c r="AH1168" i="30" s="1"/>
  <c r="AG1065" i="30"/>
  <c r="AH1065" i="30" s="1"/>
  <c r="AG826" i="30"/>
  <c r="AG638" i="30"/>
  <c r="AH638" i="30" s="1"/>
  <c r="AG583" i="30"/>
  <c r="AG475" i="30"/>
  <c r="AH475" i="30" s="1"/>
  <c r="AG361" i="30"/>
  <c r="AG287" i="30"/>
  <c r="AG283" i="30"/>
  <c r="AG279" i="30"/>
  <c r="AG247" i="30"/>
  <c r="AG224" i="30"/>
  <c r="AG212" i="30"/>
  <c r="AG208" i="30"/>
  <c r="AG183" i="30"/>
  <c r="AG179" i="30"/>
  <c r="AG175" i="30"/>
  <c r="AG166" i="30"/>
  <c r="AG162" i="30"/>
  <c r="AG158" i="30"/>
  <c r="AG156" i="30"/>
  <c r="AG154" i="30"/>
  <c r="AG146" i="30"/>
  <c r="AG223" i="30"/>
  <c r="AG219" i="30"/>
  <c r="AG215" i="30"/>
  <c r="AG211" i="30"/>
  <c r="AG207" i="30"/>
  <c r="AG157" i="30"/>
  <c r="AG153" i="30"/>
  <c r="AG122" i="30"/>
  <c r="AG150" i="30"/>
  <c r="AG145" i="30"/>
  <c r="AG142" i="30"/>
  <c r="AG134" i="30"/>
  <c r="AG126" i="30"/>
  <c r="AG86" i="30"/>
  <c r="AG35" i="30"/>
  <c r="AG34" i="30"/>
  <c r="AG1254" i="30"/>
  <c r="AH1254" i="30" s="1"/>
  <c r="AG1249" i="30"/>
  <c r="AH1249" i="30" s="1"/>
  <c r="AG1242" i="30"/>
  <c r="AH1242" i="30" s="1"/>
  <c r="AG1233" i="30"/>
  <c r="AH1233" i="30" s="1"/>
  <c r="AG1226" i="30"/>
  <c r="AH1226" i="30" s="1"/>
  <c r="AG1217" i="30"/>
  <c r="AH1217" i="30" s="1"/>
  <c r="AG1210" i="30"/>
  <c r="AH1210" i="30" s="1"/>
  <c r="AG1208" i="30"/>
  <c r="AH1208" i="30" s="1"/>
  <c r="AG1207" i="30"/>
  <c r="AH1207" i="30" s="1"/>
  <c r="AG1173" i="30"/>
  <c r="AH1173" i="30" s="1"/>
  <c r="AG1165" i="30"/>
  <c r="AH1165" i="30" s="1"/>
  <c r="AG64" i="30"/>
  <c r="AG41" i="30"/>
  <c r="AG17" i="30"/>
  <c r="AG11" i="30"/>
  <c r="AG10" i="30"/>
  <c r="AG1248" i="30"/>
  <c r="AH1248" i="30" s="1"/>
  <c r="AG1247" i="30"/>
  <c r="AH1247" i="30" s="1"/>
  <c r="AG1232" i="30"/>
  <c r="AH1232" i="30" s="1"/>
  <c r="AG1231" i="30"/>
  <c r="AH1231" i="30" s="1"/>
  <c r="AG1216" i="30"/>
  <c r="AH1216" i="30" s="1"/>
  <c r="AG1215" i="30"/>
  <c r="AH1215" i="30" s="1"/>
  <c r="AG1169" i="30"/>
  <c r="AH1169" i="30" s="1"/>
  <c r="AG40" i="30"/>
  <c r="AG37" i="30"/>
  <c r="AG33" i="30"/>
  <c r="AG32" i="30"/>
  <c r="AG1288" i="30"/>
  <c r="AH1288" i="30" s="1"/>
  <c r="AG1284" i="30"/>
  <c r="AH1284" i="30" s="1"/>
  <c r="AG1279" i="30"/>
  <c r="AH1279" i="30" s="1"/>
  <c r="AG1236" i="30"/>
  <c r="AH1236" i="30" s="1"/>
  <c r="AG1235" i="30"/>
  <c r="AH1235" i="30" s="1"/>
  <c r="AG1220" i="30"/>
  <c r="AH1220" i="30" s="1"/>
  <c r="AG1219" i="30"/>
  <c r="AH1219" i="30" s="1"/>
  <c r="AG1204" i="30"/>
  <c r="AH1204" i="30" s="1"/>
  <c r="AG1203" i="30"/>
  <c r="AH1203" i="30" s="1"/>
  <c r="AG1201" i="30"/>
  <c r="AH1201" i="30" s="1"/>
  <c r="AG1197" i="30"/>
  <c r="AH1197" i="30" s="1"/>
  <c r="AG1193" i="30"/>
  <c r="AH1193" i="30" s="1"/>
  <c r="AG1189" i="30"/>
  <c r="AH1189" i="30" s="1"/>
  <c r="AG1185" i="30"/>
  <c r="AH1185" i="30" s="1"/>
  <c r="AG1181" i="30"/>
  <c r="AH1181" i="30" s="1"/>
  <c r="AG1177" i="30"/>
  <c r="AH1177" i="30" s="1"/>
  <c r="AG1153" i="30"/>
  <c r="AH1153" i="30" s="1"/>
  <c r="AG1149" i="30"/>
  <c r="AH1149" i="30" s="1"/>
  <c r="AG1147" i="30"/>
  <c r="AH1147" i="30" s="1"/>
  <c r="AG1145" i="30"/>
  <c r="AH1145" i="30" s="1"/>
  <c r="AG1143" i="30"/>
  <c r="AH1143" i="30" s="1"/>
  <c r="AG1141" i="30"/>
  <c r="AH1141" i="30" s="1"/>
  <c r="AG1139" i="30"/>
  <c r="AH1139" i="30" s="1"/>
  <c r="AG1137" i="30"/>
  <c r="AH1137" i="30" s="1"/>
  <c r="AG1135" i="30"/>
  <c r="AH1135" i="30" s="1"/>
  <c r="AG1054" i="30"/>
  <c r="AH1054" i="30" s="1"/>
  <c r="AG1042" i="30"/>
  <c r="AH1042" i="30" s="1"/>
  <c r="AG1033" i="30"/>
  <c r="AH1033" i="30" s="1"/>
  <c r="AG849" i="30"/>
  <c r="AH849" i="30" s="1"/>
  <c r="AG829" i="30"/>
  <c r="AH829" i="30" s="1"/>
  <c r="AG1038" i="30"/>
  <c r="AH1038" i="30" s="1"/>
  <c r="AG927" i="30"/>
  <c r="AH927" i="30" s="1"/>
  <c r="AG845" i="30"/>
  <c r="AH845" i="30" s="1"/>
  <c r="AG822" i="30"/>
  <c r="AH822" i="30" s="1"/>
  <c r="AG1133" i="30"/>
  <c r="AH1133" i="30" s="1"/>
  <c r="AG1131" i="30"/>
  <c r="AH1131" i="30" s="1"/>
  <c r="AG1129" i="30"/>
  <c r="AH1129" i="30" s="1"/>
  <c r="AG1127" i="30"/>
  <c r="AH1127" i="30" s="1"/>
  <c r="AG1124" i="30"/>
  <c r="AH1124" i="30" s="1"/>
  <c r="AG1122" i="30"/>
  <c r="AH1122" i="30" s="1"/>
  <c r="AG1120" i="30"/>
  <c r="AH1120" i="30" s="1"/>
  <c r="AG1118" i="30"/>
  <c r="AH1118" i="30" s="1"/>
  <c r="AG1116" i="30"/>
  <c r="AH1116" i="30" s="1"/>
  <c r="AG1114" i="30"/>
  <c r="AH1114" i="30" s="1"/>
  <c r="AG1112" i="30"/>
  <c r="AH1112" i="30" s="1"/>
  <c r="AG1110" i="30"/>
  <c r="AH1110" i="30" s="1"/>
  <c r="AG1108" i="30"/>
  <c r="AH1108" i="30" s="1"/>
  <c r="AG1106" i="30"/>
  <c r="AH1106" i="30" s="1"/>
  <c r="AG1104" i="30"/>
  <c r="AH1104" i="30" s="1"/>
  <c r="AG1102" i="30"/>
  <c r="AH1102" i="30" s="1"/>
  <c r="AG1100" i="30"/>
  <c r="AH1100" i="30" s="1"/>
  <c r="AG1098" i="30"/>
  <c r="AH1098" i="30" s="1"/>
  <c r="AG1096" i="30"/>
  <c r="AH1096" i="30" s="1"/>
  <c r="AG1094" i="30"/>
  <c r="AH1094" i="30" s="1"/>
  <c r="AG1092" i="30"/>
  <c r="AH1092" i="30" s="1"/>
  <c r="AG932" i="30"/>
  <c r="AH932" i="30" s="1"/>
  <c r="AG838" i="30"/>
  <c r="AH838" i="30" s="1"/>
  <c r="AG817" i="30"/>
  <c r="AH817" i="30" s="1"/>
  <c r="AG1161" i="30"/>
  <c r="AH1161" i="30" s="1"/>
  <c r="AG1157" i="30"/>
  <c r="AH1157" i="30" s="1"/>
  <c r="AG1125" i="30"/>
  <c r="AH1125" i="30" s="1"/>
  <c r="AG1123" i="30"/>
  <c r="AH1123" i="30" s="1"/>
  <c r="AG1121" i="30"/>
  <c r="AH1121" i="30" s="1"/>
  <c r="AG1119" i="30"/>
  <c r="AH1119" i="30" s="1"/>
  <c r="AG1117" i="30"/>
  <c r="AH1117" i="30" s="1"/>
  <c r="AG1115" i="30"/>
  <c r="AH1115" i="30" s="1"/>
  <c r="AG1113" i="30"/>
  <c r="AH1113" i="30" s="1"/>
  <c r="AG1111" i="30"/>
  <c r="AH1111" i="30" s="1"/>
  <c r="AG1109" i="30"/>
  <c r="AH1109" i="30" s="1"/>
  <c r="AG1107" i="30"/>
  <c r="AH1107" i="30" s="1"/>
  <c r="AG1105" i="30"/>
  <c r="AH1105" i="30" s="1"/>
  <c r="AG1103" i="30"/>
  <c r="AH1103" i="30" s="1"/>
  <c r="AG1101" i="30"/>
  <c r="AH1101" i="30" s="1"/>
  <c r="AG1099" i="30"/>
  <c r="AH1099" i="30" s="1"/>
  <c r="AG1097" i="30"/>
  <c r="AH1097" i="30" s="1"/>
  <c r="AG1095" i="30"/>
  <c r="AH1095" i="30" s="1"/>
  <c r="AG1093" i="30"/>
  <c r="AH1093" i="30" s="1"/>
  <c r="AG1091" i="30"/>
  <c r="AH1091" i="30" s="1"/>
  <c r="AG1058" i="30"/>
  <c r="AH1058" i="30" s="1"/>
  <c r="AG1049" i="30"/>
  <c r="AH1049" i="30" s="1"/>
  <c r="AG1045" i="30"/>
  <c r="AH1045" i="30" s="1"/>
  <c r="AG928" i="30"/>
  <c r="AH928" i="30" s="1"/>
  <c r="AG923" i="30"/>
  <c r="AH923" i="30" s="1"/>
  <c r="AG833" i="30"/>
  <c r="AH833" i="30" s="1"/>
  <c r="AG837" i="30"/>
  <c r="AH837" i="30" s="1"/>
  <c r="AG821" i="30"/>
  <c r="AH821" i="30" s="1"/>
  <c r="AG718" i="30"/>
  <c r="AH718" i="30" s="1"/>
  <c r="AG626" i="30"/>
  <c r="AH626" i="30" s="1"/>
  <c r="AG613" i="30"/>
  <c r="AH613" i="30" s="1"/>
  <c r="AG477" i="30"/>
  <c r="AH477" i="30" s="1"/>
  <c r="AG473" i="30"/>
  <c r="AH473" i="30" s="1"/>
  <c r="AG422" i="30"/>
  <c r="AH422" i="30" s="1"/>
  <c r="AG847" i="30"/>
  <c r="AH847" i="30" s="1"/>
  <c r="AG831" i="30"/>
  <c r="AH831" i="30" s="1"/>
  <c r="AG815" i="30"/>
  <c r="AH815" i="30" s="1"/>
  <c r="AG749" i="30"/>
  <c r="AH749" i="30" s="1"/>
  <c r="AG706" i="30"/>
  <c r="AH706" i="30" s="1"/>
  <c r="AG636" i="30"/>
  <c r="AH636" i="30" s="1"/>
  <c r="AG622" i="30"/>
  <c r="AH622" i="30" s="1"/>
  <c r="AG702" i="30"/>
  <c r="AH702" i="30" s="1"/>
  <c r="AG629" i="30"/>
  <c r="AH629" i="30" s="1"/>
  <c r="AG610" i="30"/>
  <c r="AH610" i="30" s="1"/>
  <c r="AG586" i="30"/>
  <c r="AH586" i="30" s="1"/>
  <c r="AG935" i="30"/>
  <c r="AH935" i="30" s="1"/>
  <c r="AG924" i="30"/>
  <c r="AH924" i="30" s="1"/>
  <c r="AG919" i="30"/>
  <c r="AH919" i="30" s="1"/>
  <c r="AG846" i="30"/>
  <c r="AH846" i="30" s="1"/>
  <c r="AG841" i="30"/>
  <c r="AH841" i="30" s="1"/>
  <c r="AG839" i="30"/>
  <c r="AH839" i="30" s="1"/>
  <c r="AG830" i="30"/>
  <c r="AH830" i="30" s="1"/>
  <c r="AG825" i="30"/>
  <c r="AH825" i="30" s="1"/>
  <c r="AG823" i="30"/>
  <c r="AH823" i="30" s="1"/>
  <c r="AG814" i="30"/>
  <c r="AH814" i="30" s="1"/>
  <c r="AG752" i="30"/>
  <c r="AH752" i="30" s="1"/>
  <c r="AG739" i="30"/>
  <c r="AH739" i="30" s="1"/>
  <c r="AG733" i="30"/>
  <c r="AH733" i="30" s="1"/>
  <c r="AG709" i="30"/>
  <c r="AH709" i="30" s="1"/>
  <c r="AG590" i="30"/>
  <c r="AH590" i="30" s="1"/>
  <c r="AG587" i="30"/>
  <c r="AH587" i="30" s="1"/>
  <c r="AG420" i="30"/>
  <c r="AG747" i="30"/>
  <c r="AH747" i="30" s="1"/>
  <c r="AG741" i="30"/>
  <c r="AH741" i="30" s="1"/>
  <c r="AG731" i="30"/>
  <c r="AH731" i="30" s="1"/>
  <c r="AG726" i="30"/>
  <c r="AH726" i="30" s="1"/>
  <c r="AG717" i="30"/>
  <c r="AH717" i="30" s="1"/>
  <c r="AG714" i="30"/>
  <c r="AH714" i="30" s="1"/>
  <c r="AG701" i="30"/>
  <c r="AH701" i="30" s="1"/>
  <c r="AG618" i="30"/>
  <c r="AH618" i="30" s="1"/>
  <c r="AG598" i="30"/>
  <c r="AH598" i="30" s="1"/>
  <c r="AG582" i="30"/>
  <c r="AH582" i="30" s="1"/>
  <c r="AG540" i="30"/>
  <c r="AH540" i="30" s="1"/>
  <c r="AG536" i="30"/>
  <c r="AH536" i="30" s="1"/>
  <c r="AG532" i="30"/>
  <c r="AG528" i="30"/>
  <c r="AH528" i="30" s="1"/>
  <c r="AG524" i="30"/>
  <c r="AH524" i="30" s="1"/>
  <c r="AG520" i="30"/>
  <c r="AG516" i="30"/>
  <c r="AH516" i="30" s="1"/>
  <c r="AG490" i="30"/>
  <c r="AH490" i="30" s="1"/>
  <c r="AG487" i="30"/>
  <c r="AH487" i="30" s="1"/>
  <c r="AG443" i="30"/>
  <c r="AH443" i="30" s="1"/>
  <c r="AG423" i="30"/>
  <c r="AG754" i="30"/>
  <c r="AH754" i="30" s="1"/>
  <c r="AG751" i="30"/>
  <c r="AH751" i="30" s="1"/>
  <c r="AG745" i="30"/>
  <c r="AH745" i="30" s="1"/>
  <c r="AG735" i="30"/>
  <c r="AH735" i="30" s="1"/>
  <c r="AG721" i="30"/>
  <c r="AH721" i="30" s="1"/>
  <c r="AG711" i="30"/>
  <c r="AH711" i="30" s="1"/>
  <c r="AG708" i="30"/>
  <c r="AH708" i="30" s="1"/>
  <c r="AG631" i="30"/>
  <c r="AH631" i="30" s="1"/>
  <c r="AG628" i="30"/>
  <c r="AH628" i="30" s="1"/>
  <c r="AG615" i="30"/>
  <c r="AH615" i="30" s="1"/>
  <c r="AG612" i="30"/>
  <c r="AH612" i="30" s="1"/>
  <c r="AG482" i="30"/>
  <c r="AG743" i="30"/>
  <c r="AH743" i="30" s="1"/>
  <c r="AG737" i="30"/>
  <c r="AH737" i="30" s="1"/>
  <c r="AG730" i="30"/>
  <c r="AH730" i="30" s="1"/>
  <c r="AG719" i="30"/>
  <c r="AH719" i="30" s="1"/>
  <c r="AG716" i="30"/>
  <c r="AH716" i="30" s="1"/>
  <c r="AG703" i="30"/>
  <c r="AH703" i="30" s="1"/>
  <c r="AG634" i="30"/>
  <c r="AH634" i="30" s="1"/>
  <c r="AG623" i="30"/>
  <c r="AH623" i="30" s="1"/>
  <c r="AG620" i="30"/>
  <c r="AH620" i="30" s="1"/>
  <c r="AG539" i="30"/>
  <c r="AH539" i="30" s="1"/>
  <c r="AG535" i="30"/>
  <c r="AH535" i="30" s="1"/>
  <c r="AG531" i="30"/>
  <c r="AG527" i="30"/>
  <c r="AH527" i="30" s="1"/>
  <c r="AG523" i="30"/>
  <c r="AH523" i="30" s="1"/>
  <c r="AG519" i="30"/>
  <c r="AH519" i="30" s="1"/>
  <c r="AG515" i="30"/>
  <c r="AH515" i="30" s="1"/>
  <c r="AG474" i="30"/>
  <c r="AH474" i="30" s="1"/>
  <c r="AG359" i="30"/>
  <c r="AH359" i="30" s="1"/>
  <c r="AG357" i="30"/>
  <c r="AH357" i="30" s="1"/>
  <c r="AG594" i="30"/>
  <c r="AH594" i="30" s="1"/>
  <c r="AG541" i="30"/>
  <c r="AH541" i="30" s="1"/>
  <c r="AG537" i="30"/>
  <c r="AH537" i="30" s="1"/>
  <c r="AG533" i="30"/>
  <c r="AH533" i="30" s="1"/>
  <c r="AG529" i="30"/>
  <c r="AH529" i="30" s="1"/>
  <c r="AG525" i="30"/>
  <c r="AH525" i="30" s="1"/>
  <c r="AG521" i="30"/>
  <c r="AH521" i="30" s="1"/>
  <c r="AG517" i="30"/>
  <c r="AH517" i="30" s="1"/>
  <c r="AG513" i="30"/>
  <c r="AG494" i="30"/>
  <c r="AH494" i="30" s="1"/>
  <c r="AG421" i="30"/>
  <c r="AH421" i="30" s="1"/>
  <c r="AG542" i="30"/>
  <c r="AH542" i="30" s="1"/>
  <c r="AG538" i="30"/>
  <c r="AH538" i="30" s="1"/>
  <c r="AG534" i="30"/>
  <c r="AH534" i="30" s="1"/>
  <c r="AG530" i="30"/>
  <c r="AH530" i="30" s="1"/>
  <c r="AG526" i="30"/>
  <c r="AH526" i="30" s="1"/>
  <c r="AG522" i="30"/>
  <c r="AH522" i="30" s="1"/>
  <c r="AG518" i="30"/>
  <c r="AH518" i="30" s="1"/>
  <c r="AG514" i="30"/>
  <c r="AH514" i="30" s="1"/>
  <c r="AG489" i="30"/>
  <c r="AG360" i="30"/>
  <c r="AG486" i="30"/>
  <c r="AH486" i="30" s="1"/>
  <c r="AG485" i="30"/>
  <c r="AH485" i="30" s="1"/>
  <c r="AG374" i="30"/>
  <c r="AH374" i="30" s="1"/>
  <c r="AG358" i="30"/>
  <c r="AH358" i="30" s="1"/>
  <c r="AG481" i="30"/>
  <c r="AH481" i="30" s="1"/>
  <c r="AG1287" i="30"/>
  <c r="AH1287" i="30" s="1"/>
  <c r="AG1285" i="30"/>
  <c r="AH1285" i="30" s="1"/>
  <c r="AG1283" i="30"/>
  <c r="AH1283" i="30" s="1"/>
  <c r="AG1282" i="30"/>
  <c r="AG1280" i="30"/>
  <c r="AG1278" i="30"/>
  <c r="AG1276" i="30"/>
  <c r="AH1276" i="30" s="1"/>
  <c r="AG1273" i="30"/>
  <c r="AG1272" i="30"/>
  <c r="AH1272" i="30" s="1"/>
  <c r="AG1268" i="30"/>
  <c r="AG1264" i="30"/>
  <c r="AG1260" i="30"/>
  <c r="AH1260" i="30" s="1"/>
  <c r="AG1256" i="30"/>
  <c r="AH1214" i="30"/>
  <c r="AG1271" i="30"/>
  <c r="AH1271" i="30" s="1"/>
  <c r="AG1267" i="30"/>
  <c r="AG1263" i="30"/>
  <c r="AH1263" i="30" s="1"/>
  <c r="AG1259" i="30"/>
  <c r="AH1259" i="30" s="1"/>
  <c r="AG1255" i="30"/>
  <c r="AG1251" i="30"/>
  <c r="AH1183" i="30"/>
  <c r="AH1148" i="30"/>
  <c r="AG1090" i="30"/>
  <c r="AH1090" i="30" s="1"/>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G1068" i="30"/>
  <c r="AG1064" i="30"/>
  <c r="AH1064" i="30" s="1"/>
  <c r="AG1060" i="30"/>
  <c r="AG1056" i="30"/>
  <c r="AH1056" i="30" s="1"/>
  <c r="AG1052" i="30"/>
  <c r="AG1048" i="30"/>
  <c r="AH1048" i="30" s="1"/>
  <c r="AH1046" i="30"/>
  <c r="AG1044" i="30"/>
  <c r="AG1040" i="30"/>
  <c r="AH1040" i="30" s="1"/>
  <c r="AG1036" i="30"/>
  <c r="AG1067" i="30"/>
  <c r="AG1063" i="30"/>
  <c r="AH1063" i="30" s="1"/>
  <c r="AG1059" i="30"/>
  <c r="AH1059" i="30" s="1"/>
  <c r="AG1055" i="30"/>
  <c r="AG1051" i="30"/>
  <c r="AG1047" i="30"/>
  <c r="AH1047" i="30" s="1"/>
  <c r="AG1043" i="30"/>
  <c r="AH1043" i="30" s="1"/>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H827" i="30"/>
  <c r="AH819" i="30"/>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G848" i="30"/>
  <c r="AG844" i="30"/>
  <c r="AH844" i="30" s="1"/>
  <c r="AG840" i="30"/>
  <c r="AH840" i="30" s="1"/>
  <c r="AG836" i="30"/>
  <c r="AH836" i="30" s="1"/>
  <c r="AH834" i="30"/>
  <c r="AG832" i="30"/>
  <c r="AG828" i="30"/>
  <c r="AH828" i="30" s="1"/>
  <c r="AH826" i="30"/>
  <c r="AG824" i="30"/>
  <c r="AH824" i="30" s="1"/>
  <c r="AG820" i="30"/>
  <c r="AH820" i="30" s="1"/>
  <c r="AG816"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H753" i="30"/>
  <c r="AH729" i="30"/>
  <c r="AH725" i="30"/>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G748" i="30"/>
  <c r="AH748" i="30" s="1"/>
  <c r="AH746" i="30"/>
  <c r="AG744" i="30"/>
  <c r="AH744" i="30" s="1"/>
  <c r="AH742" i="30"/>
  <c r="AG740" i="30"/>
  <c r="AH740" i="30" s="1"/>
  <c r="AG736" i="30"/>
  <c r="AH736" i="30" s="1"/>
  <c r="AH734" i="30"/>
  <c r="AG732" i="30"/>
  <c r="AH732" i="30" s="1"/>
  <c r="AG728" i="30"/>
  <c r="AH728" i="30" s="1"/>
  <c r="AG724" i="30"/>
  <c r="AH724" i="30" s="1"/>
  <c r="AH722" i="30"/>
  <c r="AG720" i="30"/>
  <c r="AH720" i="30" s="1"/>
  <c r="AH713" i="30"/>
  <c r="AH710" i="30"/>
  <c r="AH705"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G596" i="30"/>
  <c r="AH596" i="30" s="1"/>
  <c r="AG595" i="30"/>
  <c r="AH595" i="30" s="1"/>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H599" i="30"/>
  <c r="AG584" i="30"/>
  <c r="AH584" i="30" s="1"/>
  <c r="AG506" i="30"/>
  <c r="AH506" i="30" s="1"/>
  <c r="AG608" i="30"/>
  <c r="AH608" i="30" s="1"/>
  <c r="AG604" i="30"/>
  <c r="AH604" i="30" s="1"/>
  <c r="AG600" i="30"/>
  <c r="AH600" i="30" s="1"/>
  <c r="AG588" i="30"/>
  <c r="AH588" i="30" s="1"/>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33" i="30"/>
  <c r="AH627" i="30"/>
  <c r="AH625" i="30"/>
  <c r="AH624" i="30"/>
  <c r="AH621" i="30"/>
  <c r="AH619" i="30"/>
  <c r="AH617" i="30"/>
  <c r="AH616" i="30"/>
  <c r="AH611" i="30"/>
  <c r="AH609"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H500" i="30" s="1"/>
  <c r="AG496" i="30"/>
  <c r="AH496" i="30" s="1"/>
  <c r="AH583" i="30"/>
  <c r="AH532" i="30"/>
  <c r="AH531" i="30"/>
  <c r="AH520" i="30"/>
  <c r="AH513" i="30"/>
  <c r="AG511" i="30"/>
  <c r="AH511" i="30" s="1"/>
  <c r="AG507" i="30"/>
  <c r="AH507" i="30" s="1"/>
  <c r="AG503" i="30"/>
  <c r="AG499" i="30"/>
  <c r="AG495" i="30"/>
  <c r="AH495" i="30" s="1"/>
  <c r="AG545" i="30"/>
  <c r="AG544" i="30"/>
  <c r="AG543" i="30"/>
  <c r="AH491" i="30"/>
  <c r="AH483" i="30"/>
  <c r="AH479" i="30"/>
  <c r="AH482" i="30"/>
  <c r="AH478" i="30"/>
  <c r="AG471" i="30"/>
  <c r="AH471" i="30" s="1"/>
  <c r="AG469" i="30"/>
  <c r="AH469" i="30" s="1"/>
  <c r="AG467" i="30"/>
  <c r="AH467" i="30" s="1"/>
  <c r="AG465" i="30"/>
  <c r="AH465" i="30" s="1"/>
  <c r="AG463" i="30"/>
  <c r="AH463" i="30" s="1"/>
  <c r="AG461" i="30"/>
  <c r="AH461" i="30" s="1"/>
  <c r="AG459" i="30"/>
  <c r="AH459" i="30" s="1"/>
  <c r="AH493" i="30"/>
  <c r="AH489" i="30"/>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H442"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23" i="30"/>
  <c r="AH420" i="30"/>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H380" i="30" s="1"/>
  <c r="AG379" i="30"/>
  <c r="AH379" i="30" s="1"/>
  <c r="AG378" i="30"/>
  <c r="AH378" i="30" s="1"/>
  <c r="AG377" i="30"/>
  <c r="AH377" i="30" s="1"/>
  <c r="AG376" i="30"/>
  <c r="AH376" i="30" s="1"/>
  <c r="AG375" i="30"/>
  <c r="AH375" i="30" s="1"/>
  <c r="AH373" i="30"/>
  <c r="AG372" i="30"/>
  <c r="AH372" i="30" s="1"/>
  <c r="AH361" i="30"/>
  <c r="AH360" i="30"/>
  <c r="AG356" i="30"/>
  <c r="AH356" i="30" s="1"/>
  <c r="AG354" i="30"/>
  <c r="AG371" i="30"/>
  <c r="AH371" i="30" s="1"/>
  <c r="AG370" i="30"/>
  <c r="AG369" i="30"/>
  <c r="AG368" i="30"/>
  <c r="AH368" i="30" s="1"/>
  <c r="AG367" i="30"/>
  <c r="AH367" i="30" s="1"/>
  <c r="AG366" i="30"/>
  <c r="AH366" i="30" s="1"/>
  <c r="AG365" i="30"/>
  <c r="AG364" i="30"/>
  <c r="AH364" i="30" s="1"/>
  <c r="AG363" i="30"/>
  <c r="AH363" i="30" s="1"/>
  <c r="AG362" i="30"/>
  <c r="AG355" i="30"/>
  <c r="AH355" i="30" s="1"/>
  <c r="AG353" i="30"/>
  <c r="AH353" i="30" s="1"/>
  <c r="AG352" i="30"/>
  <c r="AG351" i="30"/>
  <c r="AH351" i="30" s="1"/>
  <c r="AG350" i="30"/>
  <c r="AH350" i="30" s="1"/>
  <c r="AG261" i="30"/>
  <c r="AG245" i="30"/>
  <c r="AG85" i="30"/>
  <c r="AG348" i="30"/>
  <c r="AH348" i="30" s="1"/>
  <c r="AG346" i="30"/>
  <c r="AH346" i="30" s="1"/>
  <c r="AG344" i="30"/>
  <c r="AG342" i="30"/>
  <c r="AH342" i="30" s="1"/>
  <c r="AG281" i="30"/>
  <c r="AG265" i="30"/>
  <c r="AG249" i="30"/>
  <c r="AG233" i="30"/>
  <c r="AG185" i="30"/>
  <c r="AG277" i="30"/>
  <c r="AH277" i="30" s="1"/>
  <c r="AG229" i="30"/>
  <c r="AG201" i="30"/>
  <c r="AG285" i="30"/>
  <c r="AH285" i="30" s="1"/>
  <c r="AG269" i="30"/>
  <c r="AG253" i="30"/>
  <c r="AG237" i="30"/>
  <c r="AG169" i="30"/>
  <c r="AG127" i="30"/>
  <c r="AG347" i="30"/>
  <c r="AH347" i="30" s="1"/>
  <c r="AG345" i="30"/>
  <c r="AG343" i="30"/>
  <c r="AH343" i="30" s="1"/>
  <c r="AG341" i="30"/>
  <c r="AH341" i="30" s="1"/>
  <c r="AG289" i="30"/>
  <c r="AH289" i="30" s="1"/>
  <c r="AG273" i="30"/>
  <c r="AG257" i="30"/>
  <c r="AG241" i="30"/>
  <c r="AG225" i="30"/>
  <c r="AG189" i="30"/>
  <c r="AG173" i="30"/>
  <c r="AH287" i="30"/>
  <c r="AH283" i="30"/>
  <c r="AH279" i="30"/>
  <c r="AH275" i="30"/>
  <c r="AG193" i="30"/>
  <c r="AG177" i="30"/>
  <c r="AG161" i="30"/>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H286" i="30"/>
  <c r="AG284" i="30"/>
  <c r="AH284" i="30" s="1"/>
  <c r="AH282" i="30"/>
  <c r="AG280" i="30"/>
  <c r="AH278" i="30"/>
  <c r="AG276" i="30"/>
  <c r="AH276" i="30" s="1"/>
  <c r="AG272" i="30"/>
  <c r="AG268" i="30"/>
  <c r="AG264" i="30"/>
  <c r="AG260" i="30"/>
  <c r="AG256" i="30"/>
  <c r="AG252" i="30"/>
  <c r="AG248" i="30"/>
  <c r="AG244" i="30"/>
  <c r="AG240" i="30"/>
  <c r="AG236" i="30"/>
  <c r="AG232" i="30"/>
  <c r="AG228" i="30"/>
  <c r="AG197" i="30"/>
  <c r="AG181" i="30"/>
  <c r="AG165" i="30"/>
  <c r="AG78" i="30"/>
  <c r="AG70" i="30"/>
  <c r="AG206" i="30"/>
  <c r="AG205" i="30"/>
  <c r="AG204" i="30"/>
  <c r="AG203" i="30"/>
  <c r="AG131" i="30"/>
  <c r="AG80" i="30"/>
  <c r="AG72" i="30"/>
  <c r="AG135" i="30"/>
  <c r="AG82" i="30"/>
  <c r="AG74" i="30"/>
  <c r="AG200" i="30"/>
  <c r="AG196" i="30"/>
  <c r="AG192" i="30"/>
  <c r="AG188" i="30"/>
  <c r="AG184" i="30"/>
  <c r="AG180" i="30"/>
  <c r="AG176" i="30"/>
  <c r="AG172" i="30"/>
  <c r="AG168" i="30"/>
  <c r="AG164" i="30"/>
  <c r="AG160" i="30"/>
  <c r="AG139" i="30"/>
  <c r="AG123" i="30"/>
  <c r="AG76" i="30"/>
  <c r="AG68" i="30"/>
  <c r="AG137" i="30"/>
  <c r="AG133" i="30"/>
  <c r="AG129" i="30"/>
  <c r="AG125" i="30"/>
  <c r="AG120" i="30"/>
  <c r="AG118" i="30"/>
  <c r="AG116" i="30"/>
  <c r="AG114" i="30"/>
  <c r="AG112" i="30"/>
  <c r="AG89" i="30"/>
  <c r="AG63" i="30"/>
  <c r="AG136" i="30"/>
  <c r="AG132" i="30"/>
  <c r="AG128" i="30"/>
  <c r="AG124" i="30"/>
  <c r="AG93" i="30"/>
  <c r="AG67" i="30"/>
  <c r="AG121" i="30"/>
  <c r="AG119" i="30"/>
  <c r="AG117" i="30"/>
  <c r="AG115" i="30"/>
  <c r="AG113" i="30"/>
  <c r="AG97" i="30"/>
  <c r="AG111" i="30"/>
  <c r="AG110" i="30"/>
  <c r="AG109" i="30"/>
  <c r="AG108" i="30"/>
  <c r="AG107" i="30"/>
  <c r="AG106" i="30"/>
  <c r="AG105" i="30"/>
  <c r="AG104" i="30"/>
  <c r="AG103" i="30"/>
  <c r="AG102" i="30"/>
  <c r="AG101" i="30"/>
  <c r="AG100" i="30"/>
  <c r="AG99" i="30"/>
  <c r="AG81" i="30"/>
  <c r="AG79" i="30"/>
  <c r="AG77" i="30"/>
  <c r="AG75" i="30"/>
  <c r="AG73" i="30"/>
  <c r="AG71" i="30"/>
  <c r="AG69" i="30"/>
  <c r="AG98" i="30"/>
  <c r="AG96" i="30"/>
  <c r="AG92" i="30"/>
  <c r="AG88" i="30"/>
  <c r="AG84" i="30"/>
  <c r="AG23" i="30"/>
  <c r="AG61" i="30"/>
  <c r="AG59" i="30"/>
  <c r="AG57" i="30"/>
  <c r="AG55" i="30"/>
  <c r="AG53" i="30"/>
  <c r="AG51" i="30"/>
  <c r="AG49" i="30"/>
  <c r="AG42" i="30"/>
  <c r="AG38" i="30"/>
  <c r="AG60" i="30"/>
  <c r="AG58" i="30"/>
  <c r="AG56" i="30"/>
  <c r="AG54" i="30"/>
  <c r="AG52" i="30"/>
  <c r="AG50" i="30"/>
  <c r="AG48" i="30"/>
  <c r="AG47" i="30"/>
  <c r="AG39" i="30"/>
  <c r="AG27" i="30"/>
  <c r="AG31" i="30"/>
  <c r="AG19" i="30"/>
  <c r="AG28" i="30"/>
  <c r="AG24" i="30"/>
  <c r="AG20" i="30"/>
  <c r="AG16" i="30"/>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295" i="30"/>
  <c r="AH307" i="30"/>
  <c r="AH339" i="30"/>
  <c r="AH292" i="30"/>
  <c r="AH296" i="30"/>
  <c r="AH300" i="30"/>
  <c r="AH304" i="30"/>
  <c r="AH308" i="30"/>
  <c r="AH312" i="30"/>
  <c r="AH316" i="30"/>
  <c r="AH320" i="30"/>
  <c r="AH324" i="30"/>
  <c r="AH328" i="30"/>
  <c r="AH332" i="30"/>
  <c r="AH336" i="30"/>
  <c r="AH340" i="30"/>
  <c r="AH299" i="30"/>
  <c r="AH272" i="30"/>
  <c r="AH280" i="30"/>
  <c r="AH288" i="30"/>
  <c r="AH293" i="30"/>
  <c r="AH297" i="30"/>
  <c r="AH301" i="30"/>
  <c r="AH305" i="30"/>
  <c r="AH309" i="30"/>
  <c r="AH313" i="30"/>
  <c r="AH317" i="30"/>
  <c r="AH321" i="30"/>
  <c r="AH325" i="30"/>
  <c r="AH329" i="30"/>
  <c r="AH333" i="30"/>
  <c r="AH337" i="30"/>
  <c r="AH273" i="30"/>
  <c r="AH281" i="30"/>
  <c r="AH344" i="30"/>
  <c r="AH291" i="30"/>
  <c r="AH303" i="30"/>
  <c r="AH311" i="30"/>
  <c r="AH319" i="30"/>
  <c r="AH331" i="30"/>
  <c r="AH290" i="30"/>
  <c r="AH294" i="30"/>
  <c r="AH298" i="30"/>
  <c r="AH302" i="30"/>
  <c r="AH306" i="30"/>
  <c r="AH310" i="30"/>
  <c r="AH314" i="30"/>
  <c r="AH318" i="30"/>
  <c r="AH322" i="30"/>
  <c r="AH326" i="30"/>
  <c r="AH330" i="30"/>
  <c r="AH334" i="30"/>
  <c r="AH338" i="30"/>
  <c r="AH345" i="30"/>
  <c r="M23" i="31"/>
  <c r="M27" i="31"/>
  <c r="R19" i="48"/>
  <c r="T23" i="31" s="1"/>
  <c r="R20" i="48"/>
  <c r="T24" i="31" s="1"/>
  <c r="R21" i="48"/>
  <c r="T25" i="31" s="1"/>
  <c r="R22" i="48"/>
  <c r="T26" i="31" s="1"/>
  <c r="R23" i="48"/>
  <c r="T27" i="31" s="1"/>
  <c r="R24" i="48"/>
  <c r="T28" i="31" s="1"/>
  <c r="R25" i="48"/>
  <c r="T29" i="31" s="1"/>
  <c r="R26" i="48"/>
  <c r="T30"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13" i="31"/>
  <c r="P17"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O27" i="31"/>
  <c r="O28" i="31"/>
  <c r="O29" i="31"/>
  <c r="P29" i="31"/>
  <c r="O30" i="31"/>
  <c r="P22" i="31"/>
  <c r="O22" i="31"/>
  <c r="O6" i="31"/>
  <c r="O7" i="31"/>
  <c r="O8" i="31"/>
  <c r="O9" i="31"/>
  <c r="O10" i="31"/>
  <c r="P10" i="31"/>
  <c r="O11" i="31"/>
  <c r="O12" i="31"/>
  <c r="O13" i="31"/>
  <c r="O14" i="31"/>
  <c r="O15" i="31"/>
  <c r="O16" i="31"/>
  <c r="O17" i="31"/>
  <c r="O18" i="31"/>
  <c r="P18" i="31"/>
  <c r="O20" i="31"/>
  <c r="P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AH265" i="30" s="1"/>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AY3" i="30"/>
  <c r="DH2" i="30"/>
  <c r="DG2" i="30"/>
  <c r="DF2" i="30"/>
  <c r="DE2" i="30"/>
  <c r="DD2" i="30"/>
  <c r="DB2" i="30"/>
  <c r="DA2" i="30"/>
  <c r="CY2" i="30"/>
  <c r="BJ66" i="30" s="1"/>
  <c r="BF2" i="30"/>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AH263" i="30" l="1"/>
  <c r="AH251" i="30"/>
  <c r="AH254" i="30"/>
  <c r="AH243" i="30"/>
  <c r="AH250" i="30"/>
  <c r="AH268" i="30"/>
  <c r="AH260" i="30"/>
  <c r="AH266" i="30"/>
  <c r="AH270" i="30"/>
  <c r="AH271" i="30"/>
  <c r="AH246" i="30"/>
  <c r="AH259" i="30"/>
  <c r="AH249" i="30"/>
  <c r="AH267" i="30"/>
  <c r="AH252" i="30"/>
  <c r="AH264" i="30"/>
  <c r="AH261" i="30"/>
  <c r="AH262" i="30"/>
  <c r="AH256" i="30"/>
  <c r="AH269" i="30"/>
  <c r="AH242" i="30"/>
  <c r="AH248" i="30"/>
  <c r="AH245" i="30"/>
  <c r="AH247" i="30"/>
  <c r="AH255" i="30"/>
  <c r="AH257" i="30"/>
  <c r="AH258" i="30"/>
  <c r="AH241" i="30"/>
  <c r="AH253" i="30"/>
  <c r="AH244" i="30"/>
  <c r="AH213" i="30"/>
  <c r="AH209" i="30"/>
  <c r="AH234" i="30"/>
  <c r="AH195" i="30"/>
  <c r="AH191" i="30"/>
  <c r="AH202" i="30"/>
  <c r="AH222" i="30"/>
  <c r="AH227" i="30"/>
  <c r="AH194" i="30"/>
  <c r="AH235" i="30"/>
  <c r="AH231" i="30"/>
  <c r="AH217" i="30"/>
  <c r="AH238" i="30"/>
  <c r="AH203" i="30"/>
  <c r="AH187" i="30"/>
  <c r="AH219" i="30"/>
  <c r="AH200" i="30"/>
  <c r="AH221" i="30"/>
  <c r="AH218" i="30"/>
  <c r="AH233" i="30"/>
  <c r="AH192" i="30"/>
  <c r="AH228" i="30"/>
  <c r="AH215" i="30"/>
  <c r="AH237" i="30"/>
  <c r="AH204" i="30"/>
  <c r="AH198" i="30"/>
  <c r="AH185" i="30"/>
  <c r="AH239" i="30"/>
  <c r="AH190" i="30"/>
  <c r="AH220" i="30"/>
  <c r="AH214" i="30"/>
  <c r="AH196" i="30"/>
  <c r="AH211" i="30"/>
  <c r="AH188" i="30"/>
  <c r="AH210" i="30"/>
  <c r="AH205" i="30"/>
  <c r="AH224" i="30"/>
  <c r="AH216" i="30"/>
  <c r="AH207" i="30"/>
  <c r="AH199" i="30"/>
  <c r="AH212" i="30"/>
  <c r="AH208" i="30"/>
  <c r="AH226" i="30"/>
  <c r="AH229" i="30"/>
  <c r="AH240" i="30"/>
  <c r="AH201" i="30"/>
  <c r="AH223" i="30"/>
  <c r="AH225" i="30"/>
  <c r="AH232" i="30"/>
  <c r="AH230" i="30"/>
  <c r="AH206" i="30"/>
  <c r="AH189" i="30"/>
  <c r="AH197" i="30"/>
  <c r="AH193" i="30"/>
  <c r="AH186" i="30"/>
  <c r="AH236" i="30"/>
  <c r="AH162" i="30"/>
  <c r="AH147" i="30"/>
  <c r="AH175" i="30"/>
  <c r="AH163" i="30"/>
  <c r="AH159" i="30"/>
  <c r="AH138" i="30"/>
  <c r="AH170" i="30"/>
  <c r="AH158" i="30"/>
  <c r="AH156" i="30"/>
  <c r="AH148" i="30"/>
  <c r="AH140" i="30"/>
  <c r="AH174" i="30"/>
  <c r="AH183" i="30"/>
  <c r="AH167" i="30"/>
  <c r="AH151" i="30"/>
  <c r="AH149" i="30"/>
  <c r="AH154" i="30"/>
  <c r="AH153" i="30"/>
  <c r="AH146" i="30"/>
  <c r="AH184" i="30"/>
  <c r="AH164" i="30"/>
  <c r="AH173" i="30"/>
  <c r="AH176" i="30"/>
  <c r="AH165" i="30"/>
  <c r="AH180" i="30"/>
  <c r="AH144" i="30"/>
  <c r="AH141" i="30"/>
  <c r="AH168" i="30"/>
  <c r="AH155" i="30"/>
  <c r="AH143" i="30"/>
  <c r="AH160" i="30"/>
  <c r="AH179" i="30"/>
  <c r="AH139" i="30"/>
  <c r="AH150" i="30"/>
  <c r="AH182" i="30"/>
  <c r="AH172" i="30"/>
  <c r="AH177" i="30"/>
  <c r="AH145" i="30"/>
  <c r="AH178" i="30"/>
  <c r="AH171" i="30"/>
  <c r="AH169" i="30"/>
  <c r="AH152" i="30"/>
  <c r="AH161" i="30"/>
  <c r="AH166" i="30"/>
  <c r="AH181" i="30"/>
  <c r="AH142" i="30"/>
  <c r="AH157" i="30"/>
  <c r="AH23" i="30"/>
  <c r="AH137" i="30"/>
  <c r="AH128" i="30"/>
  <c r="AH112" i="30"/>
  <c r="AH40" i="30"/>
  <c r="AH70" i="30"/>
  <c r="AH15" i="30"/>
  <c r="AH85" i="30"/>
  <c r="AH129" i="30"/>
  <c r="AH59" i="30"/>
  <c r="AH97" i="30"/>
  <c r="AH69" i="30"/>
  <c r="AH123" i="30"/>
  <c r="AH10" i="30"/>
  <c r="AH72" i="30"/>
  <c r="AH111" i="30"/>
  <c r="AH51" i="30"/>
  <c r="AH110" i="30"/>
  <c r="AH7" i="30"/>
  <c r="AH68" i="30"/>
  <c r="AH93" i="30"/>
  <c r="AH117" i="30"/>
  <c r="AH109" i="30"/>
  <c r="AH61" i="30"/>
  <c r="AH60" i="30"/>
  <c r="AH108" i="30"/>
  <c r="AH95" i="30"/>
  <c r="AH90" i="30"/>
  <c r="AH31" i="30"/>
  <c r="AH92" i="30"/>
  <c r="AH107" i="30"/>
  <c r="AH58" i="30"/>
  <c r="AH106" i="30"/>
  <c r="AH37" i="30"/>
  <c r="AH41" i="30"/>
  <c r="AH98" i="30"/>
  <c r="AH9" i="30"/>
  <c r="AH105" i="30"/>
  <c r="AH56" i="30"/>
  <c r="AH104" i="30"/>
  <c r="AH81" i="30"/>
  <c r="AH76" i="30"/>
  <c r="AH3" i="30"/>
  <c r="AH115" i="30"/>
  <c r="AH103" i="30"/>
  <c r="AH54" i="30"/>
  <c r="AH102" i="30"/>
  <c r="AH124" i="30"/>
  <c r="AH132" i="30"/>
  <c r="AH8" i="30"/>
  <c r="AH88" i="30"/>
  <c r="AH101" i="30"/>
  <c r="AH52" i="30"/>
  <c r="AH100" i="30"/>
  <c r="AH5" i="30"/>
  <c r="AH27" i="30"/>
  <c r="AH135" i="30"/>
  <c r="AH24" i="30"/>
  <c r="BU2" i="30"/>
  <c r="AH99" i="30"/>
  <c r="AH50" i="30"/>
  <c r="AH53" i="30"/>
  <c r="AH33" i="30"/>
  <c r="AH14" i="30"/>
  <c r="AH67" i="30"/>
  <c r="AH83" i="30"/>
  <c r="AH43" i="30"/>
  <c r="AH126" i="30"/>
  <c r="AH46" i="30"/>
  <c r="AH25" i="30"/>
  <c r="AH26" i="30"/>
  <c r="AH44" i="30"/>
  <c r="AH22" i="30"/>
  <c r="AH134" i="30"/>
  <c r="AH66" i="30"/>
  <c r="AH62" i="30"/>
  <c r="AH18" i="30"/>
  <c r="AH94" i="30"/>
  <c r="AH30" i="30"/>
  <c r="AH91" i="30"/>
  <c r="AH86" i="30"/>
  <c r="AH87" i="30"/>
  <c r="AH57" i="30"/>
  <c r="AH28" i="30"/>
  <c r="AH48" i="30"/>
  <c r="AH45" i="30"/>
  <c r="AH32" i="30"/>
  <c r="AH35" i="30"/>
  <c r="AH42" i="30"/>
  <c r="AH79" i="30"/>
  <c r="AH49" i="30"/>
  <c r="AH20" i="30"/>
  <c r="AH133" i="30"/>
  <c r="AH39" i="30"/>
  <c r="AH84" i="30"/>
  <c r="AH78" i="30"/>
  <c r="AH17" i="30"/>
  <c r="AH131" i="30"/>
  <c r="AH65" i="30"/>
  <c r="AH47" i="30"/>
  <c r="AH125" i="30"/>
  <c r="AH89" i="30"/>
  <c r="AH77" i="30"/>
  <c r="AH36" i="30"/>
  <c r="AH82" i="30"/>
  <c r="AH122" i="30"/>
  <c r="AH19" i="30"/>
  <c r="AH120" i="30"/>
  <c r="AH63" i="30"/>
  <c r="AH73" i="30"/>
  <c r="AH6" i="30"/>
  <c r="AH96" i="30"/>
  <c r="AH127" i="30"/>
  <c r="AH4" i="30"/>
  <c r="AH118" i="30"/>
  <c r="AH71" i="30"/>
  <c r="AH130" i="30"/>
  <c r="AH34" i="30"/>
  <c r="AH80" i="30"/>
  <c r="AH113" i="30"/>
  <c r="AH121" i="30"/>
  <c r="AH116" i="30"/>
  <c r="AH55" i="30"/>
  <c r="AH38" i="30"/>
  <c r="AH13" i="30"/>
  <c r="AH11" i="30"/>
  <c r="AH74" i="30"/>
  <c r="AH16" i="30"/>
  <c r="AH119" i="30"/>
  <c r="AH136" i="30"/>
  <c r="AH114" i="30"/>
  <c r="AH12" i="30"/>
  <c r="AH64" i="30"/>
  <c r="AH29" i="30"/>
  <c r="AH21" i="30"/>
  <c r="AH75" i="30"/>
  <c r="CE13" i="30"/>
  <c r="CE12" i="30"/>
  <c r="S37" i="48"/>
  <c r="U14" i="31" s="1"/>
  <c r="S28" i="48"/>
  <c r="U5" i="31" s="1"/>
  <c r="S38" i="48"/>
  <c r="U15" i="31" s="1"/>
  <c r="S39" i="48"/>
  <c r="U16" i="31" s="1"/>
  <c r="S40" i="48"/>
  <c r="U17" i="31" s="1"/>
  <c r="S29" i="48"/>
  <c r="U6" i="31" s="1"/>
  <c r="S30" i="48"/>
  <c r="U7" i="31" s="1"/>
  <c r="S31" i="48"/>
  <c r="U8" i="31" s="1"/>
  <c r="S32" i="48"/>
  <c r="U9" i="31" s="1"/>
  <c r="S33" i="48"/>
  <c r="U10" i="31" s="1"/>
  <c r="S34" i="48"/>
  <c r="U11" i="31" s="1"/>
  <c r="S35" i="48"/>
  <c r="U12" i="31" s="1"/>
  <c r="S36" i="48"/>
  <c r="U13" i="31" s="1"/>
  <c r="CE11" i="30"/>
  <c r="CE2" i="30"/>
  <c r="CE10" i="30"/>
  <c r="S27" i="48"/>
  <c r="U31" i="31" s="1"/>
  <c r="CE7" i="30"/>
  <c r="CE6" i="30"/>
  <c r="CE4" i="30"/>
  <c r="CE8" i="30"/>
  <c r="CE9" i="30"/>
  <c r="S18" i="48"/>
  <c r="U22" i="31" s="1"/>
  <c r="S25" i="48"/>
  <c r="U29" i="31" s="1"/>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7" i="48"/>
  <c r="I10"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H7" i="48"/>
  <c r="J10"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L585" i="30" s="1"/>
  <c r="AM585" i="30" s="1"/>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L360" i="30" s="1"/>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J1241" i="30"/>
  <c r="AI1230" i="30"/>
  <c r="AL1230" i="30" s="1"/>
  <c r="AM1230" i="30" s="1"/>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L930" i="30" s="1"/>
  <c r="AT930" i="30" s="1"/>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L191" i="30" s="1"/>
  <c r="AO191" i="30" s="1"/>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J215" i="30"/>
  <c r="AJ211" i="30"/>
  <c r="AJ207" i="30"/>
  <c r="AJ188" i="30"/>
  <c r="AJ172" i="30"/>
  <c r="AI135" i="30"/>
  <c r="AI82" i="30"/>
  <c r="AJ139" i="30"/>
  <c r="AJ68" i="30"/>
  <c r="AI68" i="30"/>
  <c r="AJ154" i="30"/>
  <c r="AJ150" i="30"/>
  <c r="AL150" i="30" s="1"/>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L139" i="30" s="1"/>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G2" i="30"/>
  <c r="AH2" i="30" s="1"/>
  <c r="AK2" i="30"/>
  <c r="AJ2" i="30"/>
  <c r="T23" i="35"/>
  <c r="S15" i="35"/>
  <c r="T15" i="35" s="1"/>
  <c r="T20" i="35"/>
  <c r="T17" i="35"/>
  <c r="T22" i="35"/>
  <c r="T24" i="35"/>
  <c r="T26" i="35"/>
  <c r="T18" i="35"/>
  <c r="T25" i="35"/>
  <c r="AL219" i="30" l="1"/>
  <c r="AQ219" i="30" s="1"/>
  <c r="AL11" i="30"/>
  <c r="AO11" i="30" s="1"/>
  <c r="AL580" i="30"/>
  <c r="AT580" i="30" s="1"/>
  <c r="AL647" i="30"/>
  <c r="AM647" i="30" s="1"/>
  <c r="AL548" i="30"/>
  <c r="AT548" i="30" s="1"/>
  <c r="AL28" i="30"/>
  <c r="AM28" i="30" s="1"/>
  <c r="AL1256" i="30"/>
  <c r="AQ1256" i="30" s="1"/>
  <c r="AL931" i="30"/>
  <c r="AT931" i="30" s="1"/>
  <c r="AL1246" i="30"/>
  <c r="AN1246" i="30" s="1"/>
  <c r="AP1246" i="30" s="1"/>
  <c r="AL1055" i="30"/>
  <c r="AR1055" i="30" s="1"/>
  <c r="AL697" i="30"/>
  <c r="AQ697" i="30" s="1"/>
  <c r="AL503" i="30"/>
  <c r="AQ503" i="30" s="1"/>
  <c r="AL192" i="30"/>
  <c r="AN192" i="30" s="1"/>
  <c r="AP192" i="30" s="1"/>
  <c r="AL554" i="30"/>
  <c r="AN554" i="30" s="1"/>
  <c r="AP554" i="30" s="1"/>
  <c r="AL1128" i="30"/>
  <c r="AO1128" i="30" s="1"/>
  <c r="AL100" i="30"/>
  <c r="AR100" i="30" s="1"/>
  <c r="AL207" i="30"/>
  <c r="AR207" i="30" s="1"/>
  <c r="AL297" i="30"/>
  <c r="AO297" i="30" s="1"/>
  <c r="AL160" i="30"/>
  <c r="AM160" i="30" s="1"/>
  <c r="AL654" i="30"/>
  <c r="AT654" i="30" s="1"/>
  <c r="AL922" i="30"/>
  <c r="AL1197" i="30"/>
  <c r="AQ1197" i="30" s="1"/>
  <c r="AQ1230" i="30"/>
  <c r="AL108" i="30"/>
  <c r="AM108" i="30" s="1"/>
  <c r="AL91" i="30"/>
  <c r="AL1228" i="30"/>
  <c r="AL504" i="30"/>
  <c r="AL272" i="30"/>
  <c r="AN272" i="30" s="1"/>
  <c r="AP272" i="30" s="1"/>
  <c r="AL572" i="30"/>
  <c r="AO572" i="30" s="1"/>
  <c r="AL808" i="30"/>
  <c r="AO808" i="30" s="1"/>
  <c r="AL881" i="30"/>
  <c r="AL208" i="30"/>
  <c r="AO208" i="30" s="1"/>
  <c r="AL223" i="30"/>
  <c r="AN223" i="30" s="1"/>
  <c r="AP223" i="30" s="1"/>
  <c r="AL345" i="30"/>
  <c r="AL451" i="30"/>
  <c r="AQ451" i="30" s="1"/>
  <c r="AL942" i="30"/>
  <c r="AN942" i="30" s="1"/>
  <c r="AP942" i="30" s="1"/>
  <c r="AL114" i="30"/>
  <c r="AM114" i="30" s="1"/>
  <c r="AL216" i="30"/>
  <c r="AQ216" i="30" s="1"/>
  <c r="AL340" i="30"/>
  <c r="AO340" i="30" s="1"/>
  <c r="AL845" i="30"/>
  <c r="AN845" i="30" s="1"/>
  <c r="AP845" i="30" s="1"/>
  <c r="AL65" i="30"/>
  <c r="U32" i="31"/>
  <c r="AL400" i="30"/>
  <c r="AQ400" i="30" s="1"/>
  <c r="AL665" i="30"/>
  <c r="AM665" i="30" s="1"/>
  <c r="AL427" i="30"/>
  <c r="AL58" i="30"/>
  <c r="AM58" i="30" s="1"/>
  <c r="AL671" i="30"/>
  <c r="AM671" i="30" s="1"/>
  <c r="AL352" i="30"/>
  <c r="AM352" i="30" s="1"/>
  <c r="AL1060" i="30"/>
  <c r="AR1060" i="30" s="1"/>
  <c r="AL915" i="30"/>
  <c r="AO915" i="30" s="1"/>
  <c r="AL679" i="30"/>
  <c r="AR679" i="30" s="1"/>
  <c r="AL401" i="30"/>
  <c r="AL1255" i="30"/>
  <c r="AM1255" i="30" s="1"/>
  <c r="AL545" i="30"/>
  <c r="AL658" i="30"/>
  <c r="AO658" i="30" s="1"/>
  <c r="AL1280" i="30"/>
  <c r="AQ1280" i="30" s="1"/>
  <c r="AL434" i="30"/>
  <c r="AR434" i="30" s="1"/>
  <c r="AL543" i="30"/>
  <c r="AN543" i="30" s="1"/>
  <c r="AP543" i="30" s="1"/>
  <c r="AL137" i="30"/>
  <c r="AL456" i="30"/>
  <c r="AM456" i="30" s="1"/>
  <c r="AL142" i="30"/>
  <c r="AM142" i="30" s="1"/>
  <c r="AL51" i="30"/>
  <c r="AM51" i="30" s="1"/>
  <c r="AL175" i="30"/>
  <c r="AL800" i="30"/>
  <c r="AQ800" i="30" s="1"/>
  <c r="AL747" i="30"/>
  <c r="AL1214" i="30"/>
  <c r="AT1214" i="30" s="1"/>
  <c r="AT1230" i="30"/>
  <c r="AR1230" i="30"/>
  <c r="AN1230" i="30"/>
  <c r="AP1230" i="30" s="1"/>
  <c r="AL105" i="30"/>
  <c r="AN105" i="30" s="1"/>
  <c r="AP105" i="30" s="1"/>
  <c r="AL269" i="30"/>
  <c r="AO269" i="30" s="1"/>
  <c r="AL643" i="30"/>
  <c r="AR643" i="30" s="1"/>
  <c r="AL806" i="30"/>
  <c r="AL1216" i="30"/>
  <c r="AL180" i="30"/>
  <c r="AL362" i="30"/>
  <c r="AL414" i="30"/>
  <c r="AQ414" i="30" s="1"/>
  <c r="AL934" i="30"/>
  <c r="AM934" i="30" s="1"/>
  <c r="AL799" i="30"/>
  <c r="AL1179" i="30"/>
  <c r="AT1179" i="30" s="1"/>
  <c r="AL582" i="30"/>
  <c r="AN582" i="30" s="1"/>
  <c r="AP582" i="30" s="1"/>
  <c r="AO1230" i="30"/>
  <c r="AL307" i="30"/>
  <c r="AQ307" i="30" s="1"/>
  <c r="AL492" i="30"/>
  <c r="AR492" i="30" s="1"/>
  <c r="AL253" i="30"/>
  <c r="AR253" i="30" s="1"/>
  <c r="AL966" i="30"/>
  <c r="AQ966" i="30" s="1"/>
  <c r="AL1067" i="30"/>
  <c r="AM1067" i="30" s="1"/>
  <c r="AN191" i="30"/>
  <c r="AP191" i="30" s="1"/>
  <c r="AL308" i="30"/>
  <c r="AN308" i="30" s="1"/>
  <c r="AP308" i="30" s="1"/>
  <c r="AL311" i="30"/>
  <c r="AR311" i="30" s="1"/>
  <c r="AL570" i="30"/>
  <c r="AT570" i="30" s="1"/>
  <c r="AL389" i="30"/>
  <c r="AN389" i="30" s="1"/>
  <c r="AP389" i="30" s="1"/>
  <c r="AL157" i="30"/>
  <c r="AN157" i="30" s="1"/>
  <c r="AP157" i="30" s="1"/>
  <c r="AL370" i="30"/>
  <c r="AO370" i="30" s="1"/>
  <c r="AL556" i="30"/>
  <c r="AM556" i="30" s="1"/>
  <c r="AL1022" i="30"/>
  <c r="AQ1022" i="30" s="1"/>
  <c r="AL813" i="30"/>
  <c r="AT813" i="30" s="1"/>
  <c r="AL1063" i="30"/>
  <c r="AO1063" i="30" s="1"/>
  <c r="AL927" i="30"/>
  <c r="AQ927" i="30" s="1"/>
  <c r="AL597" i="30"/>
  <c r="AQ597" i="30" s="1"/>
  <c r="AL711" i="30"/>
  <c r="AM711" i="30" s="1"/>
  <c r="AL777" i="30"/>
  <c r="AN777" i="30" s="1"/>
  <c r="AP777" i="30" s="1"/>
  <c r="AL1036" i="30"/>
  <c r="AM1036" i="30" s="1"/>
  <c r="AL1195" i="30"/>
  <c r="AT1195" i="30" s="1"/>
  <c r="AL589" i="30"/>
  <c r="AQ589" i="30" s="1"/>
  <c r="AL689" i="30"/>
  <c r="AN689" i="30" s="1"/>
  <c r="AP689" i="30" s="1"/>
  <c r="AL698" i="30"/>
  <c r="AT698" i="30" s="1"/>
  <c r="AL935" i="30"/>
  <c r="AT935" i="30" s="1"/>
  <c r="AL1273" i="30"/>
  <c r="AT1273" i="30" s="1"/>
  <c r="AL448" i="30"/>
  <c r="AQ448" i="30" s="1"/>
  <c r="AL1182" i="30"/>
  <c r="AT1182" i="30" s="1"/>
  <c r="AL1282" i="30"/>
  <c r="AM1282" i="30" s="1"/>
  <c r="AL593" i="30"/>
  <c r="AO593" i="30" s="1"/>
  <c r="AL1134" i="30"/>
  <c r="AL264" i="30"/>
  <c r="AR264" i="30" s="1"/>
  <c r="AL552" i="30"/>
  <c r="AO552" i="30" s="1"/>
  <c r="AL288" i="30"/>
  <c r="AN288" i="30" s="1"/>
  <c r="AP288" i="30" s="1"/>
  <c r="AL457" i="30"/>
  <c r="AT457" i="30" s="1"/>
  <c r="AL564" i="30"/>
  <c r="AN564" i="30" s="1"/>
  <c r="AP564" i="30" s="1"/>
  <c r="AL816" i="30"/>
  <c r="AT816" i="30" s="1"/>
  <c r="AL1166" i="30"/>
  <c r="AR1166" i="30" s="1"/>
  <c r="AL916" i="30"/>
  <c r="AT916" i="30" s="1"/>
  <c r="AL785" i="30"/>
  <c r="AQ785" i="30" s="1"/>
  <c r="AL937" i="30"/>
  <c r="AN937" i="30" s="1"/>
  <c r="AP937" i="30" s="1"/>
  <c r="AL958" i="30"/>
  <c r="AT958" i="30" s="1"/>
  <c r="AL1051" i="30"/>
  <c r="AO1051" i="30" s="1"/>
  <c r="AL259" i="30"/>
  <c r="AM259" i="30" s="1"/>
  <c r="AL727" i="30"/>
  <c r="AQ727" i="30" s="1"/>
  <c r="AL550" i="30"/>
  <c r="AN550" i="30" s="1"/>
  <c r="AP550" i="30" s="1"/>
  <c r="AL773" i="30"/>
  <c r="AQ773" i="30" s="1"/>
  <c r="AL663" i="30"/>
  <c r="AN663" i="30" s="1"/>
  <c r="AP663" i="30" s="1"/>
  <c r="AL793" i="30"/>
  <c r="AL1268" i="30"/>
  <c r="AR1268" i="30" s="1"/>
  <c r="AL499" i="30"/>
  <c r="AN499" i="30" s="1"/>
  <c r="AP499" i="30" s="1"/>
  <c r="AL1262" i="30"/>
  <c r="AL125" i="30"/>
  <c r="AL225" i="30"/>
  <c r="AN225" i="30" s="1"/>
  <c r="AP225" i="30" s="1"/>
  <c r="AL1232" i="30"/>
  <c r="AL576" i="30"/>
  <c r="AN576" i="30" s="1"/>
  <c r="AP576" i="30" s="1"/>
  <c r="AL227" i="30"/>
  <c r="AN227" i="30" s="1"/>
  <c r="AP227" i="30" s="1"/>
  <c r="AL673" i="30"/>
  <c r="AM673" i="30" s="1"/>
  <c r="AL651" i="30"/>
  <c r="AQ651" i="30" s="1"/>
  <c r="AL129" i="30"/>
  <c r="AL89" i="30"/>
  <c r="AN89" i="30" s="1"/>
  <c r="AP89" i="30" s="1"/>
  <c r="AL330" i="30"/>
  <c r="AQ330" i="30" s="1"/>
  <c r="AL601" i="30"/>
  <c r="AT601" i="30" s="1"/>
  <c r="AL76" i="30"/>
  <c r="AT76" i="30" s="1"/>
  <c r="AL452" i="30"/>
  <c r="AM452" i="30" s="1"/>
  <c r="AL666" i="30"/>
  <c r="AM666" i="30" s="1"/>
  <c r="AL566" i="30"/>
  <c r="AT566" i="30" s="1"/>
  <c r="AL1035" i="30"/>
  <c r="AR1035" i="30" s="1"/>
  <c r="AL633" i="30"/>
  <c r="AT633" i="30" s="1"/>
  <c r="AL923" i="30"/>
  <c r="AM923" i="30" s="1"/>
  <c r="AL1157" i="30"/>
  <c r="AM1157" i="30" s="1"/>
  <c r="AL484" i="30"/>
  <c r="AR484" i="30" s="1"/>
  <c r="AL848" i="30"/>
  <c r="AM848" i="30" s="1"/>
  <c r="AL929" i="30"/>
  <c r="AM929" i="30" s="1"/>
  <c r="AL1136" i="30"/>
  <c r="AT1136" i="30" s="1"/>
  <c r="AL1052" i="30"/>
  <c r="AR1052" i="30" s="1"/>
  <c r="AL703" i="30"/>
  <c r="AR703" i="30" s="1"/>
  <c r="AL659" i="30"/>
  <c r="AR659" i="30" s="1"/>
  <c r="AL667" i="30"/>
  <c r="AO667" i="30" s="1"/>
  <c r="AL1177" i="30"/>
  <c r="AT1177" i="30" s="1"/>
  <c r="AL1251" i="30"/>
  <c r="AT1251" i="30" s="1"/>
  <c r="AL203" i="30"/>
  <c r="AM203" i="30" s="1"/>
  <c r="AL329" i="30"/>
  <c r="AQ329" i="30" s="1"/>
  <c r="AL281" i="30"/>
  <c r="AQ281" i="30" s="1"/>
  <c r="AL413" i="30"/>
  <c r="AN413" i="30" s="1"/>
  <c r="AP413" i="30" s="1"/>
  <c r="AL197" i="30"/>
  <c r="AT197" i="30" s="1"/>
  <c r="AL508" i="30"/>
  <c r="AR508" i="30" s="1"/>
  <c r="AL588" i="30"/>
  <c r="AL1006" i="30"/>
  <c r="AO1006" i="30" s="1"/>
  <c r="AL1247" i="30"/>
  <c r="AL615" i="30"/>
  <c r="AQ615" i="30" s="1"/>
  <c r="AL1140" i="30"/>
  <c r="AL328" i="30"/>
  <c r="AL618" i="30"/>
  <c r="AM618" i="30" s="1"/>
  <c r="AL681" i="30"/>
  <c r="AT681" i="30" s="1"/>
  <c r="AL865" i="30"/>
  <c r="AM191" i="30"/>
  <c r="AQ572" i="30"/>
  <c r="AQ930" i="30"/>
  <c r="AR543" i="30"/>
  <c r="AL193" i="30"/>
  <c r="AT193" i="30" s="1"/>
  <c r="AL195" i="30"/>
  <c r="AR195" i="30" s="1"/>
  <c r="AL265" i="30"/>
  <c r="AO265" i="30" s="1"/>
  <c r="AL430" i="30"/>
  <c r="AQ430" i="30" s="1"/>
  <c r="AL145" i="30"/>
  <c r="AR145" i="30" s="1"/>
  <c r="AL919" i="30"/>
  <c r="AN919" i="30" s="1"/>
  <c r="AP919" i="30" s="1"/>
  <c r="AL1185" i="30"/>
  <c r="AL417" i="30"/>
  <c r="AR417" i="30" s="1"/>
  <c r="AL1130" i="30"/>
  <c r="AR1130" i="30" s="1"/>
  <c r="AL8" i="30"/>
  <c r="AL25" i="30"/>
  <c r="AT25" i="30" s="1"/>
  <c r="AL1193" i="30"/>
  <c r="AQ191" i="30"/>
  <c r="AQ543" i="30"/>
  <c r="AR191" i="30"/>
  <c r="AL314" i="30"/>
  <c r="AM314" i="30" s="1"/>
  <c r="AL974" i="30"/>
  <c r="AL798" i="30"/>
  <c r="AL1059" i="30"/>
  <c r="AN1059" i="30" s="1"/>
  <c r="AP1059" i="30" s="1"/>
  <c r="AL592" i="30"/>
  <c r="AT592" i="30" s="1"/>
  <c r="AL1187" i="30"/>
  <c r="AT1187" i="30" s="1"/>
  <c r="AQ643" i="30"/>
  <c r="AN773" i="30"/>
  <c r="AP773"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R655" i="30" s="1"/>
  <c r="AL646" i="30"/>
  <c r="AO646" i="30" s="1"/>
  <c r="AL426" i="30"/>
  <c r="AM426" i="30" s="1"/>
  <c r="AL1068" i="30"/>
  <c r="AN1068" i="30" s="1"/>
  <c r="AP1068" i="30" s="1"/>
  <c r="AL1044" i="30"/>
  <c r="AO1044" i="30" s="1"/>
  <c r="AL978" i="30"/>
  <c r="AL962" i="30"/>
  <c r="AR962" i="30" s="1"/>
  <c r="AL946" i="30"/>
  <c r="AQ946" i="30" s="1"/>
  <c r="AL938" i="30"/>
  <c r="AT938" i="30" s="1"/>
  <c r="AL544" i="30"/>
  <c r="AR544" i="30" s="1"/>
  <c r="AL1004" i="30"/>
  <c r="AN1004" i="30" s="1"/>
  <c r="AP1004" i="30" s="1"/>
  <c r="AL1039" i="30"/>
  <c r="AR1039" i="30" s="1"/>
  <c r="AL1043" i="30"/>
  <c r="AO1043" i="30" s="1"/>
  <c r="AL578" i="30"/>
  <c r="AM578" i="30" s="1"/>
  <c r="AL1002" i="30"/>
  <c r="AM1002" i="30" s="1"/>
  <c r="AT191" i="30"/>
  <c r="AL367" i="30"/>
  <c r="AT367" i="30" s="1"/>
  <c r="AL163" i="30"/>
  <c r="AT163" i="30" s="1"/>
  <c r="AL181" i="30"/>
  <c r="AR181" i="30" s="1"/>
  <c r="AL257" i="30"/>
  <c r="AM257" i="30" s="1"/>
  <c r="AL365" i="30"/>
  <c r="AT365" i="30" s="1"/>
  <c r="AL735" i="30"/>
  <c r="AL994" i="30"/>
  <c r="AQ994" i="30" s="1"/>
  <c r="AL626" i="30"/>
  <c r="AR626" i="30" s="1"/>
  <c r="AL1173" i="30"/>
  <c r="AL1208" i="30"/>
  <c r="AL677" i="30"/>
  <c r="AO677" i="30" s="1"/>
  <c r="AL140" i="30"/>
  <c r="AT140" i="30" s="1"/>
  <c r="AL402" i="30"/>
  <c r="AL837" i="30"/>
  <c r="AL1146" i="30"/>
  <c r="AO1146" i="30" s="1"/>
  <c r="AL24" i="30"/>
  <c r="AT340" i="30"/>
  <c r="AL476" i="30"/>
  <c r="AO476" i="30" s="1"/>
  <c r="AM930" i="30"/>
  <c r="AR930" i="30"/>
  <c r="AL558" i="30"/>
  <c r="AO558" i="30" s="1"/>
  <c r="AL675" i="30"/>
  <c r="AT675" i="30" s="1"/>
  <c r="AL926" i="30"/>
  <c r="AR926" i="30" s="1"/>
  <c r="AL87" i="30"/>
  <c r="AL189" i="30"/>
  <c r="AR189" i="30" s="1"/>
  <c r="AL410" i="30"/>
  <c r="AM410" i="30" s="1"/>
  <c r="AL171" i="30"/>
  <c r="AR171" i="30" s="1"/>
  <c r="AL562" i="30"/>
  <c r="AN562" i="30" s="1"/>
  <c r="AP562" i="30" s="1"/>
  <c r="AL574" i="30"/>
  <c r="AN574" i="30" s="1"/>
  <c r="AP574" i="30" s="1"/>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M896" i="30" s="1"/>
  <c r="AL1231" i="30"/>
  <c r="AN1231" i="30" s="1"/>
  <c r="AP1231" i="30" s="1"/>
  <c r="AL624" i="30"/>
  <c r="AT624" i="30" s="1"/>
  <c r="AL1240" i="30"/>
  <c r="AL29" i="30"/>
  <c r="AR29" i="30" s="1"/>
  <c r="AL50" i="30"/>
  <c r="AM50" i="30" s="1"/>
  <c r="AL224" i="30"/>
  <c r="AL371" i="30"/>
  <c r="AM371" i="30" s="1"/>
  <c r="AL299" i="30"/>
  <c r="AR299" i="30" s="1"/>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O1010" i="30" s="1"/>
  <c r="AL920" i="30"/>
  <c r="AR920" i="30" s="1"/>
  <c r="AL1148" i="30"/>
  <c r="AM1148" i="30" s="1"/>
  <c r="AL215" i="30"/>
  <c r="AR215" i="30" s="1"/>
  <c r="AL874" i="30"/>
  <c r="AL998" i="30"/>
  <c r="AN998" i="30" s="1"/>
  <c r="AP998" i="30" s="1"/>
  <c r="AL298" i="30"/>
  <c r="AQ298" i="30" s="1"/>
  <c r="AL85" i="30"/>
  <c r="AL444" i="30"/>
  <c r="AL855" i="30"/>
  <c r="AO855" i="30" s="1"/>
  <c r="AL1263" i="30"/>
  <c r="AO1263" i="30" s="1"/>
  <c r="AL1279" i="30"/>
  <c r="AL296" i="30"/>
  <c r="AL744" i="30"/>
  <c r="AL1181" i="30"/>
  <c r="AL422" i="30"/>
  <c r="AL1138" i="30"/>
  <c r="AO1138" i="30" s="1"/>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Q856" i="30" s="1"/>
  <c r="AL1020" i="30"/>
  <c r="AN1020" i="30" s="1"/>
  <c r="AP1020" i="30" s="1"/>
  <c r="AL691" i="30"/>
  <c r="AL743" i="30"/>
  <c r="AO743" i="30" s="1"/>
  <c r="AL1016" i="30"/>
  <c r="AO1016" i="30" s="1"/>
  <c r="AL1030" i="30"/>
  <c r="AT1030" i="30" s="1"/>
  <c r="AL1018" i="30"/>
  <c r="AN1018" i="30" s="1"/>
  <c r="AP1018" i="30" s="1"/>
  <c r="AL614" i="30"/>
  <c r="AT614" i="30" s="1"/>
  <c r="AL1056" i="30"/>
  <c r="AM1056" i="30" s="1"/>
  <c r="AL1159" i="30"/>
  <c r="AQ1159" i="30" s="1"/>
  <c r="AL712" i="30"/>
  <c r="AO712" i="30" s="1"/>
  <c r="AL714" i="30"/>
  <c r="AM714" i="30" s="1"/>
  <c r="AL420" i="30"/>
  <c r="AL1169" i="30"/>
  <c r="AL1248" i="30"/>
  <c r="AL622" i="30"/>
  <c r="AT622" i="30" s="1"/>
  <c r="AL1191" i="30"/>
  <c r="AN1191" i="30" s="1"/>
  <c r="AP1191" i="30" s="1"/>
  <c r="AL829" i="30"/>
  <c r="AM829" i="30" s="1"/>
  <c r="AL1150" i="30"/>
  <c r="AQ1150" i="30" s="1"/>
  <c r="AL1154" i="30"/>
  <c r="AQ1154" i="30" s="1"/>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M1032" i="30" s="1"/>
  <c r="AL682" i="30"/>
  <c r="AN682" i="30" s="1"/>
  <c r="AP682" i="30" s="1"/>
  <c r="AL706" i="30"/>
  <c r="AN706" i="30" s="1"/>
  <c r="AP706" i="30" s="1"/>
  <c r="AL628" i="30"/>
  <c r="AO628" i="30" s="1"/>
  <c r="AL376" i="30"/>
  <c r="AL1175" i="30"/>
  <c r="AL1200" i="30"/>
  <c r="AQ1200" i="30" s="1"/>
  <c r="AL14" i="30"/>
  <c r="AM14" i="30" s="1"/>
  <c r="AL126" i="30"/>
  <c r="AT126" i="30" s="1"/>
  <c r="AL4" i="30"/>
  <c r="AQ4" i="30" s="1"/>
  <c r="AN930" i="30"/>
  <c r="AP930" i="30" s="1"/>
  <c r="AL339" i="30"/>
  <c r="AL321" i="30"/>
  <c r="AL306" i="30"/>
  <c r="AL338" i="30"/>
  <c r="AL709" i="30"/>
  <c r="AO709" i="30" s="1"/>
  <c r="AL1144" i="30"/>
  <c r="AT1144" i="30" s="1"/>
  <c r="AL1212" i="30"/>
  <c r="AL1163" i="30"/>
  <c r="AM1163" i="30" s="1"/>
  <c r="AL136" i="30"/>
  <c r="A7" i="31"/>
  <c r="C12" i="31" s="1"/>
  <c r="AL57" i="30"/>
  <c r="AL393" i="30"/>
  <c r="AN393" i="30" s="1"/>
  <c r="AP393" i="30" s="1"/>
  <c r="AL361" i="30"/>
  <c r="AT361" i="30" s="1"/>
  <c r="AL251" i="30"/>
  <c r="AL283" i="30"/>
  <c r="AL918" i="30"/>
  <c r="AO918" i="30" s="1"/>
  <c r="AO930" i="30"/>
  <c r="AL261" i="30"/>
  <c r="AL54" i="30"/>
  <c r="AL291" i="30"/>
  <c r="AL294" i="30"/>
  <c r="AL326" i="30"/>
  <c r="AL138" i="30"/>
  <c r="AN138" i="30" s="1"/>
  <c r="AP138" i="30" s="1"/>
  <c r="AL327" i="30"/>
  <c r="AQ327" i="30" s="1"/>
  <c r="AL316" i="30"/>
  <c r="AL511" i="30"/>
  <c r="AL17" i="30"/>
  <c r="AO17" i="30" s="1"/>
  <c r="AL21" i="30"/>
  <c r="AN21" i="30" s="1"/>
  <c r="AP21" i="30" s="1"/>
  <c r="AL2" i="30"/>
  <c r="AT2" i="30" s="1"/>
  <c r="AT585" i="30"/>
  <c r="AO585" i="30"/>
  <c r="AR585" i="30"/>
  <c r="AN585" i="30"/>
  <c r="AP585" i="30" s="1"/>
  <c r="AL797" i="30"/>
  <c r="AM797" i="30" s="1"/>
  <c r="AL858" i="30"/>
  <c r="AR858" i="30" s="1"/>
  <c r="AL1227" i="30"/>
  <c r="AL107" i="30"/>
  <c r="AL39" i="30"/>
  <c r="AL280" i="30"/>
  <c r="AL16" i="30"/>
  <c r="AL986" i="30"/>
  <c r="AM986" i="30" s="1"/>
  <c r="AL970" i="30"/>
  <c r="AL954" i="30"/>
  <c r="AO954" i="30" s="1"/>
  <c r="AL285" i="30"/>
  <c r="AN285" i="30" s="1"/>
  <c r="AP285" i="30" s="1"/>
  <c r="AL317" i="30"/>
  <c r="AL233" i="30"/>
  <c r="AL310" i="30"/>
  <c r="AL557" i="30"/>
  <c r="AQ557" i="30" s="1"/>
  <c r="AL1012" i="30"/>
  <c r="AL571" i="30"/>
  <c r="AT571" i="30" s="1"/>
  <c r="AL863" i="30"/>
  <c r="AL491" i="30"/>
  <c r="AL899" i="30"/>
  <c r="AO899" i="30" s="1"/>
  <c r="AL749" i="30"/>
  <c r="AL650" i="30"/>
  <c r="AT650" i="30" s="1"/>
  <c r="AL778" i="30"/>
  <c r="AO778" i="30" s="1"/>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O642" i="30" s="1"/>
  <c r="AL443" i="30"/>
  <c r="AL636" i="30"/>
  <c r="AR636" i="30" s="1"/>
  <c r="AL786" i="30"/>
  <c r="AM786" i="30" s="1"/>
  <c r="AL1080" i="30"/>
  <c r="AQ1080" i="30" s="1"/>
  <c r="AL1066" i="30"/>
  <c r="AM1066" i="30" s="1"/>
  <c r="AL702" i="30"/>
  <c r="AR702" i="30" s="1"/>
  <c r="AL620" i="30"/>
  <c r="AL631" i="30"/>
  <c r="AN631" i="30" s="1"/>
  <c r="AP631" i="30" s="1"/>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N1073" i="30" s="1"/>
  <c r="AP1073" i="30" s="1"/>
  <c r="AL1125" i="30"/>
  <c r="AM1125" i="30" s="1"/>
  <c r="AL1213" i="30"/>
  <c r="AO1213" i="30" s="1"/>
  <c r="AL1091" i="30"/>
  <c r="AQ1091" i="30" s="1"/>
  <c r="AL5" i="30"/>
  <c r="AT5" i="30" s="1"/>
  <c r="AL133" i="30"/>
  <c r="AL206" i="30"/>
  <c r="AQ206" i="30" s="1"/>
  <c r="AL1153" i="30"/>
  <c r="AO1153" i="30" s="1"/>
  <c r="AL1131" i="30"/>
  <c r="AO1131" i="30" s="1"/>
  <c r="AL124" i="30"/>
  <c r="AR124" i="30" s="1"/>
  <c r="AL200" i="30"/>
  <c r="AL19" i="30"/>
  <c r="AL49" i="30"/>
  <c r="AL123" i="30"/>
  <c r="AL78" i="30"/>
  <c r="AL106" i="30"/>
  <c r="AL103" i="30"/>
  <c r="AL47" i="30"/>
  <c r="AM308" i="30"/>
  <c r="AO311" i="30"/>
  <c r="AN434" i="30"/>
  <c r="AP434" i="30" s="1"/>
  <c r="AL68" i="30"/>
  <c r="AL305" i="30"/>
  <c r="AL337" i="30"/>
  <c r="AL290" i="30"/>
  <c r="AL322" i="30"/>
  <c r="AL568" i="30"/>
  <c r="AL31" i="30"/>
  <c r="AL295" i="30"/>
  <c r="AL302" i="30"/>
  <c r="AL334" i="30"/>
  <c r="AL121" i="30"/>
  <c r="AL331" i="30"/>
  <c r="AL110" i="30"/>
  <c r="AL48" i="30"/>
  <c r="AL109" i="30"/>
  <c r="AL95" i="30"/>
  <c r="AL67" i="30"/>
  <c r="AL312" i="30"/>
  <c r="AL324" i="30"/>
  <c r="AL303" i="30"/>
  <c r="AL300" i="30"/>
  <c r="AL441" i="30"/>
  <c r="AL111" i="30"/>
  <c r="AL104" i="30"/>
  <c r="AL232" i="30"/>
  <c r="AL101" i="30"/>
  <c r="AQ434" i="30"/>
  <c r="AQ585" i="30"/>
  <c r="AL97" i="30"/>
  <c r="AL112" i="30"/>
  <c r="AL120" i="30"/>
  <c r="AL59" i="30"/>
  <c r="AL52" i="30"/>
  <c r="AL60" i="30"/>
  <c r="AL336" i="30"/>
  <c r="AL293" i="30"/>
  <c r="AL325" i="30"/>
  <c r="AL102" i="30"/>
  <c r="AO139" i="30"/>
  <c r="AQ139" i="30"/>
  <c r="AT139" i="30"/>
  <c r="AR139" i="30"/>
  <c r="AN139" i="30"/>
  <c r="AP139" i="30" s="1"/>
  <c r="AM139" i="30"/>
  <c r="AL83" i="30"/>
  <c r="AT150" i="30"/>
  <c r="AO150" i="30"/>
  <c r="AQ150" i="30"/>
  <c r="AM150" i="30"/>
  <c r="AN150" i="30"/>
  <c r="AP150" i="30" s="1"/>
  <c r="AR150" i="30"/>
  <c r="AR219" i="30"/>
  <c r="AT219" i="30"/>
  <c r="AO219" i="30"/>
  <c r="AM219" i="30"/>
  <c r="AN219" i="30"/>
  <c r="AP219" i="30" s="1"/>
  <c r="AL173" i="30"/>
  <c r="AL245" i="30"/>
  <c r="AL368" i="30"/>
  <c r="AL462" i="30"/>
  <c r="AL93" i="30"/>
  <c r="AL167" i="30"/>
  <c r="AL183" i="30"/>
  <c r="AL199" i="30"/>
  <c r="AL131" i="30"/>
  <c r="AL127"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L857" i="30"/>
  <c r="AL873" i="30"/>
  <c r="AL870" i="30"/>
  <c r="AL990"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M11" i="30"/>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Q931" i="30"/>
  <c r="AM931" i="30"/>
  <c r="AO931" i="30"/>
  <c r="AN1006" i="30"/>
  <c r="AP1006" i="30" s="1"/>
  <c r="AM798" i="30"/>
  <c r="AL549" i="30"/>
  <c r="AL547" i="30"/>
  <c r="AL563" i="30"/>
  <c r="AL720" i="30"/>
  <c r="AL796" i="30"/>
  <c r="AL812" i="30"/>
  <c r="AL860" i="30"/>
  <c r="AL1285" i="30"/>
  <c r="AL523" i="30"/>
  <c r="AL645" i="30"/>
  <c r="AL661" i="30"/>
  <c r="AL533" i="30"/>
  <c r="AL766" i="30"/>
  <c r="AL477" i="30"/>
  <c r="AL839" i="30"/>
  <c r="AL428" i="30"/>
  <c r="AL409" i="30"/>
  <c r="AL471" i="30"/>
  <c r="AL519" i="30"/>
  <c r="AL775" i="30"/>
  <c r="AL887" i="30"/>
  <c r="AL473" i="30"/>
  <c r="AL759" i="30"/>
  <c r="AL1049" i="30"/>
  <c r="AR1146" i="30"/>
  <c r="AM1146" i="30"/>
  <c r="AT1146" i="30"/>
  <c r="AQ1146" i="30"/>
  <c r="AL838" i="30"/>
  <c r="AL1223" i="30"/>
  <c r="AL475" i="30"/>
  <c r="AT360" i="30"/>
  <c r="AN360" i="30"/>
  <c r="AP360" i="30" s="1"/>
  <c r="AQ360" i="30"/>
  <c r="AO360" i="30"/>
  <c r="AM360" i="30"/>
  <c r="AR360" i="30"/>
  <c r="AL531" i="30"/>
  <c r="AL616" i="30"/>
  <c r="AL399" i="30"/>
  <c r="AL374" i="30"/>
  <c r="AL708" i="30"/>
  <c r="AL844" i="30"/>
  <c r="AL356" i="30"/>
  <c r="AL791" i="30"/>
  <c r="AL831" i="30"/>
  <c r="AL1017" i="30"/>
  <c r="AL1220" i="30"/>
  <c r="AL1272" i="30"/>
  <c r="AL1258" i="30"/>
  <c r="AL398" i="30"/>
  <c r="AL381" i="30"/>
  <c r="AL375" i="30"/>
  <c r="AL656" i="30"/>
  <c r="AL895" i="30"/>
  <c r="AL485" i="30"/>
  <c r="AL586" i="30"/>
  <c r="AL776" i="30"/>
  <c r="AL792" i="30"/>
  <c r="AL1076" i="30"/>
  <c r="AL1079" i="30"/>
  <c r="AL1042" i="30"/>
  <c r="AL1104" i="30"/>
  <c r="AL1103" i="30"/>
  <c r="AL44" i="30"/>
  <c r="AL188" i="30"/>
  <c r="AL198" i="30"/>
  <c r="AL218" i="30"/>
  <c r="AL230" i="30"/>
  <c r="AL228" i="30"/>
  <c r="AL1040" i="30"/>
  <c r="AL1110" i="30"/>
  <c r="AL62" i="30"/>
  <c r="AL22" i="30"/>
  <c r="AL1092" i="30"/>
  <c r="AL154" i="30"/>
  <c r="AL1205" i="30"/>
  <c r="AL96" i="30"/>
  <c r="AL343" i="30"/>
  <c r="AL222" i="30"/>
  <c r="AL1086" i="30"/>
  <c r="AL66" i="30"/>
  <c r="AL1190" i="30"/>
  <c r="AL141" i="30"/>
  <c r="AL349"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L366" i="30"/>
  <c r="AL80" i="30"/>
  <c r="AL201" i="30"/>
  <c r="AL185" i="30"/>
  <c r="AL364" i="30"/>
  <c r="AL407" i="30"/>
  <c r="AL231" i="30"/>
  <c r="AL247" i="30"/>
  <c r="AL263" i="30"/>
  <c r="AL279" i="30"/>
  <c r="AL500" i="30"/>
  <c r="AL596" i="30"/>
  <c r="AL1008" i="30"/>
  <c r="AL569" i="30"/>
  <c r="AL731" i="30"/>
  <c r="AL724" i="30"/>
  <c r="AL892" i="30"/>
  <c r="AL868" i="30"/>
  <c r="AL1047" i="30"/>
  <c r="AL573" i="30"/>
  <c r="AL606" i="30"/>
  <c r="AL602" i="30"/>
  <c r="AL664" i="30"/>
  <c r="AL996" i="30"/>
  <c r="AL466" i="30"/>
  <c r="AL509" i="30"/>
  <c r="AL605" i="30"/>
  <c r="AL553" i="30"/>
  <c r="AL599" i="30"/>
  <c r="AL555" i="30"/>
  <c r="AL575" i="30"/>
  <c r="AL732" i="30"/>
  <c r="AL802" i="30"/>
  <c r="AT1002" i="30"/>
  <c r="AM1179" i="30"/>
  <c r="AL432" i="30"/>
  <c r="AL442" i="30"/>
  <c r="AL649" i="30"/>
  <c r="AL522" i="30"/>
  <c r="AL630" i="30"/>
  <c r="AL730" i="30"/>
  <c r="AL818" i="30"/>
  <c r="AL883" i="30"/>
  <c r="AL603" i="30"/>
  <c r="AL925" i="30"/>
  <c r="AM1128" i="30"/>
  <c r="AR1128" i="30"/>
  <c r="AT1128" i="30"/>
  <c r="AN1128" i="30"/>
  <c r="AP1128" i="30" s="1"/>
  <c r="AL1031" i="30"/>
  <c r="AL1167" i="30"/>
  <c r="AQ1195" i="30"/>
  <c r="AN1195" i="30"/>
  <c r="AP1195" i="30" s="1"/>
  <c r="AO1195" i="30"/>
  <c r="AM1195" i="30"/>
  <c r="AL1226" i="30"/>
  <c r="AL583" i="30"/>
  <c r="AL439" i="30"/>
  <c r="AL534" i="30"/>
  <c r="AR710" i="30"/>
  <c r="AO710" i="30"/>
  <c r="AL524" i="30"/>
  <c r="AL634" i="30"/>
  <c r="AL745" i="30"/>
  <c r="AL487" i="30"/>
  <c r="AL529" i="30"/>
  <c r="AQ618" i="30"/>
  <c r="AT618" i="30"/>
  <c r="AR618" i="30"/>
  <c r="AO618" i="30"/>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L1276" i="30"/>
  <c r="AL397" i="30"/>
  <c r="AL395" i="30"/>
  <c r="AL644" i="30"/>
  <c r="AL660" i="30"/>
  <c r="AL542" i="30"/>
  <c r="AL516" i="30"/>
  <c r="AL396" i="30"/>
  <c r="AL612" i="30"/>
  <c r="AM845" i="30"/>
  <c r="AT845" i="30"/>
  <c r="AR845" i="30"/>
  <c r="AQ845" i="30"/>
  <c r="AO845" i="30"/>
  <c r="AL537" i="30"/>
  <c r="AL726" i="30"/>
  <c r="AL827" i="30"/>
  <c r="AL911" i="30"/>
  <c r="AL629" i="30"/>
  <c r="AL765" i="30"/>
  <c r="AL780" i="30"/>
  <c r="AL1084" i="30"/>
  <c r="AL1027" i="30"/>
  <c r="AL1087" i="30"/>
  <c r="AL1025" i="30"/>
  <c r="AL849" i="30"/>
  <c r="AL1141" i="30"/>
  <c r="AL1180" i="30"/>
  <c r="AL26" i="30"/>
  <c r="AL1120" i="30"/>
  <c r="AL1119" i="30"/>
  <c r="AL1198" i="30"/>
  <c r="AL147" i="30"/>
  <c r="AL238" i="30"/>
  <c r="AL1081" i="30"/>
  <c r="AL1126" i="30"/>
  <c r="AL1147" i="30"/>
  <c r="AL10"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R504" i="30"/>
  <c r="AN504" i="30"/>
  <c r="AP504" i="30" s="1"/>
  <c r="AM504" i="30"/>
  <c r="AO504" i="30"/>
  <c r="AT504" i="30"/>
  <c r="AQ504" i="30"/>
  <c r="AL27" i="30"/>
  <c r="AO76" i="30"/>
  <c r="AL179" i="30"/>
  <c r="AQ195" i="30"/>
  <c r="AT269" i="30"/>
  <c r="AQ269" i="30"/>
  <c r="AN269" i="30"/>
  <c r="AP269" i="30" s="1"/>
  <c r="AR269" i="30"/>
  <c r="AL335" i="30"/>
  <c r="AL70" i="30"/>
  <c r="AL229" i="30"/>
  <c r="AL74" i="30"/>
  <c r="AL235" i="30"/>
  <c r="AL267" i="30"/>
  <c r="AL470" i="30"/>
  <c r="AL668" i="30"/>
  <c r="AL809" i="30"/>
  <c r="AL853" i="30"/>
  <c r="AL869" i="30"/>
  <c r="AL875" i="30"/>
  <c r="AL872" i="30"/>
  <c r="AL1024" i="30"/>
  <c r="AL496" i="30"/>
  <c r="AL719" i="30"/>
  <c r="AL751" i="30"/>
  <c r="AN806" i="30"/>
  <c r="AP806" i="30" s="1"/>
  <c r="AT806" i="30"/>
  <c r="AR806" i="30"/>
  <c r="AO806" i="30"/>
  <c r="AT855" i="30"/>
  <c r="AN994" i="30"/>
  <c r="AP994" i="30" s="1"/>
  <c r="AM994" i="30"/>
  <c r="AL577" i="30"/>
  <c r="AL672" i="30"/>
  <c r="AL736" i="30"/>
  <c r="AL804" i="30"/>
  <c r="AL904" i="30"/>
  <c r="AO935" i="30"/>
  <c r="AQ935" i="30"/>
  <c r="AN935" i="30"/>
  <c r="AP935" i="30" s="1"/>
  <c r="AM935" i="30"/>
  <c r="AR935" i="30"/>
  <c r="AL864" i="30"/>
  <c r="AL480" i="30"/>
  <c r="AL498" i="30"/>
  <c r="AL635" i="30"/>
  <c r="AL795" i="30"/>
  <c r="AL811" i="30"/>
  <c r="AL851" i="30"/>
  <c r="AL862" i="30"/>
  <c r="AL908" i="30"/>
  <c r="AN923" i="30"/>
  <c r="AP923" i="30" s="1"/>
  <c r="AQ923" i="30"/>
  <c r="AR923" i="30"/>
  <c r="AO923" i="30"/>
  <c r="AT923" i="30"/>
  <c r="AL876" i="30"/>
  <c r="AL1252" i="30"/>
  <c r="AL489" i="30"/>
  <c r="AL539" i="30"/>
  <c r="AM624" i="30"/>
  <c r="AL653" i="30"/>
  <c r="AL684" i="30"/>
  <c r="AL412" i="30"/>
  <c r="AL718" i="30"/>
  <c r="AL467" i="30"/>
  <c r="AL528" i="30"/>
  <c r="AL700" i="30"/>
  <c r="AL721" i="30"/>
  <c r="AL834" i="30"/>
  <c r="AL517" i="30"/>
  <c r="AL819" i="30"/>
  <c r="AL933" i="30"/>
  <c r="AL429" i="30"/>
  <c r="AL991" i="30"/>
  <c r="AQ1136" i="30"/>
  <c r="AL1275" i="30"/>
  <c r="AL535" i="30"/>
  <c r="AL394" i="30"/>
  <c r="AL734" i="30"/>
  <c r="AL383" i="30"/>
  <c r="AL490" i="30"/>
  <c r="AL843" i="30"/>
  <c r="AL761" i="30"/>
  <c r="AO794" i="30"/>
  <c r="AL1009" i="30"/>
  <c r="AL1062"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Q1134" i="30"/>
  <c r="AN1134" i="30"/>
  <c r="AP1134" i="30" s="1"/>
  <c r="AR1134" i="30"/>
  <c r="AT1134" i="30"/>
  <c r="AL1038" i="30"/>
  <c r="AL1090" i="30"/>
  <c r="AL1015" i="30"/>
  <c r="AL1106" i="30"/>
  <c r="AL1183" i="30"/>
  <c r="AN140" i="30"/>
  <c r="AP140" i="30" s="1"/>
  <c r="AL1158" i="30"/>
  <c r="AL73" i="30"/>
  <c r="AL152" i="30"/>
  <c r="AL258" i="30"/>
  <c r="AL38" i="30"/>
  <c r="AL86" i="30"/>
  <c r="AL172" i="30"/>
  <c r="AL158" i="30"/>
  <c r="AL274" i="30"/>
  <c r="AL1074" i="30"/>
  <c r="AL1089" i="30"/>
  <c r="AL1093" i="30"/>
  <c r="AL1124" i="30"/>
  <c r="AN25" i="30"/>
  <c r="AP25" i="30" s="1"/>
  <c r="AL1123" i="30"/>
  <c r="AL1186" i="30"/>
  <c r="AN29" i="30"/>
  <c r="AP29" i="30" s="1"/>
  <c r="AT29" i="30"/>
  <c r="AL1217" i="30"/>
  <c r="AL130" i="30"/>
  <c r="AL71" i="30"/>
  <c r="AL149" i="30"/>
  <c r="AL1249" i="30"/>
  <c r="AL202" i="30"/>
  <c r="AL252" i="30"/>
  <c r="AL162" i="30"/>
  <c r="AL276" i="30"/>
  <c r="AL1033" i="30"/>
  <c r="AL1098" i="30"/>
  <c r="AL1113" i="30"/>
  <c r="AM34" i="30"/>
  <c r="AL1096" i="30"/>
  <c r="AL1095" i="30"/>
  <c r="AL84" i="30"/>
  <c r="AL146" i="30"/>
  <c r="AL79" i="30"/>
  <c r="AL194" i="30"/>
  <c r="AL266" i="30"/>
  <c r="AL210" i="30"/>
  <c r="AL1007" i="30"/>
  <c r="AL1078" i="30"/>
  <c r="AL1054"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AM946" i="30" l="1"/>
  <c r="AO29" i="30"/>
  <c r="AM269" i="30"/>
  <c r="AQ1128" i="30"/>
  <c r="AO543" i="30"/>
  <c r="AO589" i="30"/>
  <c r="AR994" i="30"/>
  <c r="AN557" i="30"/>
  <c r="AP557" i="30" s="1"/>
  <c r="AT994" i="30"/>
  <c r="AO714" i="30"/>
  <c r="AM1022" i="30"/>
  <c r="AR1022" i="30"/>
  <c r="AT1022" i="30"/>
  <c r="AO1022" i="30"/>
  <c r="AR697" i="30"/>
  <c r="AM100" i="30"/>
  <c r="AN1179" i="30"/>
  <c r="AP1179" i="30" s="1"/>
  <c r="AR1179" i="30"/>
  <c r="AT1256" i="30"/>
  <c r="AN216" i="30"/>
  <c r="AP216" i="30" s="1"/>
  <c r="AN743" i="30"/>
  <c r="AP743" i="30" s="1"/>
  <c r="AN34" i="30"/>
  <c r="AP34" i="30" s="1"/>
  <c r="AN580" i="30"/>
  <c r="AP580" i="30" s="1"/>
  <c r="AO122" i="30"/>
  <c r="AT543" i="30"/>
  <c r="AN297" i="30"/>
  <c r="AP297" i="30" s="1"/>
  <c r="AM543" i="30"/>
  <c r="AM589" i="30"/>
  <c r="AR896" i="30"/>
  <c r="AT503" i="30"/>
  <c r="AQ508" i="30"/>
  <c r="AR1136" i="30"/>
  <c r="AR624" i="30"/>
  <c r="AN571" i="30"/>
  <c r="AP571" i="30" s="1"/>
  <c r="AQ361" i="30"/>
  <c r="AM122" i="30"/>
  <c r="AO682" i="30"/>
  <c r="AM1271" i="30"/>
  <c r="AN548" i="30"/>
  <c r="AP548" i="30" s="1"/>
  <c r="AT659" i="30"/>
  <c r="AO624" i="30"/>
  <c r="AN697" i="30"/>
  <c r="AP697" i="30" s="1"/>
  <c r="AN11" i="30"/>
  <c r="AP11" i="30" s="1"/>
  <c r="AQ896" i="30"/>
  <c r="AM557" i="30"/>
  <c r="AQ1055" i="30"/>
  <c r="AQ624" i="30"/>
  <c r="AT11" i="30"/>
  <c r="AM942" i="30"/>
  <c r="AR654" i="30"/>
  <c r="AQ1131" i="30"/>
  <c r="AR1271" i="30"/>
  <c r="AO671" i="30"/>
  <c r="AN1043" i="30"/>
  <c r="AP1043" i="30" s="1"/>
  <c r="AM1144" i="30"/>
  <c r="AN711" i="30"/>
  <c r="AP711" i="30" s="1"/>
  <c r="AQ1203" i="30"/>
  <c r="AR797" i="30"/>
  <c r="AR571" i="30"/>
  <c r="AM697" i="30"/>
  <c r="AQ1271" i="30"/>
  <c r="AT58" i="30"/>
  <c r="AM773" i="30"/>
  <c r="AQ689" i="30"/>
  <c r="AO308" i="30"/>
  <c r="AR727" i="30"/>
  <c r="AT330" i="30"/>
  <c r="AR778" i="30"/>
  <c r="AQ998" i="30"/>
  <c r="AO994" i="30"/>
  <c r="AQ308" i="30"/>
  <c r="AT1200" i="30"/>
  <c r="AN618" i="30"/>
  <c r="AP618" i="30" s="1"/>
  <c r="AR11" i="30"/>
  <c r="AN414" i="30"/>
  <c r="AP414" i="30" s="1"/>
  <c r="AO626" i="30"/>
  <c r="AR14" i="30"/>
  <c r="AO1200" i="30"/>
  <c r="AR1006" i="30"/>
  <c r="AT808" i="30"/>
  <c r="AO697" i="30"/>
  <c r="AT1056" i="30"/>
  <c r="AN1056" i="30"/>
  <c r="AP1056" i="30" s="1"/>
  <c r="AM580" i="30"/>
  <c r="AN1055" i="30"/>
  <c r="AP1055" i="30" s="1"/>
  <c r="AQ311" i="30"/>
  <c r="AR773" i="30"/>
  <c r="AT689" i="30"/>
  <c r="AO580" i="30"/>
  <c r="AM1055" i="30"/>
  <c r="AN654" i="30"/>
  <c r="AP654" i="30" s="1"/>
  <c r="AT778" i="30"/>
  <c r="AQ11" i="30"/>
  <c r="AT1055" i="30"/>
  <c r="AR580" i="30"/>
  <c r="AT430" i="30"/>
  <c r="AO1055" i="30"/>
  <c r="AN145" i="30"/>
  <c r="AP145" i="30" s="1"/>
  <c r="AQ157" i="30"/>
  <c r="AT253" i="30"/>
  <c r="AM29" i="30"/>
  <c r="AQ58" i="30"/>
  <c r="AR17" i="30"/>
  <c r="AM17" i="30"/>
  <c r="AT17" i="30"/>
  <c r="AT1043" i="30"/>
  <c r="AR257" i="30"/>
  <c r="AM253" i="30"/>
  <c r="AN257" i="30"/>
  <c r="AP257" i="30" s="1"/>
  <c r="AQ253" i="30"/>
  <c r="AQ257" i="30"/>
  <c r="AT257" i="30"/>
  <c r="AO257" i="30"/>
  <c r="AQ249" i="30"/>
  <c r="AQ285" i="30"/>
  <c r="AQ797" i="30"/>
  <c r="AT1159" i="30"/>
  <c r="AQ344" i="30"/>
  <c r="AR216" i="30"/>
  <c r="AR557" i="30"/>
  <c r="AN1200" i="30"/>
  <c r="AP1200" i="30" s="1"/>
  <c r="AR808" i="30"/>
  <c r="AM1251" i="30"/>
  <c r="AM778" i="30"/>
  <c r="AO361" i="30"/>
  <c r="AO797" i="30"/>
  <c r="AQ1043" i="30"/>
  <c r="AM414" i="30"/>
  <c r="AO934" i="30"/>
  <c r="AQ816" i="30"/>
  <c r="AN181" i="30"/>
  <c r="AP181" i="30" s="1"/>
  <c r="AQ140" i="30"/>
  <c r="AO140" i="30"/>
  <c r="AR140" i="30"/>
  <c r="AM140" i="30"/>
  <c r="AQ778" i="30"/>
  <c r="AN727" i="30"/>
  <c r="AP727" i="30" s="1"/>
  <c r="AT456" i="30"/>
  <c r="AQ710" i="30"/>
  <c r="AN702" i="30"/>
  <c r="AP702" i="30" s="1"/>
  <c r="AN931" i="30"/>
  <c r="AP931" i="30" s="1"/>
  <c r="AQ808" i="30"/>
  <c r="AO654" i="30"/>
  <c r="AR601" i="30"/>
  <c r="AT1282" i="30"/>
  <c r="AO1251" i="30"/>
  <c r="AT557" i="30"/>
  <c r="AM1200" i="30"/>
  <c r="AM710" i="30"/>
  <c r="AM1043" i="30"/>
  <c r="AT100" i="30"/>
  <c r="AN778" i="30"/>
  <c r="AP778" i="30" s="1"/>
  <c r="AO1191" i="30"/>
  <c r="AO727" i="30"/>
  <c r="AO371" i="30"/>
  <c r="AM1256" i="30"/>
  <c r="AR192" i="30"/>
  <c r="AT1213" i="30"/>
  <c r="AR371" i="30"/>
  <c r="AN673" i="30"/>
  <c r="AP673" i="30" s="1"/>
  <c r="AN584" i="30"/>
  <c r="AP584" i="30" s="1"/>
  <c r="AT998" i="30"/>
  <c r="AR1195" i="30"/>
  <c r="AR157" i="30"/>
  <c r="AR1260" i="30"/>
  <c r="AR931" i="30"/>
  <c r="AM808" i="30"/>
  <c r="AM503" i="30"/>
  <c r="AN1131" i="30"/>
  <c r="AP1131" i="30" s="1"/>
  <c r="AO1073" i="30"/>
  <c r="AQ743" i="30"/>
  <c r="AO557" i="30"/>
  <c r="AR1200" i="30"/>
  <c r="AQ1179" i="30"/>
  <c r="AO253" i="30"/>
  <c r="AT584" i="30"/>
  <c r="AT743" i="30"/>
  <c r="AO28" i="30"/>
  <c r="AN28" i="30"/>
  <c r="AP28" i="30" s="1"/>
  <c r="AR1191" i="30"/>
  <c r="AQ714" i="30"/>
  <c r="AN655" i="30"/>
  <c r="AP655" i="30" s="1"/>
  <c r="AQ1056" i="30"/>
  <c r="AO597" i="30"/>
  <c r="AN833" i="30"/>
  <c r="AP833" i="30" s="1"/>
  <c r="AT574" i="30"/>
  <c r="AT655" i="30"/>
  <c r="AR998" i="30"/>
  <c r="AT1018" i="30"/>
  <c r="AN808" i="30"/>
  <c r="AP808" i="30" s="1"/>
  <c r="AM389" i="30"/>
  <c r="AQ100" i="30"/>
  <c r="AO958" i="30"/>
  <c r="AO565" i="30"/>
  <c r="AQ571" i="30"/>
  <c r="AQ14" i="30"/>
  <c r="AT710" i="30"/>
  <c r="AN1022" i="30"/>
  <c r="AP1022" i="30" s="1"/>
  <c r="AT636" i="30"/>
  <c r="AQ1006" i="30"/>
  <c r="AT1004" i="30"/>
  <c r="AO942" i="30"/>
  <c r="AQ28" i="30"/>
  <c r="AT215" i="30"/>
  <c r="AM1035" i="30"/>
  <c r="AQ654" i="30"/>
  <c r="AQ1026" i="30"/>
  <c r="AM499" i="30"/>
  <c r="AO492" i="30"/>
  <c r="AR436" i="30"/>
  <c r="AR1213" i="30"/>
  <c r="AM413" i="30"/>
  <c r="AM564" i="30"/>
  <c r="AT554" i="30"/>
  <c r="AR813" i="30"/>
  <c r="AN647" i="30"/>
  <c r="AP647" i="30" s="1"/>
  <c r="AM1060" i="30"/>
  <c r="AN1060" i="30"/>
  <c r="AP1060" i="30" s="1"/>
  <c r="AM777" i="30"/>
  <c r="AN558" i="30"/>
  <c r="AP558" i="30" s="1"/>
  <c r="AQ564" i="30"/>
  <c r="AM340" i="30"/>
  <c r="AO207" i="30"/>
  <c r="AM703" i="30"/>
  <c r="AM1130" i="30"/>
  <c r="AM871" i="30"/>
  <c r="AM207" i="30"/>
  <c r="AT452" i="30"/>
  <c r="AO1130" i="30"/>
  <c r="AQ207" i="30"/>
  <c r="AM593" i="30"/>
  <c r="AQ1163" i="30"/>
  <c r="AO574" i="30"/>
  <c r="AR647" i="30"/>
  <c r="AQ1251" i="30"/>
  <c r="AM677" i="30"/>
  <c r="AR816" i="30"/>
  <c r="AT206" i="30"/>
  <c r="AN1066" i="30"/>
  <c r="AP1066" i="30" s="1"/>
  <c r="AN371" i="30"/>
  <c r="AP371" i="30" s="1"/>
  <c r="AO1282" i="30"/>
  <c r="AO503" i="30"/>
  <c r="AT192" i="30"/>
  <c r="AN1052" i="30"/>
  <c r="AP1052" i="30" s="1"/>
  <c r="AQ647" i="30"/>
  <c r="AR671" i="30"/>
  <c r="AM554" i="30"/>
  <c r="AO499" i="30"/>
  <c r="AN643" i="30"/>
  <c r="AP643" i="30" s="1"/>
  <c r="AM572" i="30"/>
  <c r="AT1163" i="30"/>
  <c r="AN352" i="30"/>
  <c r="AP352" i="30" s="1"/>
  <c r="AQ340" i="30"/>
  <c r="AR430" i="30"/>
  <c r="AR1163" i="30"/>
  <c r="AO702" i="30"/>
  <c r="AQ1052" i="30"/>
  <c r="AM215" i="30"/>
  <c r="AR574" i="30"/>
  <c r="AO773" i="30"/>
  <c r="AO833" i="30"/>
  <c r="AT714" i="30"/>
  <c r="AN1163" i="30"/>
  <c r="AP1163" i="30" s="1"/>
  <c r="AQ677" i="30"/>
  <c r="AO675" i="30"/>
  <c r="AT105" i="30"/>
  <c r="AM468" i="30"/>
  <c r="AN624" i="30"/>
  <c r="AP624" i="30" s="1"/>
  <c r="AO571" i="30"/>
  <c r="AQ265" i="30"/>
  <c r="AN253" i="30"/>
  <c r="AP253" i="30" s="1"/>
  <c r="AN1146" i="30"/>
  <c r="AP1146" i="30" s="1"/>
  <c r="AR1187" i="30"/>
  <c r="AR1043" i="30"/>
  <c r="AR1282" i="30"/>
  <c r="AN570" i="30"/>
  <c r="AP570" i="30" s="1"/>
  <c r="AQ215" i="30"/>
  <c r="AT142" i="30"/>
  <c r="AO58" i="30"/>
  <c r="AN921" i="30"/>
  <c r="AP921" i="30" s="1"/>
  <c r="AR564" i="30"/>
  <c r="AM548" i="30"/>
  <c r="AN848" i="30"/>
  <c r="AP848" i="30" s="1"/>
  <c r="AR743" i="30"/>
  <c r="AN597" i="30"/>
  <c r="AP597" i="30" s="1"/>
  <c r="AM597" i="30"/>
  <c r="AM574" i="30"/>
  <c r="AN100" i="30"/>
  <c r="AP100" i="30" s="1"/>
  <c r="AO554" i="30"/>
  <c r="AR714" i="30"/>
  <c r="AO1179" i="30"/>
  <c r="AN714" i="30"/>
  <c r="AP714" i="30" s="1"/>
  <c r="AQ670" i="30"/>
  <c r="AM743" i="30"/>
  <c r="AO1144" i="30"/>
  <c r="AO1256" i="30"/>
  <c r="AQ499" i="30"/>
  <c r="AT946" i="30"/>
  <c r="AO508" i="30"/>
  <c r="AM1131" i="30"/>
  <c r="AN17" i="30"/>
  <c r="AP17" i="30" s="1"/>
  <c r="AR1203" i="30"/>
  <c r="AN1273" i="30"/>
  <c r="AP1273" i="30" s="1"/>
  <c r="AO1052" i="30"/>
  <c r="AR414" i="30"/>
  <c r="AQ17" i="30"/>
  <c r="AT1203" i="30"/>
  <c r="AT702" i="30"/>
  <c r="AT389" i="30"/>
  <c r="AM492" i="30"/>
  <c r="AR677" i="30"/>
  <c r="AQ574" i="30"/>
  <c r="AQ352" i="30"/>
  <c r="AN659" i="30"/>
  <c r="AP659" i="30" s="1"/>
  <c r="AT352" i="30"/>
  <c r="AR584" i="30"/>
  <c r="AN1278" i="30"/>
  <c r="AP1278" i="30" s="1"/>
  <c r="AR548" i="30"/>
  <c r="AO698" i="30"/>
  <c r="AO601" i="30"/>
  <c r="AO1163" i="30"/>
  <c r="AR314" i="30"/>
  <c r="AT499" i="30"/>
  <c r="AO548" i="30"/>
  <c r="AT564" i="30"/>
  <c r="AT311" i="30"/>
  <c r="AQ456" i="30"/>
  <c r="AT1131" i="30"/>
  <c r="AO1121" i="30"/>
  <c r="AM544" i="30"/>
  <c r="AO314" i="30"/>
  <c r="AT508" i="30"/>
  <c r="AR562" i="30"/>
  <c r="AN1256" i="30"/>
  <c r="AP1256" i="30" s="1"/>
  <c r="AM192" i="30"/>
  <c r="AT576" i="30"/>
  <c r="AT982" i="30"/>
  <c r="AN311" i="30"/>
  <c r="AP311" i="30" s="1"/>
  <c r="AM570" i="30"/>
  <c r="AT697" i="30"/>
  <c r="AQ601" i="30"/>
  <c r="AR1131" i="30"/>
  <c r="AR21" i="30"/>
  <c r="AQ584" i="30"/>
  <c r="AN215" i="30"/>
  <c r="AP215" i="30" s="1"/>
  <c r="AO430" i="30"/>
  <c r="AT1052" i="30"/>
  <c r="AR370" i="30"/>
  <c r="AT934" i="30"/>
  <c r="AN340" i="30"/>
  <c r="AP340" i="30" s="1"/>
  <c r="AQ554" i="30"/>
  <c r="AM833" i="30"/>
  <c r="AR1080" i="30"/>
  <c r="AR1144" i="30"/>
  <c r="AQ197" i="30"/>
  <c r="AM508" i="30"/>
  <c r="AT414" i="30"/>
  <c r="AQ192" i="30"/>
  <c r="AN572" i="30"/>
  <c r="AP572" i="30" s="1"/>
  <c r="AT647" i="30"/>
  <c r="AM584" i="30"/>
  <c r="AO946" i="30"/>
  <c r="AR597" i="30"/>
  <c r="AQ548" i="30"/>
  <c r="AT28" i="30"/>
  <c r="AN58" i="30"/>
  <c r="AP58" i="30" s="1"/>
  <c r="AO192" i="30"/>
  <c r="AO215" i="30"/>
  <c r="AN313" i="30"/>
  <c r="AP313" i="30" s="1"/>
  <c r="AR197" i="30"/>
  <c r="AQ580" i="30"/>
  <c r="AN1282" i="30"/>
  <c r="AP1282" i="30" s="1"/>
  <c r="AO647" i="30"/>
  <c r="AR177" i="30"/>
  <c r="AR313" i="30"/>
  <c r="AT773" i="30"/>
  <c r="AT327" i="30"/>
  <c r="AQ371" i="30"/>
  <c r="AM982" i="30"/>
  <c r="AN508" i="30"/>
  <c r="AP508" i="30" s="1"/>
  <c r="AN593" i="30"/>
  <c r="AP593" i="30" s="1"/>
  <c r="AN946" i="30"/>
  <c r="AP946" i="30" s="1"/>
  <c r="AN934" i="30"/>
  <c r="AP934" i="30" s="1"/>
  <c r="AN816" i="30"/>
  <c r="AP816" i="30" s="1"/>
  <c r="AR554" i="30"/>
  <c r="AM1080" i="30"/>
  <c r="AN1144" i="30"/>
  <c r="AP1144" i="30" s="1"/>
  <c r="AT371" i="30"/>
  <c r="AO681" i="30"/>
  <c r="AN677" i="30"/>
  <c r="AP677" i="30" s="1"/>
  <c r="AQ934" i="30"/>
  <c r="AR934" i="30"/>
  <c r="AO1246" i="30"/>
  <c r="AT582" i="30"/>
  <c r="AQ915" i="30"/>
  <c r="AM582" i="30"/>
  <c r="AQ582" i="30"/>
  <c r="AM816" i="30"/>
  <c r="AO813" i="30"/>
  <c r="AO695" i="30"/>
  <c r="AR582" i="30"/>
  <c r="AR160" i="30"/>
  <c r="AR237" i="30"/>
  <c r="AN160" i="30"/>
  <c r="AP160" i="30" s="1"/>
  <c r="AN813" i="30"/>
  <c r="AP813" i="30" s="1"/>
  <c r="AQ962" i="30"/>
  <c r="AO582" i="30"/>
  <c r="AR406" i="30"/>
  <c r="AM237" i="30"/>
  <c r="AM550" i="30"/>
  <c r="AO237" i="30"/>
  <c r="AR499" i="30"/>
  <c r="AR1235" i="30"/>
  <c r="AT160" i="30"/>
  <c r="AQ926" i="30"/>
  <c r="AQ813" i="30"/>
  <c r="AQ160" i="30"/>
  <c r="AQ593" i="30"/>
  <c r="AR292" i="30"/>
  <c r="AQ314" i="30"/>
  <c r="AR28" i="30"/>
  <c r="AQ942" i="30"/>
  <c r="AT597" i="30"/>
  <c r="AN197" i="30"/>
  <c r="AP197" i="30" s="1"/>
  <c r="AN662" i="30"/>
  <c r="AP662" i="30" s="1"/>
  <c r="AR942" i="30"/>
  <c r="AT942" i="30"/>
  <c r="AM1246" i="30"/>
  <c r="AQ671" i="30"/>
  <c r="AT1246" i="30"/>
  <c r="AQ833" i="30"/>
  <c r="AM702" i="30"/>
  <c r="AM642" i="30"/>
  <c r="AQ576" i="30"/>
  <c r="AT833" i="30"/>
  <c r="AM1203" i="30"/>
  <c r="AQ702" i="30"/>
  <c r="AR946" i="30"/>
  <c r="AM1052" i="30"/>
  <c r="AT314" i="30"/>
  <c r="AQ1282" i="30"/>
  <c r="AR58" i="30"/>
  <c r="AT264" i="30"/>
  <c r="AR340" i="30"/>
  <c r="AM311" i="30"/>
  <c r="AQ1246" i="30"/>
  <c r="G2" i="48"/>
  <c r="I5" i="31" s="1"/>
  <c r="AQ1144" i="30"/>
  <c r="AQ982" i="30"/>
  <c r="AO562" i="30"/>
  <c r="AO414" i="30"/>
  <c r="AR1256" i="30"/>
  <c r="AR308" i="30"/>
  <c r="AO160" i="30"/>
  <c r="AM813" i="30"/>
  <c r="AO434" i="30"/>
  <c r="AO105" i="30"/>
  <c r="AN314" i="30"/>
  <c r="AP314" i="30" s="1"/>
  <c r="AM434" i="30"/>
  <c r="AR1246" i="30"/>
  <c r="H2" i="48"/>
  <c r="J5" i="31" s="1"/>
  <c r="AR114" i="30"/>
  <c r="AO2" i="30"/>
  <c r="AM5" i="30"/>
  <c r="G5" i="48"/>
  <c r="I8" i="31" s="1"/>
  <c r="H5" i="48"/>
  <c r="J8" i="31" s="1"/>
  <c r="AR105" i="30"/>
  <c r="AM105" i="30"/>
  <c r="AR16" i="30"/>
  <c r="G8" i="48"/>
  <c r="I11" i="31" s="1"/>
  <c r="H8" i="48"/>
  <c r="J11" i="31" s="1"/>
  <c r="AN8" i="30"/>
  <c r="AP8" i="30" s="1"/>
  <c r="H6" i="48"/>
  <c r="J9" i="31" s="1"/>
  <c r="G6" i="48"/>
  <c r="I9" i="31" s="1"/>
  <c r="G14" i="48"/>
  <c r="I17" i="31" s="1"/>
  <c r="H14" i="48"/>
  <c r="J17" i="31" s="1"/>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BL2" i="30"/>
  <c r="BK2" i="30" s="1"/>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AN3" i="30"/>
  <c r="AP3" i="30" s="1"/>
  <c r="AQ3" i="30"/>
  <c r="AT3" i="30"/>
  <c r="AM3" i="30"/>
  <c r="AR3" i="30"/>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BS2" i="30" l="1"/>
  <c r="N22" i="48"/>
  <c r="P26" i="31" s="1"/>
  <c r="N28" i="48"/>
  <c r="P32" i="31" s="1"/>
  <c r="N8" i="48"/>
  <c r="P11" i="31" s="1"/>
  <c r="N12" i="48"/>
  <c r="P15" i="31" s="1"/>
  <c r="P24" i="48"/>
  <c r="R28" i="31" s="1"/>
  <c r="CB6" i="30"/>
  <c r="CB2" i="30"/>
  <c r="CB10" i="30"/>
  <c r="P18" i="48"/>
  <c r="R22" i="31" s="1"/>
  <c r="CF7" i="30"/>
  <c r="CB3" i="30"/>
  <c r="N11" i="48"/>
  <c r="P14" i="31" s="1"/>
  <c r="N23" i="48"/>
  <c r="P27" i="31" s="1"/>
  <c r="CF12" i="30"/>
  <c r="P33" i="48"/>
  <c r="R10" i="31" s="1"/>
  <c r="P35" i="48"/>
  <c r="R12" i="31" s="1"/>
  <c r="P37" i="48"/>
  <c r="R14" i="31" s="1"/>
  <c r="P39" i="48"/>
  <c r="R16" i="31" s="1"/>
  <c r="P29" i="48"/>
  <c r="R6" i="31" s="1"/>
  <c r="P30" i="48"/>
  <c r="R7" i="31" s="1"/>
  <c r="P34" i="48"/>
  <c r="R11" i="31" s="1"/>
  <c r="P36" i="48"/>
  <c r="R13" i="31" s="1"/>
  <c r="P38" i="48"/>
  <c r="R15" i="31" s="1"/>
  <c r="P40" i="48"/>
  <c r="R17" i="31" s="1"/>
  <c r="P28" i="48"/>
  <c r="R5" i="31" s="1"/>
  <c r="P31" i="48"/>
  <c r="R8" i="31" s="1"/>
  <c r="P32" i="48"/>
  <c r="R9" i="31" s="1"/>
  <c r="CF9" i="30"/>
  <c r="CF2" i="30"/>
  <c r="CF10" i="30"/>
  <c r="P27" i="48"/>
  <c r="R31" i="31" s="1"/>
  <c r="CF8" i="30"/>
  <c r="CB11" i="30"/>
  <c r="P21" i="48"/>
  <c r="R25" i="31" s="1"/>
  <c r="CB9" i="30"/>
  <c r="CB12" i="30"/>
  <c r="CB13" i="30"/>
  <c r="CB4" i="30"/>
  <c r="CB7" i="30"/>
  <c r="CB8" i="30"/>
  <c r="P25" i="48"/>
  <c r="R29" i="31" s="1"/>
  <c r="N13" i="48"/>
  <c r="P16" i="31" s="1"/>
  <c r="N24" i="48"/>
  <c r="P28" i="31" s="1"/>
  <c r="N4" i="48"/>
  <c r="P7" i="31" s="1"/>
  <c r="P23" i="48"/>
  <c r="R27" i="31" s="1"/>
  <c r="P20" i="48"/>
  <c r="R24" i="31" s="1"/>
  <c r="P22" i="48"/>
  <c r="R26" i="31" s="1"/>
  <c r="N26" i="48"/>
  <c r="P30" i="31" s="1"/>
  <c r="N16" i="48"/>
  <c r="P19" i="31" s="1"/>
  <c r="N9" i="48"/>
  <c r="P12" i="31" s="1"/>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I2" i="30"/>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authors>
    <author>Khalil, Mohamad (GE Healthcare)</author>
  </authors>
  <commentList>
    <comment ref="A7" authorId="0" shapeId="0">
      <text>
        <r>
          <rPr>
            <b/>
            <sz val="9"/>
            <color indexed="81"/>
            <rFont val="Tahoma"/>
            <family val="2"/>
          </rPr>
          <t>OR Waiting Time Score</t>
        </r>
        <r>
          <rPr>
            <sz val="9"/>
            <color indexed="81"/>
            <rFont val="Tahoma"/>
            <family val="2"/>
          </rPr>
          <t xml:space="preserve">
</t>
        </r>
      </text>
    </comment>
  </commentList>
</comments>
</file>

<file path=xl/comments2.xml><?xml version="1.0" encoding="utf-8"?>
<comments xmlns="http://schemas.openxmlformats.org/spreadsheetml/2006/main">
  <authors>
    <author>Colquhoun, William (GE Healthcare)</author>
    <author>Coke, Jason (GE Healthcare)</author>
    <author>Khalil, Mohamad (GE Healthcare)</author>
  </authors>
  <commentList>
    <comment ref="N1" authorId="0" shapeId="0">
      <text>
        <r>
          <rPr>
            <sz val="9"/>
            <color indexed="81"/>
            <rFont val="Tahoma"/>
            <family val="2"/>
          </rPr>
          <t xml:space="preserve">Select "Other" if procedure is not on Day Surgery List
</t>
        </r>
      </text>
    </comment>
    <comment ref="Q1" authorId="1" shapeId="0">
      <text>
        <r>
          <rPr>
            <b/>
            <sz val="8"/>
            <color indexed="81"/>
            <rFont val="Tahoma"/>
            <family val="2"/>
          </rPr>
          <t>If the time crosses midnight between  Patient Closing Time and Knife on Skin time, enter "1". Otherwise, enter 0</t>
        </r>
      </text>
    </comment>
    <comment ref="S1" authorId="1" shapeId="0">
      <text>
        <r>
          <rPr>
            <b/>
            <sz val="8"/>
            <color indexed="81"/>
            <rFont val="Tahoma"/>
            <family val="2"/>
          </rPr>
          <t>If the time crosses midnight between Knife on Skin time and Patient Closing Time , enter "1". Otherwise, enter 0</t>
        </r>
      </text>
    </comment>
    <comment ref="U1" authorId="1" shapeId="0">
      <text>
        <r>
          <rPr>
            <b/>
            <sz val="8"/>
            <color indexed="81"/>
            <rFont val="Tahoma"/>
            <family val="2"/>
          </rPr>
          <t>If the time crosses midnight between Patient Closing Time and Time patient out of OR , enter "1". Otherwise, enter 0</t>
        </r>
      </text>
    </comment>
    <comment ref="W1" authorId="1" shapeId="0">
      <text>
        <r>
          <rPr>
            <b/>
            <sz val="8"/>
            <color indexed="81"/>
            <rFont val="Tahoma"/>
            <family val="2"/>
          </rPr>
          <t>If the time crosses midnight between Time of patient out of OR and Start cleaning Time , enter "1". Otherwise, enter 0</t>
        </r>
      </text>
    </comment>
    <comment ref="Y1" authorId="1" shapeId="0">
      <text>
        <r>
          <rPr>
            <b/>
            <sz val="8"/>
            <color indexed="81"/>
            <rFont val="Tahoma"/>
            <family val="2"/>
          </rPr>
          <t>If the time crosses midnight between Start Cleaning Time and End Cleaning Time , enter "1". Otherwise, enter 0</t>
        </r>
      </text>
    </comment>
    <comment ref="BO1" authorId="2" shapeId="0">
      <text>
        <r>
          <rPr>
            <b/>
            <sz val="9"/>
            <color indexed="81"/>
            <rFont val="Tahoma"/>
            <family val="2"/>
          </rPr>
          <t>Enter the scheduled OR Start Time in hh:mm format</t>
        </r>
      </text>
    </comment>
    <comment ref="BP1" authorId="2" shapeId="0">
      <text>
        <r>
          <rPr>
            <sz val="9"/>
            <color indexed="81"/>
            <rFont val="Tahoma"/>
            <family val="2"/>
          </rPr>
          <t xml:space="preserve">If the time crosses midnight between OR start and End Time , enter "1". Otherwise, enter 0.
</t>
        </r>
      </text>
    </comment>
    <comment ref="BQ1" authorId="2"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<sst xmlns="http://schemas.openxmlformats.org/spreadsheetml/2006/main" count="3508" uniqueCount="1242">
  <si>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</si>
  <si>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</si>
  <si>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</si>
  <si>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</si>
  <si>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</si>
  <si>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</si>
  <si>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</si>
  <si>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</si>
  <si>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</si>
  <si>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</si>
  <si>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</si>
  <si>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</si>
  <si>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</si>
  <si>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</si>
  <si>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</si>
  <si>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</si>
  <si>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</si>
  <si>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</si>
  <si>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</si>
  <si>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</si>
  <si>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</si>
  <si>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</si>
  <si>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</si>
  <si>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</si>
  <si>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</si>
  <si>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</si>
  <si>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</si>
  <si>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</si>
  <si>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</si>
  <si>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</si>
  <si>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</si>
  <si>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</si>
  <si>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</si>
  <si>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</si>
  <si>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</si>
  <si>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</si>
  <si>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</si>
  <si>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</si>
  <si>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</si>
  <si>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</si>
  <si>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</si>
  <si>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</si>
  <si>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</si>
  <si>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</si>
  <si>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</si>
  <si>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</si>
  <si>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</si>
  <si>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</si>
  <si>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</si>
  <si>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</si>
  <si>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</si>
  <si>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</si>
  <si>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</si>
  <si>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</si>
  <si>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</si>
  <si>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</si>
  <si>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</si>
  <si>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</si>
  <si>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</si>
  <si>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</si>
  <si>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</si>
  <si>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</si>
  <si>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</si>
  <si>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</si>
  <si>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</si>
  <si>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</si>
  <si>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</si>
  <si>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</si>
  <si>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</si>
  <si>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</si>
  <si>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</si>
  <si>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</si>
  <si>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</si>
  <si>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</si>
  <si>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</si>
  <si>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</si>
  <si>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</si>
  <si>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</si>
  <si>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</si>
  <si>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</si>
  <si>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</si>
  <si>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</si>
  <si>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</si>
  <si>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</si>
  <si>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</si>
  <si>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</si>
  <si>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</si>
  <si>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</si>
  <si>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</si>
  <si>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</si>
  <si>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</si>
  <si>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</si>
  <si>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</si>
  <si>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</si>
  <si>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</si>
  <si>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</si>
  <si>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</si>
  <si>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</si>
  <si>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</si>
  <si>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</si>
  <si>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</si>
  <si>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</si>
  <si>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</si>
  <si>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</si>
  <si>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</si>
  <si>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</si>
  <si>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</si>
  <si>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</si>
  <si>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</si>
  <si>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</si>
  <si>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</si>
  <si>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</si>
  <si>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</si>
  <si>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</si>
  <si>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</si>
  <si>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</si>
  <si>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</si>
  <si>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</si>
  <si>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</si>
  <si>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</si>
  <si>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</si>
  <si>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</si>
  <si>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</si>
  <si>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</si>
  <si>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</si>
  <si>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</si>
  <si>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</si>
  <si>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</si>
  <si>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</si>
  <si>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</si>
  <si>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</si>
  <si>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</si>
  <si>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</si>
  <si>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</si>
  <si>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</si>
  <si>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</si>
  <si>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</si>
  <si>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</si>
  <si>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</si>
  <si>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</si>
  <si>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</si>
  <si>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</si>
  <si>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</si>
  <si>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</si>
  <si>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</si>
  <si>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</si>
  <si>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</si>
  <si>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</si>
  <si>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</si>
  <si>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</si>
  <si>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</si>
  <si>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</si>
  <si>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</si>
  <si>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</si>
  <si>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</si>
  <si>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</si>
  <si>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</si>
  <si>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</si>
  <si>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</si>
  <si>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</si>
  <si>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</si>
  <si>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</si>
  <si>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</si>
  <si>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</si>
  <si>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</si>
  <si>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</si>
  <si>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</si>
  <si>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</si>
  <si>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</si>
  <si>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</si>
  <si>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</si>
  <si>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</si>
  <si>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</si>
  <si>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</si>
  <si>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</si>
  <si>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</si>
  <si>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</si>
  <si>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</si>
  <si>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</si>
  <si>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</si>
  <si>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</si>
  <si>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</si>
  <si>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</si>
  <si>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</si>
  <si>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</si>
  <si>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</si>
  <si>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</si>
  <si>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</si>
  <si>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</si>
  <si>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</si>
  <si>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</si>
  <si>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</si>
  <si>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</si>
  <si>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</si>
  <si>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</si>
  <si>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</si>
  <si>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</si>
  <si>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</si>
  <si>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</si>
  <si>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</si>
  <si>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</si>
  <si>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</si>
  <si>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</si>
  <si>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</si>
  <si>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</si>
  <si>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</si>
  <si>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</si>
  <si>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</si>
  <si>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</si>
  <si>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</si>
  <si>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</si>
  <si>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</si>
  <si>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</si>
  <si>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</si>
  <si>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</si>
  <si>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</si>
  <si>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</si>
  <si>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</si>
  <si>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</si>
  <si>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</si>
  <si>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</si>
  <si>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</si>
  <si>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</si>
  <si>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</si>
  <si>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</si>
  <si>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</si>
  <si>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</si>
  <si>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</si>
  <si>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</si>
  <si>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</si>
  <si>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</si>
  <si>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</si>
  <si>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</si>
  <si>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</si>
  <si>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</si>
  <si>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</si>
  <si>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</si>
  <si>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</si>
  <si>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</si>
  <si>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</si>
  <si>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</si>
  <si>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</si>
  <si>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</si>
  <si>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</si>
  <si>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</si>
  <si>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</si>
  <si>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</si>
  <si>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</si>
  <si>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</si>
  <si>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</si>
  <si>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</si>
  <si>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</si>
  <si>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</si>
  <si>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</si>
  <si>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</si>
  <si>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</si>
  <si>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</si>
  <si>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</si>
  <si>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</si>
  <si>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</si>
  <si>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</si>
  <si>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</si>
  <si>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</si>
  <si>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</si>
  <si>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</si>
  <si>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</si>
  <si>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</si>
  <si>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</si>
  <si>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</si>
  <si>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</si>
  <si>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</si>
  <si>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</si>
  <si>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</si>
  <si>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</si>
  <si>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</si>
  <si>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</si>
  <si>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</si>
  <si>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</si>
  <si>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</si>
  <si>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</si>
  <si>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</si>
  <si>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</si>
  <si>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</si>
  <si>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</si>
  <si>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</si>
  <si>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</si>
  <si>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</si>
  <si>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</si>
  <si>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</si>
  <si>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</si>
  <si>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</si>
  <si>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</si>
  <si>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</si>
  <si>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</si>
  <si>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</si>
  <si>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</si>
  <si>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</si>
  <si>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</si>
  <si>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</si>
  <si>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</si>
  <si>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</si>
  <si>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</si>
  <si>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</si>
  <si>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</si>
  <si>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</si>
  <si>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</si>
  <si>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</si>
  <si>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</si>
  <si>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</si>
  <si>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</si>
  <si>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</si>
  <si>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</si>
  <si>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</si>
  <si>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</si>
  <si>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</si>
  <si>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</si>
  <si>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</si>
  <si>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</si>
  <si>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</si>
  <si>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</si>
  <si>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</si>
  <si>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</si>
  <si>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</si>
  <si>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</si>
  <si>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</si>
  <si>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</si>
  <si>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</si>
  <si>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</si>
  <si>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</si>
  <si>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</si>
  <si>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</si>
  <si>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</si>
  <si>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</si>
  <si>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</si>
  <si>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</si>
  <si>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</si>
  <si>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</si>
  <si>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</si>
  <si>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</si>
  <si>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</si>
  <si>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</si>
  <si>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</si>
  <si>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</si>
  <si>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</si>
  <si>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</si>
  <si>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</si>
  <si>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</si>
  <si>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</si>
  <si>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</si>
  <si>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</si>
  <si>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</si>
  <si>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</si>
  <si>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</si>
  <si>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</si>
  <si>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</si>
  <si>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</si>
  <si>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</si>
  <si>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</si>
  <si>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</si>
  <si>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</si>
  <si>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</si>
  <si>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</si>
  <si>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</si>
  <si>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</si>
  <si>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</si>
  <si>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</si>
  <si>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</si>
  <si>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</si>
  <si>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</si>
  <si>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</si>
  <si>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</si>
  <si>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</si>
  <si>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</si>
  <si>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</si>
  <si>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</si>
  <si>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</si>
  <si>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</si>
  <si>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</si>
  <si>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</si>
  <si>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</si>
  <si>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</si>
  <si>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</si>
  <si>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</si>
  <si>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</si>
  <si>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</si>
  <si>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</si>
  <si>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</si>
  <si>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</si>
  <si>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</si>
  <si>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</si>
  <si>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</si>
  <si>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</si>
  <si>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</si>
  <si>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</si>
  <si>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</si>
  <si>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</si>
  <si>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</si>
  <si>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</si>
  <si>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</si>
  <si>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</si>
  <si>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</si>
  <si>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</si>
  <si>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</si>
  <si>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</si>
  <si>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</si>
  <si>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</si>
  <si>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</si>
  <si>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</si>
  <si>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</si>
  <si>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</si>
  <si>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</si>
  <si>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</si>
  <si>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</si>
  <si>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</si>
  <si>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</si>
  <si>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</si>
  <si>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</si>
  <si>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</si>
  <si>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</si>
  <si>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</si>
  <si>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</si>
  <si>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</si>
  <si>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</si>
  <si>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</si>
  <si>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</si>
  <si>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</si>
  <si>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</si>
  <si>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</si>
  <si>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</si>
  <si>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</si>
  <si>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</si>
  <si>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</si>
  <si>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</si>
  <si>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</si>
  <si>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</si>
  <si>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</si>
  <si>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</si>
  <si>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</si>
  <si>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</si>
  <si>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</si>
  <si>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</si>
  <si>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</si>
  <si>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</si>
  <si>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</si>
  <si>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</si>
  <si>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</si>
  <si>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</si>
  <si>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</si>
  <si>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</si>
  <si>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</si>
  <si>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</si>
  <si>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</si>
  <si>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</si>
  <si>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</si>
  <si>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</si>
  <si>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</si>
  <si>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</si>
  <si>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</si>
  <si>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</si>
  <si>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</si>
  <si>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</si>
  <si>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</si>
  <si>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</si>
  <si>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</si>
  <si>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</si>
  <si>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</si>
  <si>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</si>
  <si>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</si>
  <si>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</si>
  <si>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</si>
  <si>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</si>
  <si>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</si>
  <si>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</si>
  <si>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</si>
  <si>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</si>
  <si>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</si>
  <si>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</si>
  <si>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</si>
  <si>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</si>
  <si>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</si>
  <si>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</si>
  <si>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</si>
  <si>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</si>
  <si>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</si>
  <si>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</si>
  <si>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</si>
  <si>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</si>
  <si>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</si>
  <si>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</si>
  <si>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</si>
  <si>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</si>
  <si>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</si>
  <si>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</si>
  <si>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</si>
  <si>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</si>
  <si>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</si>
  <si>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</si>
  <si>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</si>
  <si>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</si>
  <si>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</si>
  <si>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</si>
  <si>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</si>
  <si>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</si>
  <si>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</si>
  <si>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</si>
  <si>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</si>
  <si>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</si>
  <si>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</si>
  <si>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</si>
  <si>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</si>
  <si>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</si>
  <si>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</si>
  <si>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</si>
  <si>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</si>
  <si>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</si>
  <si>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</si>
  <si>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</si>
  <si>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</si>
  <si>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</si>
  <si>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</si>
  <si>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</si>
  <si>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</si>
  <si>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</si>
  <si>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</si>
  <si>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</si>
  <si>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</si>
  <si>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</si>
  <si>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</si>
  <si>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</si>
  <si>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</si>
  <si>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</si>
  <si>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</si>
  <si>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</si>
  <si>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</si>
  <si>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</si>
  <si>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</si>
  <si>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</si>
  <si>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</si>
  <si>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</si>
  <si>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</si>
  <si>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</si>
  <si>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</si>
  <si>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</si>
  <si>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</si>
  <si>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</si>
  <si>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</si>
  <si>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</si>
  <si>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</si>
  <si>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</si>
  <si>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</si>
  <si>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</si>
  <si>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</si>
  <si>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</si>
  <si>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</si>
  <si>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</si>
  <si>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</si>
  <si>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</si>
  <si>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</si>
  <si>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</si>
  <si>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</si>
  <si>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</si>
  <si>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</si>
  <si>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</si>
  <si>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</si>
  <si>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</si>
  <si>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</si>
  <si>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</si>
  <si>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</si>
  <si>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</si>
  <si>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</si>
  <si>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</si>
  <si>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</si>
  <si>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</si>
  <si>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</si>
  <si>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</si>
  <si>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</si>
  <si>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</si>
  <si>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</si>
  <si>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</si>
  <si>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</si>
  <si>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</si>
  <si>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</si>
  <si>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</si>
  <si>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</si>
  <si>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</si>
  <si>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</si>
  <si>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</si>
  <si>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</si>
  <si>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</si>
  <si>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</si>
  <si>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</si>
  <si>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</si>
  <si>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</si>
  <si>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</si>
  <si>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</si>
  <si>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</si>
  <si>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</si>
  <si>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</si>
  <si>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</si>
  <si>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</si>
  <si>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</si>
  <si>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</si>
  <si>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</si>
  <si>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</si>
  <si>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</si>
  <si>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</si>
  <si>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</si>
  <si>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</si>
  <si>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</si>
  <si>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</si>
  <si>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</si>
  <si>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</si>
  <si>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</si>
  <si>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</si>
  <si>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</si>
  <si>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</si>
  <si>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</si>
  <si>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</si>
  <si>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</si>
  <si>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</si>
  <si>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</si>
  <si>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</si>
  <si>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</si>
  <si>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</si>
  <si>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</si>
  <si>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</si>
  <si>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</si>
  <si>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</si>
  <si>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</si>
  <si>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</si>
  <si>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</si>
  <si>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</si>
  <si>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</si>
  <si>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</si>
  <si>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</si>
  <si>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</si>
  <si>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</si>
  <si>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</si>
  <si>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</si>
  <si>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</si>
  <si>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</si>
  <si>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</si>
  <si>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</si>
  <si>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</si>
  <si>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</si>
  <si>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</si>
  <si>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</si>
  <si>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</si>
  <si>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</si>
  <si>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</si>
  <si>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</si>
  <si>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</si>
  <si>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</si>
  <si>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</si>
  <si>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</si>
  <si>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</si>
  <si>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</si>
  <si>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</si>
  <si>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</si>
  <si>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</si>
  <si>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</si>
  <si>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</si>
  <si>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</si>
  <si>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</si>
  <si>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</si>
  <si>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</si>
  <si>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</si>
  <si>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</si>
  <si>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</si>
  <si>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</si>
  <si>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</si>
  <si>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</si>
  <si>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</si>
  <si>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</si>
  <si>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</si>
  <si>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</si>
  <si>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</si>
  <si>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</si>
  <si>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</si>
  <si>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</si>
  <si>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</si>
  <si>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</si>
  <si>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</si>
  <si>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</si>
  <si>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</si>
  <si>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</si>
  <si>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</si>
  <si>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</si>
  <si>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</si>
  <si>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</si>
  <si>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</si>
  <si>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</si>
  <si>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</si>
  <si>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</si>
  <si>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</si>
  <si>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</si>
  <si>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</si>
  <si>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</si>
  <si>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</si>
  <si>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</si>
  <si>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</si>
  <si>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</si>
  <si>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</si>
  <si>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</si>
  <si>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</si>
  <si>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</si>
  <si>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</si>
  <si>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</si>
  <si>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</si>
  <si>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</si>
  <si>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</si>
  <si>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</si>
  <si>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</si>
  <si>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</si>
  <si>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</si>
  <si>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</si>
  <si>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</si>
  <si>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</si>
  <si>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</si>
  <si>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</si>
  <si>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</si>
  <si>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</si>
  <si>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</si>
  <si>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</si>
  <si>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</si>
  <si>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</si>
  <si>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</si>
  <si>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</si>
  <si>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</si>
  <si>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</si>
  <si>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</si>
  <si>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</si>
  <si>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</si>
  <si>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</si>
  <si>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</si>
  <si>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</si>
  <si>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</si>
  <si>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</si>
  <si>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</si>
  <si>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</si>
  <si>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</si>
  <si>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</si>
  <si>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</si>
  <si>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</si>
  <si>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</si>
  <si>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</si>
  <si>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</si>
  <si>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</si>
  <si>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</si>
  <si>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</si>
  <si>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</si>
  <si>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</si>
  <si>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</si>
  <si>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</si>
  <si>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</si>
  <si>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</si>
  <si>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</si>
  <si>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</si>
  <si>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</si>
  <si>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</si>
  <si>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</si>
  <si>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</si>
  <si>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</si>
  <si>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</si>
  <si>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</si>
  <si>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</si>
  <si>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</si>
  <si>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</si>
  <si>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</si>
  <si>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</si>
  <si>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</si>
  <si>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</si>
  <si>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</si>
  <si>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</si>
  <si>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</si>
  <si>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</si>
  <si>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</si>
  <si>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</si>
  <si>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</si>
  <si>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</si>
  <si>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</si>
  <si>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</si>
  <si>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</si>
  <si>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</si>
  <si>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</si>
  <si>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</si>
  <si>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</si>
  <si>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</si>
  <si>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</si>
  <si>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</si>
  <si>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</si>
  <si>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</si>
  <si>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</si>
  <si>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</si>
  <si>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</si>
  <si>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</si>
  <si>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</si>
  <si>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</si>
  <si>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</si>
  <si>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</si>
  <si>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</si>
  <si>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</si>
  <si>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</si>
  <si>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</si>
  <si>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</si>
  <si>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</si>
  <si>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</si>
  <si>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</si>
  <si>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</si>
  <si>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</si>
  <si>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</si>
  <si>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</si>
  <si>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</si>
  <si>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</si>
  <si>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</si>
  <si>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</si>
  <si>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</si>
  <si>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</si>
  <si>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</si>
  <si>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</si>
  <si>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</si>
  <si>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</si>
  <si>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</si>
  <si>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</si>
  <si>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</si>
  <si>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</si>
  <si>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</si>
  <si>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</si>
  <si>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</si>
  <si>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</si>
  <si>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</si>
  <si>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</si>
  <si>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</si>
  <si>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</si>
  <si>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</si>
  <si>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</si>
  <si>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</si>
  <si>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</si>
  <si>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</si>
  <si>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</si>
  <si>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</si>
  <si>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</si>
  <si>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</si>
  <si>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</si>
  <si>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</si>
  <si>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</si>
  <si>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</si>
  <si>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</si>
  <si>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</si>
  <si>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</si>
  <si>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</si>
  <si>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</si>
  <si>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</si>
  <si>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</si>
  <si>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</si>
  <si>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</si>
  <si>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</si>
  <si>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</si>
  <si>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</si>
  <si>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</si>
  <si>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</si>
  <si>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</si>
  <si>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</si>
  <si>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</si>
  <si>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</si>
  <si>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</si>
  <si>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</si>
  <si>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</si>
  <si>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</si>
  <si>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</si>
  <si>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</si>
  <si>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</si>
  <si>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</si>
  <si>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</si>
  <si>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</si>
  <si>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</si>
  <si>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</si>
  <si>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</si>
  <si>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</si>
  <si>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</si>
  <si>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</si>
  <si>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</si>
  <si>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</si>
  <si>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</si>
  <si>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</si>
  <si>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</si>
  <si>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</si>
  <si>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</si>
  <si>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</si>
  <si>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</si>
  <si>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</si>
  <si>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</si>
  <si>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</si>
  <si>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</si>
  <si>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</si>
  <si>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</si>
  <si>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</si>
  <si>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</si>
  <si>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</si>
  <si>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</si>
  <si>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</si>
  <si>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</si>
  <si>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</si>
  <si>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</si>
  <si>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</si>
  <si>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</si>
  <si>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</si>
  <si>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</si>
  <si>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</si>
  <si>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</si>
  <si>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</si>
  <si>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</si>
  <si>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</si>
  <si>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</si>
  <si>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</si>
  <si>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</si>
  <si>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</si>
  <si>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</si>
  <si>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</si>
  <si>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</si>
  <si>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</si>
  <si>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</si>
  <si>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</si>
  <si>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</si>
  <si>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</si>
  <si>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</si>
  <si>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</si>
  <si>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</si>
  <si>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</si>
  <si>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</si>
  <si>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</si>
  <si>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</si>
  <si>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</si>
  <si>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</si>
  <si>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</si>
  <si>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</si>
  <si>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</si>
  <si>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</si>
  <si>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</si>
  <si>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</si>
  <si>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</si>
  <si>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</si>
  <si>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</si>
  <si>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</si>
  <si>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</si>
  <si>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</si>
  <si>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</si>
  <si>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</si>
  <si>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</si>
  <si>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</si>
  <si>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</si>
  <si>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</si>
  <si>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</si>
  <si>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</si>
  <si>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</si>
  <si>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</si>
  <si>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</si>
  <si>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</si>
  <si>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</si>
  <si>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</si>
  <si>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</si>
  <si>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</si>
  <si>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</si>
  <si>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</si>
  <si>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</si>
  <si>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</si>
  <si>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</si>
  <si>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</si>
  <si>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</si>
  <si>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</si>
  <si>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</si>
  <si>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</si>
  <si>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</si>
  <si>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</si>
  <si>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</si>
  <si>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</si>
  <si>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</si>
  <si>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</si>
  <si>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</si>
  <si>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</si>
  <si>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</si>
  <si>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</si>
  <si>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</si>
  <si>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</si>
  <si>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</si>
  <si>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</si>
  <si>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</si>
  <si>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</si>
  <si>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</si>
  <si>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</si>
  <si>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</si>
  <si>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</si>
  <si>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</si>
  <si>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</si>
  <si>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</si>
  <si>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</si>
  <si>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</si>
  <si>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</si>
  <si>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</si>
  <si>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</si>
  <si>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</si>
  <si>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</si>
  <si>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</si>
  <si>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</si>
  <si>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</si>
  <si>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</si>
  <si>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</si>
  <si>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</si>
  <si>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</si>
  <si>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</si>
  <si>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</si>
  <si>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</si>
  <si>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</si>
  <si>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</si>
  <si>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</si>
  <si>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</si>
  <si>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</si>
  <si>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</si>
  <si>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</si>
  <si>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</si>
  <si>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</si>
  <si>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</si>
  <si>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</si>
  <si>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</si>
  <si>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</si>
  <si>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</si>
  <si>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</si>
  <si>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</si>
  <si>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</si>
  <si>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</si>
  <si>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</si>
  <si>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</si>
  <si>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</si>
  <si>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</si>
  <si>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</si>
  <si>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</si>
  <si>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</si>
  <si>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</si>
  <si>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</si>
  <si>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</si>
  <si>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</si>
  <si>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</si>
  <si>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</si>
  <si>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</si>
  <si>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</si>
  <si>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</si>
  <si>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</si>
  <si>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</si>
  <si>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</si>
  <si>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</si>
  <si>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</si>
  <si>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</si>
  <si>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</si>
  <si>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</si>
  <si>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</si>
  <si>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</si>
  <si>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</si>
  <si>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</si>
  <si>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</si>
  <si>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</si>
  <si>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</si>
  <si>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</si>
  <si>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</si>
  <si>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</si>
  <si>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</si>
  <si>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</si>
  <si>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</si>
  <si>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</si>
  <si>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</si>
  <si>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</si>
  <si>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</si>
  <si>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</si>
  <si>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</si>
  <si>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</si>
  <si>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</si>
  <si>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</si>
  <si>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</si>
  <si>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</si>
  <si>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</si>
  <si>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</si>
  <si>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</si>
  <si>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</si>
  <si>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</si>
  <si>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</si>
  <si>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</si>
  <si>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</si>
  <si>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</si>
  <si>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</si>
  <si>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</si>
  <si>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</si>
  <si>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</si>
  <si>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</si>
  <si>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</si>
  <si>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</si>
  <si>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</si>
  <si>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</si>
  <si>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</si>
  <si>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</si>
  <si>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</si>
  <si>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</si>
  <si>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</si>
  <si>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</si>
  <si>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</si>
  <si>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</si>
  <si>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January</t>
  </si>
  <si>
    <t>N/A</t>
  </si>
  <si>
    <t>ND</t>
  </si>
  <si>
    <t>Ghada Talal Aldomyati</t>
  </si>
  <si>
    <t>No</t>
  </si>
  <si>
    <t>CS</t>
  </si>
  <si>
    <t>Ruwaida Mohammed Mishiddi</t>
  </si>
  <si>
    <t>Amani Yousef Mahboob</t>
  </si>
  <si>
    <t>Aishah Mohammed Abdulrahman</t>
  </si>
  <si>
    <t>Ahmad Omer Edrees</t>
  </si>
  <si>
    <t>CM NAIL</t>
  </si>
  <si>
    <t>Bader Abdulmohsen Alqahtani</t>
  </si>
  <si>
    <t>CRIF</t>
  </si>
  <si>
    <t>Abdullah Ahmed Alshareef</t>
  </si>
  <si>
    <t>I &amp; D</t>
  </si>
  <si>
    <t xml:space="preserve"> Abdulqader Kamal Alitani</t>
  </si>
  <si>
    <t>Mazin Adel Alsarraj</t>
  </si>
  <si>
    <t>Yes</t>
  </si>
  <si>
    <t>Mohammed Abdulaziz Alshanbari</t>
  </si>
  <si>
    <t>Abdulkareem Saleh Bajafar</t>
  </si>
  <si>
    <t xml:space="preserve">EXCISION </t>
  </si>
  <si>
    <t>LAP REPAIR</t>
  </si>
  <si>
    <t>Shahirah Khalid Azzuz</t>
  </si>
  <si>
    <t>Khalid Mahmoud Jawad</t>
  </si>
  <si>
    <t>Omer Meaiti Albeladi</t>
  </si>
  <si>
    <t>Amirah Ibrahim Amer</t>
  </si>
  <si>
    <t>Mounir Taieb Bin Ismaiel</t>
  </si>
  <si>
    <t>STEROID INJECTION</t>
  </si>
  <si>
    <t>Ahmed Fahad Asur</t>
  </si>
  <si>
    <t>I AND D</t>
  </si>
  <si>
    <t>Eman Ibrahim Alnahari</t>
  </si>
  <si>
    <t>Alaa Khalid Raes</t>
  </si>
  <si>
    <t>Fatimah Yaqoub Namankani</t>
  </si>
  <si>
    <t>Saud Ibrahim Almuslemani</t>
  </si>
  <si>
    <t>Roa Mohammed Dumyati</t>
  </si>
  <si>
    <t>Abeer Sulaiman Riri</t>
  </si>
  <si>
    <t xml:space="preserve">Yosra Yehea Bureik </t>
  </si>
  <si>
    <t>Dhafer Ali AlShehri</t>
  </si>
  <si>
    <t xml:space="preserve">REMOVAL </t>
  </si>
  <si>
    <t>AS TS</t>
  </si>
  <si>
    <t>TRACHEOSTOMY</t>
  </si>
  <si>
    <t>CIRCUMCISION</t>
  </si>
  <si>
    <t>Mohammed Tariq Hafiz</t>
  </si>
  <si>
    <t>Balsam Alaaddin Alturki</t>
  </si>
  <si>
    <t>Omer Mohammed Bahathq</t>
  </si>
  <si>
    <t>Samia Hassan Mahsani</t>
  </si>
  <si>
    <t>Omer Ehsan Refaie</t>
  </si>
  <si>
    <t>Khaled Mohammed Sonbol</t>
  </si>
  <si>
    <t>Ahmed Salem Alnajrani</t>
  </si>
  <si>
    <t>Mohammed Hasanin Mohammed</t>
  </si>
  <si>
    <t>Mohammed Abdin</t>
  </si>
  <si>
    <t>Mutaz Abdulraoof Sait</t>
  </si>
  <si>
    <t>Mohammed Adnan Abuzenadah</t>
  </si>
  <si>
    <t>Fahad Ahmed Alzahrani</t>
  </si>
  <si>
    <t>Abdullah Bakolka</t>
  </si>
  <si>
    <t>Hisham Fathi Desoky</t>
  </si>
  <si>
    <t>Islam Moheb Ibrahim</t>
  </si>
  <si>
    <t>Omar Abdullah Alzahrani</t>
  </si>
  <si>
    <t>Hani Abdulmoneim Hanafi</t>
  </si>
  <si>
    <t>Waheed Faisal Bajnaid</t>
  </si>
  <si>
    <t>Murad Osman Alsaegh</t>
  </si>
  <si>
    <t>Khaled Ali Eibani</t>
  </si>
  <si>
    <t>Arwa Mohammed Alreqay</t>
  </si>
  <si>
    <t>Khalid Eid Alahmadi</t>
  </si>
  <si>
    <t>Yasmin Hadeed Aljadaani</t>
  </si>
  <si>
    <t>Ashraf Abdulaziz Abduljabbar</t>
  </si>
  <si>
    <t>Mohammed Abdullah Basurrah</t>
  </si>
  <si>
    <t>Amal Ahmed Alkhotani</t>
  </si>
  <si>
    <t>Ebtihal Abdulfattah Sindy</t>
  </si>
  <si>
    <t>Raed Bakri Shata</t>
  </si>
  <si>
    <t>Rania Omer Gusti</t>
  </si>
  <si>
    <t>Sara Abdullah Batwa</t>
  </si>
  <si>
    <t>Nadia Mohanna Alhazmi</t>
  </si>
  <si>
    <t>Buthaina Mohammed Alwafi</t>
  </si>
  <si>
    <t>Amal Abdu Dahab</t>
  </si>
  <si>
    <t>Juhaina Abdulmajeed Abuljadayel</t>
  </si>
  <si>
    <t>Yosra Yehea Bureik</t>
  </si>
  <si>
    <t>Reem Hassan Jambi</t>
  </si>
  <si>
    <t xml:space="preserve"> Jalal Samir Ahmed Aganah</t>
  </si>
  <si>
    <t>Abdulmajeed AlHarbi</t>
  </si>
  <si>
    <t>Ahmed abdullah Bafaraj</t>
  </si>
  <si>
    <t>YASMIN MOHAMED</t>
  </si>
  <si>
    <t>YBUHASSN</t>
  </si>
  <si>
    <t>dr:fahad bamehrez</t>
  </si>
  <si>
    <t>ALI DEERI</t>
  </si>
  <si>
    <t>ORIF</t>
  </si>
  <si>
    <t xml:space="preserve">CS </t>
  </si>
  <si>
    <t xml:space="preserve">CERVICAL CERCLAGE </t>
  </si>
  <si>
    <t>LAP TUBAL LIGATION</t>
  </si>
  <si>
    <t>IM NAIL</t>
  </si>
  <si>
    <t xml:space="preserve"> ORIF</t>
  </si>
  <si>
    <t xml:space="preserve">MLS + BIOPSY </t>
  </si>
  <si>
    <t>SEPTOPLASTY</t>
  </si>
  <si>
    <t>AS TS + B/L GROMMET</t>
  </si>
  <si>
    <t>ORIF WITH WITH TENS</t>
  </si>
  <si>
    <t>CRIF WITH K WIRE</t>
  </si>
  <si>
    <t>TENS REMOVAL</t>
  </si>
  <si>
    <t>13;30</t>
  </si>
  <si>
    <t xml:space="preserve">BIOPSY EXCISION </t>
  </si>
  <si>
    <t xml:space="preserve">RT HERNIOTOMY </t>
  </si>
  <si>
    <t>I AND D + DEBRIDEMENT</t>
  </si>
  <si>
    <t xml:space="preserve">D&amp;C </t>
  </si>
  <si>
    <t>TURBT</t>
  </si>
  <si>
    <t xml:space="preserve">LT ARM AMPUTATIVE AMPUTATION </t>
  </si>
  <si>
    <t>BRAIN TUMOR EXCISION</t>
  </si>
  <si>
    <t>LT ARTHROSCOPIC RECONSTRUCTION</t>
  </si>
  <si>
    <t>SCREW REMOVAL</t>
  </si>
  <si>
    <t>TAH + BSO</t>
  </si>
  <si>
    <t>LAP CHOLE</t>
  </si>
  <si>
    <t>EXCISION</t>
  </si>
  <si>
    <t xml:space="preserve">HERINA  REPAIR </t>
  </si>
  <si>
    <t>REVISION ACL RECONSTRUCTION</t>
  </si>
  <si>
    <t>DISTAL FEMUR CORRECTIVE OSTETOMY + PROXIMAL TIBIA 9DEGRES</t>
  </si>
  <si>
    <t>LENGHETHENING</t>
  </si>
  <si>
    <t>SEPTOPLASTY + BILETRAL LIMITTED ESS</t>
  </si>
  <si>
    <t>TS AS + MYRINGOTOMY + GROMMT</t>
  </si>
  <si>
    <t>TONGUE TIE RELEASE</t>
  </si>
  <si>
    <t>BIL ORCHIDOPEXY</t>
  </si>
  <si>
    <t>EUA + LAP EXPLORATION +/- ORCHIOPEXY</t>
  </si>
  <si>
    <t xml:space="preserve">CIRCUMCSION </t>
  </si>
  <si>
    <t>DENTAL REHAB</t>
  </si>
  <si>
    <t>cs</t>
  </si>
  <si>
    <t xml:space="preserve">RT FURS </t>
  </si>
  <si>
    <t>WOUND CLOSURE/APPROXIMATION</t>
  </si>
  <si>
    <t xml:space="preserve">EX-FIX </t>
  </si>
  <si>
    <t xml:space="preserve">HYSTERECTOMY </t>
  </si>
  <si>
    <t>POSTERIOR SPINAL FIXATION</t>
  </si>
  <si>
    <t>SURGICAL EXTRACTION</t>
  </si>
  <si>
    <t xml:space="preserve">I &amp; D </t>
  </si>
  <si>
    <t>LAP ORCHIDOPEXY</t>
  </si>
  <si>
    <t>LT ORCHIOPEXY</t>
  </si>
  <si>
    <t>SEPTOPLASTY + BIL LIMITTED FESS</t>
  </si>
  <si>
    <t>BCS +SLNB</t>
  </si>
  <si>
    <t xml:space="preserve">I&amp;D RT LOWER LIMB </t>
  </si>
  <si>
    <t>CRIF WITH NIAL</t>
  </si>
  <si>
    <t>I&amp;D</t>
  </si>
  <si>
    <t>MARGIN EXCISION</t>
  </si>
  <si>
    <t>AS TS+ BIL GROMME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</si>
</sst>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4">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5" fillId="10" borderId="1" xfId="0" applyFont="1" applyFill="1"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45">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44"/>
      <tableStyleElement type="totalRow" dxfId="43"/>
      <tableStyleElement type="firstRowStripe" dxfId="42"/>
      <tableStyleElement type="firstColumnStripe" dxfId="41"/>
      <tableStyleElement type="firstSubtotalColumn" dxfId="40"/>
      <tableStyleElement type="firstSubtotalRow" dxfId="39"/>
      <tableStyleElement type="secondSubtotalRow" dxfId="38"/>
      <tableStyleElement type="firstRowSubheading" dxfId="37"/>
      <tableStyleElement type="secondRowSubheading" dxfId="36"/>
      <tableStyleElement type="pageFieldLabels" dxfId="35"/>
      <tableStyleElement type="pageFieldValues" dxfId="34"/>
    </tableStyle>
    <tableStyle name="PivotStyleLight16 3" table="0" count="11">
      <tableStyleElement type="headerRow" dxfId="33"/>
      <tableStyleElement type="totalRow" dxfId="32"/>
      <tableStyleElement type="firstRowStripe" dxfId="31"/>
      <tableStyleElement type="firstColumnStripe" dxfId="30"/>
      <tableStyleElement type="firstSubtotalColumn" dxfId="29"/>
      <tableStyleElement type="firstSubtotalRow" dxfId="28"/>
      <tableStyleElement type="secondSubtotalRow" dxfId="27"/>
      <tableStyleElement type="firstRowSubheading" dxfId="26"/>
      <tableStyleElement type="secondRowSubheading" dxfId="25"/>
      <tableStyleElement type="pageFieldLabels" dxfId="24"/>
      <tableStyleElement type="pageFieldValues" dxfId="23"/>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V731"/>
  <sheetViews>
    <sheetView tabSelected="1" zoomScale="66" zoomScaleNormal="78" workbookViewId="0">
      <selection activeCell="C24" sqref="C24"/>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1</v>
      </c>
      <c r="E2" s="148" t="str">
        <f>IF(D2=1,"My file is ready to submit","My file is NOT ready to submit")</f>
        <v>My file is ready to submit</v>
      </c>
      <c r="F2" s="148"/>
      <c r="G2" s="148"/>
      <c r="H2" s="148"/>
    </row>
    <row r="3" spans="1:22" x14ac:dyDescent="0.25">
      <c r="A3" s="34" t="s">
        <v>2</v>
      </c>
      <c r="B3" s="34" t="str">
        <f>IF(('OR KPI 1-4 &amp; 6 manual'!BJ11)&gt;0,"Yes","No")</f>
        <v>Yes</v>
      </c>
      <c r="E3" s="148"/>
      <c r="F3" s="148"/>
      <c r="G3" s="148"/>
      <c r="H3" s="148"/>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1</v>
      </c>
      <c r="B5" s="8" t="s">
        <v>19</v>
      </c>
      <c r="C5" s="9" t="s">
        <v>1185</v>
      </c>
      <c r="D5" s="1">
        <f>IF(ISTEXT(C5),1,0)</f>
        <v>1</v>
      </c>
      <c r="H5" s="128">
        <f>Script!F2</f>
        <v>1</v>
      </c>
      <c r="I5" s="129">
        <f>Script!G2</f>
        <v>0.21268939393939393</v>
      </c>
      <c r="J5" s="129">
        <f>Script!H2</f>
        <v>0.21268939393939393</v>
      </c>
      <c r="K5" s="132">
        <f>Script!I2</f>
        <v>11</v>
      </c>
      <c r="L5" s="128">
        <f>Script!J2</f>
        <v>7.0000000000000036</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25">
      <c r="A6" s="35">
        <f>IF('OR KPI 1-4 &amp; 6 manual'!BK51="NA",SUM('OR KPI 1-4 &amp; 6 manual'!$BK$11:$BK$77)/51,SUM('OR KPI 1-4 &amp; 6 manual'!$BK$11:$BK$77)/52)</f>
        <v>1.0192307692307692</v>
      </c>
      <c r="B6" s="8" t="s">
        <v>21</v>
      </c>
      <c r="C6" s="9">
        <v>557477765</v>
      </c>
      <c r="D6" s="1">
        <f>IF(COUNTA(C6)=1,1,0)</f>
        <v>1</v>
      </c>
      <c r="H6" s="128">
        <f>Script!F3</f>
        <v>2</v>
      </c>
      <c r="I6" s="129">
        <f>Script!G3</f>
        <v>0.1715909090909091</v>
      </c>
      <c r="J6" s="129">
        <f>Script!H3</f>
        <v>0.1715909090909091</v>
      </c>
      <c r="K6" s="132">
        <f>Script!I3</f>
        <v>27</v>
      </c>
      <c r="L6" s="128">
        <f>Script!J3</f>
        <v>0</v>
      </c>
      <c r="M6" s="130" t="str">
        <f>Script!K3</f>
        <v/>
      </c>
      <c r="N6" s="128" t="s">
        <v>22</v>
      </c>
      <c r="O6" s="128">
        <f>Script!M3</f>
        <v>0</v>
      </c>
      <c r="P6" s="128" t="str">
        <f>Script!N3</f>
        <v/>
      </c>
      <c r="Q6" s="128" t="str">
        <f>Script!O29</f>
        <v>Arthroscopy</v>
      </c>
      <c r="R6" s="129" t="str">
        <f>Script!P29</f>
        <v/>
      </c>
      <c r="S6" s="129">
        <f>Script!Q29</f>
        <v>0</v>
      </c>
      <c r="T6" s="129">
        <f>Script!R29</f>
        <v>0</v>
      </c>
      <c r="U6" s="129">
        <f>Script!S29</f>
        <v>0</v>
      </c>
      <c r="V6" s="128"/>
    </row>
    <row r="7" spans="1:22" x14ac:dyDescent="0.25">
      <c r="A7" s="35">
        <f>SUM('OR Waiting Time'!$T$11:$T$33)/17</f>
        <v>1</v>
      </c>
      <c r="B7" s="8" t="s">
        <v>23</v>
      </c>
      <c r="C7" s="10" t="s">
        <v>1186</v>
      </c>
      <c r="D7" s="1">
        <f>IF(ISTEXT(C7),1,0)</f>
        <v>1</v>
      </c>
      <c r="H7" s="128">
        <f>Script!F4</f>
        <v>3</v>
      </c>
      <c r="I7" s="129">
        <f>Script!G4</f>
        <v>0.1884469696969697</v>
      </c>
      <c r="J7" s="129">
        <f>Script!H4</f>
        <v>0.1884469696969697</v>
      </c>
      <c r="K7" s="132">
        <f>Script!I4</f>
        <v>23</v>
      </c>
      <c r="L7" s="128">
        <f>Script!J4</f>
        <v>0</v>
      </c>
      <c r="M7" s="130">
        <f>Script!K4</f>
        <v>0</v>
      </c>
      <c r="N7" s="128" t="s">
        <v>24</v>
      </c>
      <c r="O7" s="128">
        <f>Script!M4</f>
        <v>2</v>
      </c>
      <c r="P7" s="128">
        <f>Script!N4</f>
        <v>1</v>
      </c>
      <c r="Q7" s="128" t="str">
        <f>Script!O30</f>
        <v>Cataract Surgery</v>
      </c>
      <c r="R7" s="129" t="str">
        <f>Script!P30</f>
        <v/>
      </c>
      <c r="S7" s="129">
        <f>Script!Q30</f>
        <v>0</v>
      </c>
      <c r="T7" s="129">
        <f>Script!R30</f>
        <v>0</v>
      </c>
      <c r="U7" s="129">
        <f>Script!S30</f>
        <v>0</v>
      </c>
      <c r="V7" s="128"/>
    </row>
    <row r="8" spans="1:22" x14ac:dyDescent="0.25">
      <c r="A8" s="35">
        <f>SUM('OR KPI 1-4 &amp; 6 IT'!X11:X25)/14</f>
        <v>0.7857142857142857</v>
      </c>
      <c r="B8" s="8" t="s">
        <v>25</v>
      </c>
      <c r="C8" s="133" t="s">
        <v>26</v>
      </c>
      <c r="D8" s="1">
        <f>IF(ISTEXT(C8),1,0)</f>
        <v>1</v>
      </c>
      <c r="H8" s="128">
        <f>Script!F5</f>
        <v>4</v>
      </c>
      <c r="I8" s="129">
        <f>Script!G5</f>
        <v>0.18551136363636364</v>
      </c>
      <c r="J8" s="129">
        <f>Script!H5</f>
        <v>0.18551136363636364</v>
      </c>
      <c r="K8" s="132">
        <f>Script!I5</f>
        <v>16</v>
      </c>
      <c r="L8" s="128">
        <f>Script!J5</f>
        <v>0</v>
      </c>
      <c r="M8" s="130">
        <f>Script!K5</f>
        <v>0</v>
      </c>
      <c r="N8" s="128" t="s">
        <v>27</v>
      </c>
      <c r="O8" s="128">
        <f>Script!M5</f>
        <v>5</v>
      </c>
      <c r="P8" s="128">
        <f>Script!N5</f>
        <v>4</v>
      </c>
      <c r="Q8" s="128" t="str">
        <f>Script!O31</f>
        <v>Cholecystectomy</v>
      </c>
      <c r="R8" s="129" t="str">
        <f>Script!P31</f>
        <v/>
      </c>
      <c r="S8" s="129">
        <f>Script!Q31</f>
        <v>0</v>
      </c>
      <c r="T8" s="129">
        <f>Script!R31</f>
        <v>0</v>
      </c>
      <c r="U8" s="129">
        <f>Script!S31</f>
        <v>0</v>
      </c>
      <c r="V8" s="128"/>
    </row>
    <row r="9" spans="1:22" x14ac:dyDescent="0.25">
      <c r="B9" s="8" t="s">
        <v>28</v>
      </c>
      <c r="C9" s="133">
        <v>2025</v>
      </c>
      <c r="D9" s="1">
        <f>IF(C9="",0,1)</f>
        <v>1</v>
      </c>
      <c r="H9" s="128">
        <f>Script!F6</f>
        <v>5</v>
      </c>
      <c r="I9" s="129">
        <f>Script!G6</f>
        <v>0.20473484848484849</v>
      </c>
      <c r="J9" s="129">
        <f>Script!H6</f>
        <v>0.20473484848484849</v>
      </c>
      <c r="K9" s="132">
        <f>Script!I6</f>
        <v>15</v>
      </c>
      <c r="L9" s="128">
        <f>Script!J6</f>
        <v>0</v>
      </c>
      <c r="M9" s="130">
        <f>Script!K6</f>
        <v>0</v>
      </c>
      <c r="N9" s="128" t="s">
        <v>29</v>
      </c>
      <c r="O9" s="128">
        <f>Script!M6</f>
        <v>5</v>
      </c>
      <c r="P9" s="128">
        <f>Script!N6</f>
        <v>1.8</v>
      </c>
      <c r="Q9" s="128" t="str">
        <f>Script!O32</f>
        <v>Excission of Benign Breast Lump</v>
      </c>
      <c r="R9" s="129" t="str">
        <f>Script!P32</f>
        <v/>
      </c>
      <c r="S9" s="129">
        <f>Script!Q32</f>
        <v>0</v>
      </c>
      <c r="T9" s="129">
        <f>Script!R32</f>
        <v>0</v>
      </c>
      <c r="U9" s="129">
        <f>Script!S32</f>
        <v>0</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25">
      <c r="B11" s="8" t="s">
        <v>32</v>
      </c>
      <c r="C11" s="36" t="str">
        <f>IF(ISBLANK(C10),"",VLOOKUP(C10,$A$37:$B$352,2,FALSE))</f>
        <v>East Jeddah Hospital</v>
      </c>
      <c r="D11" s="1">
        <f>IF(C11="",0,1)</f>
        <v>1</v>
      </c>
      <c r="H11" s="128">
        <f>Script!F8</f>
        <v>7</v>
      </c>
      <c r="I11" s="129">
        <f>Script!G8</f>
        <v>0.18759469696969697</v>
      </c>
      <c r="J11" s="129">
        <f>Script!H8</f>
        <v>0.18759469696969697</v>
      </c>
      <c r="K11" s="132">
        <f>Script!I8</f>
        <v>18</v>
      </c>
      <c r="L11" s="128">
        <f>Script!J8</f>
        <v>0</v>
      </c>
      <c r="M11" s="130">
        <f>Script!K8</f>
        <v>0</v>
      </c>
      <c r="N11" s="128" t="s">
        <v>33</v>
      </c>
      <c r="O11" s="128">
        <f>Script!M8</f>
        <v>2</v>
      </c>
      <c r="P11" s="128">
        <f>Script!N8</f>
        <v>6.5</v>
      </c>
      <c r="Q11" s="128" t="str">
        <f>Script!O34</f>
        <v>Orchidopexy</v>
      </c>
      <c r="R11" s="129" t="str">
        <f>Script!P34</f>
        <v/>
      </c>
      <c r="S11" s="129">
        <f>Script!Q34</f>
        <v>0</v>
      </c>
      <c r="T11" s="129">
        <f>Script!R34</f>
        <v>0</v>
      </c>
      <c r="U11" s="129">
        <f>Script!S34</f>
        <v>0</v>
      </c>
      <c r="V11" s="128"/>
    </row>
    <row r="12" spans="1:22" x14ac:dyDescent="0.25">
      <c r="B12" s="8" t="s">
        <v>34</v>
      </c>
      <c r="C12" s="36" t="str">
        <f>IF(AND(B4="Yes",A8=1),"Yes",IF(B4="No",IF(A5+A7=2,"Yes","No"),"NA"))</f>
        <v>Yes</v>
      </c>
      <c r="D12" s="1">
        <f>IF(B4="No",IF(C12="yes",1,0),"")</f>
        <v>1</v>
      </c>
      <c r="H12" s="128">
        <f>Script!F9</f>
        <v>8</v>
      </c>
      <c r="I12" s="129">
        <f>Script!G9</f>
        <v>0</v>
      </c>
      <c r="J12" s="129">
        <f>Script!H9</f>
        <v>0</v>
      </c>
      <c r="K12" s="132">
        <f>Script!I9</f>
        <v>0</v>
      </c>
      <c r="L12" s="128">
        <f>Script!J9</f>
        <v>0</v>
      </c>
      <c r="M12" s="130">
        <f>Script!K9</f>
        <v>0</v>
      </c>
      <c r="N12" s="128" t="s">
        <v>35</v>
      </c>
      <c r="O12" s="128">
        <f>Script!M9</f>
        <v>5</v>
      </c>
      <c r="P12" s="128">
        <f>Script!N9</f>
        <v>0.6</v>
      </c>
      <c r="Q12" s="128" t="str">
        <f>Script!O35</f>
        <v>Septoplasty</v>
      </c>
      <c r="R12" s="129" t="str">
        <f>Script!P35</f>
        <v/>
      </c>
      <c r="S12" s="129">
        <f>Script!Q35</f>
        <v>0</v>
      </c>
      <c r="T12" s="129">
        <f>Script!R35</f>
        <v>0</v>
      </c>
      <c r="U12" s="129">
        <f>Script!S35</f>
        <v>0</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25">
      <c r="B14" s="27" t="s">
        <v>38</v>
      </c>
      <c r="C14" s="27"/>
      <c r="D14" s="27"/>
      <c r="H14" s="128">
        <f>Script!F11</f>
        <v>10</v>
      </c>
      <c r="I14" s="129">
        <f>Script!G11</f>
        <v>0</v>
      </c>
      <c r="J14" s="129">
        <f>Script!H11</f>
        <v>0</v>
      </c>
      <c r="K14" s="132">
        <f>Script!I11</f>
        <v>0</v>
      </c>
      <c r="L14" s="128">
        <f>Script!J11</f>
        <v>0</v>
      </c>
      <c r="M14" s="130">
        <f>Script!K11</f>
        <v>0</v>
      </c>
      <c r="N14" s="128" t="s">
        <v>39</v>
      </c>
      <c r="O14" s="128">
        <f>Script!M11</f>
        <v>25</v>
      </c>
      <c r="P14" s="128">
        <f>Script!N11</f>
        <v>7</v>
      </c>
      <c r="Q14" s="128" t="str">
        <f>Script!O37</f>
        <v>Tonsillectomy</v>
      </c>
      <c r="R14" s="129" t="str">
        <f>Script!P37</f>
        <v/>
      </c>
      <c r="S14" s="129">
        <f>Script!Q37</f>
        <v>0</v>
      </c>
      <c r="T14" s="129">
        <f>Script!R37</f>
        <v>0</v>
      </c>
      <c r="U14" s="129">
        <f>Script!S37</f>
        <v>0</v>
      </c>
      <c r="V14" s="128"/>
    </row>
    <row r="15" spans="1:22" x14ac:dyDescent="0.25">
      <c r="B15" s="27" t="s">
        <v>40</v>
      </c>
      <c r="C15" s="27"/>
      <c r="D15" s="27"/>
      <c r="H15" s="128">
        <f>Script!F12</f>
        <v>11</v>
      </c>
      <c r="I15" s="129">
        <f>Script!G12</f>
        <v>0</v>
      </c>
      <c r="J15" s="129">
        <f>Script!H12</f>
        <v>0</v>
      </c>
      <c r="K15" s="132">
        <f>Script!I12</f>
        <v>0</v>
      </c>
      <c r="L15" s="128">
        <f>Script!J12</f>
        <v>0</v>
      </c>
      <c r="M15" s="130">
        <f>Script!K12</f>
        <v>0</v>
      </c>
      <c r="N15" s="128" t="s">
        <v>41</v>
      </c>
      <c r="O15" s="128">
        <f>Script!M12</f>
        <v>8</v>
      </c>
      <c r="P15" s="128">
        <f>Script!N12</f>
        <v>3</v>
      </c>
      <c r="Q15" s="128" t="str">
        <f>Script!O38</f>
        <v>Adenoidectomy</v>
      </c>
      <c r="R15" s="129" t="str">
        <f>Script!P38</f>
        <v/>
      </c>
      <c r="S15" s="129">
        <f>Script!Q38</f>
        <v>0</v>
      </c>
      <c r="T15" s="129">
        <f>Script!R38</f>
        <v>0</v>
      </c>
      <c r="U15" s="129">
        <f>Script!S38</f>
        <v>0</v>
      </c>
      <c r="V15" s="128"/>
    </row>
    <row r="16" spans="1:22" ht="11.85" customHeight="1" x14ac:dyDescent="0.25">
      <c r="H16" s="128">
        <f>Script!F13</f>
        <v>12</v>
      </c>
      <c r="I16" s="129">
        <f>Script!G13</f>
        <v>0</v>
      </c>
      <c r="J16" s="129">
        <f>Script!H13</f>
        <v>0</v>
      </c>
      <c r="K16" s="132">
        <f>Script!I13</f>
        <v>0</v>
      </c>
      <c r="L16" s="128">
        <f>Script!J13</f>
        <v>0</v>
      </c>
      <c r="M16" s="130">
        <f>Script!K13</f>
        <v>0</v>
      </c>
      <c r="N16" s="128" t="s">
        <v>42</v>
      </c>
      <c r="O16" s="128">
        <f>Script!M13</f>
        <v>6</v>
      </c>
      <c r="P16" s="128">
        <f>Script!N13</f>
        <v>1.1666666666666667</v>
      </c>
      <c r="Q16" s="128" t="s">
        <v>1093</v>
      </c>
      <c r="R16" s="129" t="str">
        <f>Script!P39</f>
        <v/>
      </c>
      <c r="S16" s="129">
        <f>Script!Q39</f>
        <v>0</v>
      </c>
      <c r="T16" s="129">
        <f>Script!R39</f>
        <v>0</v>
      </c>
      <c r="U16" s="129">
        <f>Script!S39</f>
        <v>0</v>
      </c>
      <c r="V16" s="128"/>
    </row>
    <row r="17" spans="2:22" x14ac:dyDescent="0.25">
      <c r="B17" s="149" t="s">
        <v>43</v>
      </c>
      <c r="C17" s="149"/>
      <c r="H17" s="128">
        <f>Script!F14</f>
        <v>13</v>
      </c>
      <c r="I17" s="129">
        <f>Script!G14</f>
        <v>0.18304924242424242</v>
      </c>
      <c r="J17" s="129">
        <f>Script!H14</f>
        <v>0.18304924242424242</v>
      </c>
      <c r="K17" s="132">
        <f>Script!I14</f>
        <v>24</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0</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f>Script!K16</f>
        <v>0</v>
      </c>
      <c r="N19" s="128" t="s">
        <v>48</v>
      </c>
      <c r="O19" s="128">
        <f>Script!M16</f>
        <v>2</v>
      </c>
      <c r="P19" s="128">
        <f>Script!N16</f>
        <v>1.5</v>
      </c>
      <c r="Q19" s="131"/>
      <c r="R19" s="129"/>
      <c r="S19" s="129"/>
      <c r="T19" s="129"/>
      <c r="U19" s="129"/>
      <c r="V19" s="128"/>
    </row>
    <row r="20" spans="2:22" x14ac:dyDescent="0.25">
      <c r="B20" s="8" t="s">
        <v>49</v>
      </c>
      <c r="C20" s="33" t="s">
        <v>1187</v>
      </c>
      <c r="D20" s="1">
        <f>IF(ISTEXT(C20),1,0)</f>
        <v>1</v>
      </c>
      <c r="H20" s="128">
        <f>Script!F17</f>
        <v>16</v>
      </c>
      <c r="I20" s="129">
        <f>Script!G17</f>
        <v>0</v>
      </c>
      <c r="J20" s="129">
        <f>Script!H17</f>
        <v>0</v>
      </c>
      <c r="K20" s="132">
        <f>Script!I17</f>
        <v>0</v>
      </c>
      <c r="L20" s="128">
        <f>Script!J17</f>
        <v>0</v>
      </c>
      <c r="M20" s="130" t="str">
        <f>Script!K17</f>
        <v/>
      </c>
      <c r="N20" s="128" t="s">
        <v>50</v>
      </c>
      <c r="O20" s="128">
        <f>Script!M17</f>
        <v>0</v>
      </c>
      <c r="P20" s="128" t="str">
        <f>Script!N17</f>
        <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1188</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7.5187969924812026E-2</v>
      </c>
      <c r="S22" s="129">
        <f>Script!Q18</f>
        <v>0</v>
      </c>
      <c r="T22" s="129">
        <f>Script!R18</f>
        <v>0</v>
      </c>
      <c r="U22" s="129">
        <f>Script!S18</f>
        <v>0</v>
      </c>
      <c r="V22" s="128"/>
    </row>
    <row r="23" spans="2:22" ht="12.75" customHeight="1" x14ac:dyDescent="0.25">
      <c r="H23" s="128">
        <f>Script!F20</f>
        <v>19</v>
      </c>
      <c r="I23" s="129">
        <f>Script!G20</f>
        <v>0</v>
      </c>
      <c r="J23" s="129">
        <f>Script!H20</f>
        <v>0</v>
      </c>
      <c r="K23" s="132">
        <f>Script!I20</f>
        <v>0</v>
      </c>
      <c r="L23" s="128">
        <f>Script!J20</f>
        <v>0</v>
      </c>
      <c r="M23" s="130">
        <f>Script!K20</f>
        <v>0</v>
      </c>
      <c r="N23" s="128" t="s">
        <v>27</v>
      </c>
      <c r="O23" s="128">
        <f>Script!M19</f>
        <v>5</v>
      </c>
      <c r="P23" s="128">
        <f>Script!N19</f>
        <v>4</v>
      </c>
      <c r="Q23" s="129" t="s">
        <v>27</v>
      </c>
      <c r="R23" s="129">
        <f>Script!P19</f>
        <v>0.11278195488721804</v>
      </c>
      <c r="S23" s="129">
        <f>Script!Q19</f>
        <v>0</v>
      </c>
      <c r="T23" s="129">
        <f>Script!R19</f>
        <v>0</v>
      </c>
      <c r="U23" s="129">
        <f>Script!S19</f>
        <v>0</v>
      </c>
      <c r="V23" s="128"/>
    </row>
    <row r="24" spans="2:22" ht="20.85" customHeight="1" x14ac:dyDescent="0.25">
      <c r="B24" s="146" t="s">
        <v>1058</v>
      </c>
      <c r="C24" s="9">
        <v>2</v>
      </c>
      <c r="D24" s="1">
        <f>IF(COUNTA(C24)=1,1,0)</f>
        <v>1</v>
      </c>
      <c r="E24" s="150" t="s">
        <v>1060</v>
      </c>
      <c r="F24" s="151"/>
      <c r="H24" s="128">
        <f>Script!F21</f>
        <v>20</v>
      </c>
      <c r="I24" s="129">
        <f>Script!G21</f>
        <v>0</v>
      </c>
      <c r="J24" s="129">
        <f>Script!H21</f>
        <v>0</v>
      </c>
      <c r="K24" s="132">
        <f>Script!I21</f>
        <v>0</v>
      </c>
      <c r="L24" s="128">
        <f>Script!J21</f>
        <v>0</v>
      </c>
      <c r="M24" s="130" t="str">
        <f>Script!K21</f>
        <v/>
      </c>
      <c r="N24" s="128" t="s">
        <v>29</v>
      </c>
      <c r="O24" s="128">
        <f>Script!M20</f>
        <v>5</v>
      </c>
      <c r="P24" s="128">
        <f>Script!N20</f>
        <v>1.8</v>
      </c>
      <c r="Q24" s="129" t="s">
        <v>29</v>
      </c>
      <c r="R24" s="129">
        <f>Script!P20</f>
        <v>1.5037593984962405E-2</v>
      </c>
      <c r="S24" s="129">
        <f>Script!Q20</f>
        <v>0</v>
      </c>
      <c r="T24" s="129">
        <f>Script!R20</f>
        <v>0</v>
      </c>
      <c r="U24" s="129">
        <f>Script!S20</f>
        <v>0</v>
      </c>
      <c r="V24" s="128"/>
    </row>
    <row r="25" spans="2:22" x14ac:dyDescent="0.25">
      <c r="H25" s="128">
        <f>Script!F22</f>
        <v>21</v>
      </c>
      <c r="I25" s="129">
        <f>Script!G22</f>
        <v>0</v>
      </c>
      <c r="J25" s="129">
        <f>Script!H22</f>
        <v>0</v>
      </c>
      <c r="K25" s="132">
        <f>Script!I22</f>
        <v>0</v>
      </c>
      <c r="L25" s="128">
        <f>Script!J22</f>
        <v>0</v>
      </c>
      <c r="M25" s="130">
        <f>Script!K22</f>
        <v>0</v>
      </c>
      <c r="N25" s="128" t="s">
        <v>37</v>
      </c>
      <c r="O25" s="128">
        <f>Script!M21</f>
        <v>0</v>
      </c>
      <c r="P25" s="128" t="str">
        <f>Script!N21</f>
        <v/>
      </c>
      <c r="Q25" s="129" t="s">
        <v>37</v>
      </c>
      <c r="R25" s="129">
        <f>Script!P21</f>
        <v>0</v>
      </c>
      <c r="S25" s="129">
        <f>Script!Q21</f>
        <v>0</v>
      </c>
      <c r="T25" s="129">
        <f>Script!R21</f>
        <v>0</v>
      </c>
      <c r="U25" s="129">
        <f>Script!S21</f>
        <v>0</v>
      </c>
      <c r="V25" s="128"/>
    </row>
    <row r="26" spans="2:22" x14ac:dyDescent="0.25">
      <c r="H26" s="128">
        <f>Script!F23</f>
        <v>22</v>
      </c>
      <c r="I26" s="129">
        <f>Script!G23</f>
        <v>0</v>
      </c>
      <c r="J26" s="129">
        <f>Script!H23</f>
        <v>0</v>
      </c>
      <c r="K26" s="132">
        <f>Script!I23</f>
        <v>0</v>
      </c>
      <c r="L26" s="128">
        <f>Script!J23</f>
        <v>0</v>
      </c>
      <c r="M26" s="130">
        <f>Script!K23</f>
        <v>0</v>
      </c>
      <c r="N26" s="128" t="s">
        <v>56</v>
      </c>
      <c r="O26" s="128">
        <f>Script!M22</f>
        <v>4</v>
      </c>
      <c r="P26" s="128">
        <f>Script!N22</f>
        <v>0.5</v>
      </c>
      <c r="Q26" s="129" t="s">
        <v>56</v>
      </c>
      <c r="R26" s="129">
        <f>Script!P22</f>
        <v>0</v>
      </c>
      <c r="S26" s="129">
        <f>Script!Q22</f>
        <v>0</v>
      </c>
      <c r="T26" s="129">
        <f>Script!R22</f>
        <v>0</v>
      </c>
      <c r="U26" s="129">
        <f>Script!S22</f>
        <v>0</v>
      </c>
      <c r="V26" s="128"/>
    </row>
    <row r="27" spans="2:22" x14ac:dyDescent="0.25">
      <c r="H27" s="128">
        <f>Script!F24</f>
        <v>23</v>
      </c>
      <c r="I27" s="129">
        <f>Script!G24</f>
        <v>0</v>
      </c>
      <c r="J27" s="129">
        <f>Script!H24</f>
        <v>0</v>
      </c>
      <c r="K27" s="132">
        <f>Script!I24</f>
        <v>0</v>
      </c>
      <c r="L27" s="128">
        <f>Script!J24</f>
        <v>0</v>
      </c>
      <c r="M27" s="130">
        <f>Script!K24</f>
        <v>0</v>
      </c>
      <c r="N27" s="128" t="s">
        <v>39</v>
      </c>
      <c r="O27" s="128">
        <f>Script!M23</f>
        <v>25</v>
      </c>
      <c r="P27" s="128">
        <f>Script!N23</f>
        <v>7</v>
      </c>
      <c r="Q27" s="129" t="s">
        <v>39</v>
      </c>
      <c r="R27" s="129">
        <f>Script!P23</f>
        <v>5.2631578947368418E-2</v>
      </c>
      <c r="S27" s="129">
        <f>Script!Q23</f>
        <v>0</v>
      </c>
      <c r="T27" s="129">
        <f>Script!R23</f>
        <v>0</v>
      </c>
      <c r="U27" s="129">
        <f>Script!S23</f>
        <v>0</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6</v>
      </c>
      <c r="P28" s="128">
        <f>Script!N24</f>
        <v>1.1666666666666667</v>
      </c>
      <c r="Q28" s="129" t="s">
        <v>42</v>
      </c>
      <c r="R28" s="129">
        <f>Script!P24</f>
        <v>0.15037593984962405</v>
      </c>
      <c r="S28" s="129">
        <f>Script!Q24</f>
        <v>0</v>
      </c>
      <c r="T28" s="129">
        <f>Script!R24</f>
        <v>0</v>
      </c>
      <c r="U28" s="129">
        <f>Script!S24</f>
        <v>0</v>
      </c>
      <c r="V28" s="128"/>
    </row>
    <row r="29" spans="2:22" x14ac:dyDescent="0.25">
      <c r="H29" s="128">
        <f>Script!F26</f>
        <v>25</v>
      </c>
      <c r="I29" s="129">
        <f>Script!G26</f>
        <v>0</v>
      </c>
      <c r="J29" s="129">
        <f>Script!H26</f>
        <v>0</v>
      </c>
      <c r="K29" s="132">
        <f>Script!I26</f>
        <v>0</v>
      </c>
      <c r="L29" s="128">
        <f>Script!J26</f>
        <v>0</v>
      </c>
      <c r="M29" s="130">
        <f>Script!K26</f>
        <v>0</v>
      </c>
      <c r="N29" s="128" t="s">
        <v>44</v>
      </c>
      <c r="O29" s="128">
        <f>Script!M25</f>
        <v>0</v>
      </c>
      <c r="P29" s="128" t="str">
        <f>Script!N25</f>
        <v/>
      </c>
      <c r="Q29" s="129" t="s">
        <v>44</v>
      </c>
      <c r="R29" s="129">
        <f>Script!P25</f>
        <v>0</v>
      </c>
      <c r="S29" s="129">
        <f>Script!Q25</f>
        <v>0</v>
      </c>
      <c r="T29" s="129">
        <f>Script!R25</f>
        <v>0</v>
      </c>
      <c r="U29" s="129">
        <f>Script!S25</f>
        <v>0</v>
      </c>
      <c r="V29" s="128"/>
    </row>
    <row r="30" spans="2:22" x14ac:dyDescent="0.25">
      <c r="H30" s="128">
        <f>Script!F27</f>
        <v>26</v>
      </c>
      <c r="I30" s="129">
        <f>Script!G27</f>
        <v>0</v>
      </c>
      <c r="J30" s="129">
        <f>Script!H27</f>
        <v>0</v>
      </c>
      <c r="K30" s="132">
        <f>Script!I27</f>
        <v>0</v>
      </c>
      <c r="N30" s="128" t="s">
        <v>48</v>
      </c>
      <c r="O30" s="128">
        <f>Script!M26</f>
        <v>2</v>
      </c>
      <c r="P30" s="128">
        <f>Script!N26</f>
        <v>1.5</v>
      </c>
      <c r="Q30" s="129" t="s">
        <v>48</v>
      </c>
      <c r="R30" s="129">
        <f>Script!P26</f>
        <v>7.5187969924812026E-3</v>
      </c>
      <c r="S30" s="129">
        <f>Script!Q26</f>
        <v>0</v>
      </c>
      <c r="T30" s="129">
        <f>Script!R26</f>
        <v>0</v>
      </c>
      <c r="U30" s="129">
        <f>Script!S26</f>
        <v>0</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25">
      <c r="H32" s="128">
        <f>Script!F29</f>
        <v>28</v>
      </c>
      <c r="I32" s="129">
        <f>Script!G29</f>
        <v>0</v>
      </c>
      <c r="J32" s="129">
        <f>Script!H29</f>
        <v>0</v>
      </c>
      <c r="K32" s="132">
        <f>Script!I29</f>
        <v>0</v>
      </c>
      <c r="N32" s="128" t="s">
        <v>33</v>
      </c>
      <c r="O32" s="128">
        <f>Script!M28</f>
        <v>2</v>
      </c>
      <c r="P32" s="128">
        <f>Script!N28</f>
        <v>6.5</v>
      </c>
      <c r="Q32" s="129" t="s">
        <v>33</v>
      </c>
      <c r="R32" s="129" t="str">
        <f>Script!P28</f>
        <v/>
      </c>
      <c r="S32" s="129">
        <f>Script!Q28</f>
        <v>0</v>
      </c>
      <c r="T32" s="129">
        <f>Script!R28</f>
        <v>0</v>
      </c>
      <c r="U32" s="129">
        <f>Script!S28</f>
        <v>0</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20</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1v6Y25sRWxA8L7wzIlcdMEL4dnnrupqpG34YvlKK2VRUZc+dkS4QLKKcKOC3s9ErG+Ll5UFppDDJlyJM54aS2w==" saltValue="Go0ha4fu6OI50YFWYLDOFQ=="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22" priority="14" operator="equal">
      <formula>"My file is NOT ready to submit"</formula>
    </cfRule>
    <cfRule type="cellIs" dxfId="21"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zoomScale="85" zoomScaleNormal="115" workbookViewId="0">
      <pane xSplit="1" ySplit="1" topLeftCell="AR2" activePane="bottomRight" state="frozen"/>
      <selection activeCell="B5" sqref="B5"/>
      <selection pane="topRight" activeCell="B5" sqref="B5"/>
      <selection pane="bottomLeft" activeCell="B5" sqref="B5"/>
      <selection pane="bottomRight" activeCell="AY13" sqref="AY13"/>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v>413922</v>
      </c>
      <c r="B2" s="19">
        <v>45669</v>
      </c>
      <c r="C2" s="64">
        <v>0.33333333333333331</v>
      </c>
      <c r="D2" s="64" t="s">
        <v>1147</v>
      </c>
      <c r="E2" s="19">
        <v>45669</v>
      </c>
      <c r="F2" s="20">
        <v>4</v>
      </c>
      <c r="G2" s="18" t="s">
        <v>1108</v>
      </c>
      <c r="H2" s="65"/>
      <c r="I2" s="18" t="s">
        <v>1121</v>
      </c>
      <c r="J2" s="66" t="s">
        <v>27</v>
      </c>
      <c r="K2" s="66" t="s">
        <v>420</v>
      </c>
      <c r="L2" s="67" t="s">
        <v>1124</v>
      </c>
      <c r="M2" s="68"/>
      <c r="N2" s="68"/>
      <c r="O2" s="69"/>
      <c r="P2" s="134">
        <v>0.3263888888888889</v>
      </c>
      <c r="Q2" s="70"/>
      <c r="R2" s="134">
        <v>0.35555555555555557</v>
      </c>
      <c r="S2" s="70"/>
      <c r="T2" s="134">
        <v>0.3888888888888889</v>
      </c>
      <c r="U2" s="70"/>
      <c r="V2" s="134">
        <v>0.40347222222222223</v>
      </c>
      <c r="W2" s="70"/>
      <c r="X2" s="134">
        <v>0.40416666666666662</v>
      </c>
      <c r="Y2" s="70"/>
      <c r="Z2" s="134">
        <v>0.40972222222222227</v>
      </c>
      <c r="AA2" s="70" t="s">
        <v>1121</v>
      </c>
      <c r="AB2" s="19">
        <v>45669</v>
      </c>
      <c r="AC2" s="20" t="s">
        <v>1108</v>
      </c>
      <c r="AD2" s="19"/>
      <c r="AE2" s="71">
        <f t="shared" ref="AE2" si="0">IF(P2&lt;&gt;"",HOUR(P2)*60+MINUTE(P2),"")</f>
        <v>470</v>
      </c>
      <c r="AF2" s="71">
        <f t="shared" ref="AF2" si="1">IF(V2&lt;&gt;"",HOUR(V2)*60+MINUTE(V2),"")</f>
        <v>581</v>
      </c>
      <c r="AG2" s="71">
        <f>IF(OR(AE2="",AF2=""),"",IF(AE2=AF2,0,IF(AF2&gt;AE2,AF2-AE2,1440-AE2+AF2)))</f>
        <v>111</v>
      </c>
      <c r="AH2" s="71">
        <f>IF(OR(AE2="",AF2="",AG2=""),"",IF(AE2&gt;=$BK$4,IF(AF2&gt;$BK$4,IF(AF2&lt;=$BK$5,IF(AE2&gt;=$BK$4,AG2,""),""),""),0))</f>
        <v>0</v>
      </c>
      <c r="AI2" s="71">
        <f>IF(OR(AE2="",AF2="",$BK$4="",$BK$5=""),"",IF(AE2&lt;$BK$4,IF(AF2&gt;$BK$4,IF(AF2&lt;$BK$5,AF2-$BK$4,($BK$5-$BK$4)),""),""))</f>
        <v>101</v>
      </c>
      <c r="AJ2" s="71" t="str">
        <f>IF(OR(AE2="",AF2="",$BK$4="",$BK$5=""),"",IF(AE2&gt;$BK$4,IF(AE2&lt;$BK$5,IF(OR(AF2&gt;$BK$5,AF2&lt;$BK$4),$BK$5-AE2,""),""),""))</f>
        <v/>
      </c>
      <c r="AK2" s="71" t="str">
        <f>IF(OR(AE2="",AF2="",$BK$4="",$BK$5=""),"",IF(AND(AE2&lt;$BK$4,AF2&lt;$BK$4),((AF2-AE2)),""))</f>
        <v/>
      </c>
      <c r="AL2" s="71">
        <f>IF(AND(AH2="",AI2="",AJ2="",AK2=""),"",SUM(AH2:AK2))</f>
        <v>101</v>
      </c>
      <c r="AM2" s="71">
        <f>IF(OR(AG2="",AL2=""),IF(AL2="",AG2,""),AG2-AL2)</f>
        <v>10</v>
      </c>
      <c r="AN2" s="72">
        <f t="shared" ref="AN2" si="2">IF(AL2="","",IF(OR(C2="",R2=""),"",IF(((R2+Q2)-C2)&lt;0,0,((R2+Q2)-C2))))</f>
        <v>2.2222222222222254E-2</v>
      </c>
      <c r="AO2" s="73">
        <f t="shared" ref="AO2" si="3">IF(AL2="","",IF(OR(E2="",B2="",G2="yes"),"",B2-E2))</f>
        <v>0</v>
      </c>
      <c r="AP2" s="72" t="str">
        <f>IF(AN2="","",IF(AN2&gt;$AY$6,"No","Yes"))</f>
        <v>No</v>
      </c>
      <c r="AQ2" s="72">
        <f t="shared" ref="AQ2" si="4">IF(AL2="","",IF(OR(X2="",Z2=""),"",Z2+Y2-X2))</f>
        <v>5.5555555555556468E-3</v>
      </c>
      <c r="AR2" s="72" t="str">
        <f t="shared" ref="AR2" si="5">IF(AL2="","",IF(OR(I2="",I2="No",,G2="yes"),"",IF(AB2=E2,"Yes","No")))</f>
        <v>Yes</v>
      </c>
      <c r="AS2" s="72" t="str">
        <f t="shared" ref="AS2" si="6">IF(G2="YES","",(IF(OR(A2="",AB2="",E2=""),"",(IF(OR(I2="",I2="No",,G2="Yes"),"",IF(OR(B2&lt;&gt;AB2,B2&lt;&gt;E2),IF(AB2&lt;E2,"Validate","Yes"),"No"))))))</f>
        <v>No</v>
      </c>
      <c r="AT2" s="72" t="str">
        <f t="shared" ref="AT2" si="7">IF(OR(AL2="",AB2="",I2="No"),"",IF(OR(AD2=AB2,AD2=AB2+1),"Yes","No"))</f>
        <v>No</v>
      </c>
      <c r="AU2" s="3"/>
      <c r="AV2" s="20">
        <v>8</v>
      </c>
      <c r="AW2" s="20" t="s">
        <v>442</v>
      </c>
      <c r="AX2" s="3"/>
      <c r="AY2" s="45">
        <f>(IF((HOUR(BO2)*60+MINUTE(BO2)+(BP2*24*60))=(HOUR(BQ2)*60+MINUTE(BQ2)),0,IF((HOUR(BQ2)*60+MINUTE(BQ2)+(BP2*24*60))&gt;(HOUR(BO2)*60+MINUTE(BO2)),(HOUR(BQ2)*60+MINUTE(BQ2)+(BP2*24*60))-(HOUR(BO2)*60+MINUTE(BO2)),1440-(HOUR(BO2)*60+MINUTE(BO2))+(HOUR(BQ2)*60+MINUTE(BQ2)+(BP2*24*60)))))/60</f>
        <v>8</v>
      </c>
      <c r="AZ2" s="46"/>
      <c r="BA2" s="20"/>
      <c r="BB2" s="46"/>
      <c r="BC2" s="20"/>
      <c r="BD2" s="20"/>
      <c r="BE2" s="20"/>
      <c r="BF2" s="47" t="str">
        <f>IFERROR(IF(OR(ISBLANK(AZ2),ISBLANK(BB2)),"",BB2-AZ2),"")</f>
        <v/>
      </c>
      <c r="BG2" s="3"/>
      <c r="BH2" s="74">
        <f>IFERROR(SUM($AL$2:$AL$1288)/(5*AY3*AY5),"")</f>
        <v>0.83827380952380948</v>
      </c>
      <c r="BI2" s="74">
        <f>IFERROR((SUM($AL$2:$AM$1288)+SUM($AQ$2:$AQ$1288))/(5*AY3*AY5),"")</f>
        <v>0.91380485284391544</v>
      </c>
      <c r="BJ2" s="75">
        <f>IFERROR((COUNTIFS($G$2:$G$1288,"Yes",A2:A1288,"&gt;0",B2:B1288,"&gt;0"))/(COUNTIFS($G$2:$G$1288,"Yes",A2:A1288,"&gt;0",B2:B1288,"&gt;0")+COUNTIFS($G$2:$G$1288,"No",A2:A1288,"&gt;0",B2:B1288,"&gt;0")),"")</f>
        <v>0</v>
      </c>
      <c r="BK2" s="75">
        <f>IFERROR(COUNTIFS($P$2:$P$1288,"&gt;0",A2:A1288,"&gt;0",B2:B1288,"&gt;0")/(BL2+BN2),"")</f>
        <v>0.80722891566265065</v>
      </c>
      <c r="BL2" s="45">
        <f>IFERROR(COUNTIFS($A$2:$A$1288,"&gt;0",B2:B1288,"&gt;0",$AL$2:$AL$1288,"&gt;0"),"")</f>
        <v>134</v>
      </c>
      <c r="BM2" s="75" t="e">
        <f>SUM(AQ2:AQ601)/((SUMPRODUCT(($F$2:$F$601&lt;&gt;"")/COUNTIF($F$2:$F$601,$F$2:$F$601&amp;"")))*AY1*22)</f>
        <v>#VALUE!</v>
      </c>
      <c r="BN2" s="76">
        <v>32</v>
      </c>
      <c r="BO2" s="77">
        <v>0.33333333333333331</v>
      </c>
      <c r="BP2" s="77"/>
      <c r="BQ2" s="77">
        <v>0.66666666666666663</v>
      </c>
      <c r="BR2" s="45">
        <f>IFERROR(COUNTIFS($A$2:$A$1288,"&gt;0",B2:B1288,"&gt;0",$P$2:$P$1288,"&gt;BN2"),"")</f>
        <v>0</v>
      </c>
      <c r="BS2" s="75">
        <f>IFERROR(BN2/($BN$2+BL2),"")</f>
        <v>0.19277108433734941</v>
      </c>
      <c r="BT2" s="45">
        <f>IFERROR(AVERAGE($AO$2:$AO$1288),"")</f>
        <v>1.9253731343283582</v>
      </c>
      <c r="BU2" s="47" t="str">
        <f>IFERROR(AVERAGE(BF2:BF109),"")</f>
        <v/>
      </c>
      <c r="BV2" s="75">
        <f>IFERROR(COUNTIFS($AR$2:$AR$1288,"Yes",A2:A1288,"&gt;0",B2:B1288,"&gt;0")/COUNTIF($AL$2:$AL$1288,"&gt; 0"),"")</f>
        <v>0.52238805970149249</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0</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f t="shared" ref="CN2" si="8">IF(OR(P2="",R2=""),"",IF(P2+Q2=R2,1,0))</f>
        <v>0</v>
      </c>
      <c r="CO2" s="78">
        <f t="shared" ref="CO2" si="9">IF(OR(R2="",T2=""),"",IF(R2+S2=T2,1,0))</f>
        <v>0</v>
      </c>
      <c r="CP2" s="78">
        <f t="shared" ref="CP2" si="10">IF(OR(T2="",V2=""),"",IF(T2+U2=V2,1,0))</f>
        <v>0</v>
      </c>
      <c r="CQ2" s="78">
        <f t="shared" ref="CQ2" si="11">IF(OR(V2="",X2=""),"",IF(V2+W2=X2,1,0))</f>
        <v>0</v>
      </c>
      <c r="CR2" s="78">
        <f t="shared" ref="CR2" si="12">IF(OR(X2="",Z2=""),"",IF(X2+Y2=Z2,1,0))</f>
        <v>0</v>
      </c>
      <c r="CS2" s="78">
        <f t="shared" ref="CS2" si="13">IF(OR(P2="",R2="",T2="",X2="",Z2="",V2=""),"",IF(P2=R2,1,IF(P2=T2,1,IF(P2=V2,1,IF(P2=X2,1,IF(P2=Z2,1,IF(R2=T2,1,IF(R2=V2,1,IF(R2=X2,1,IF(R2=Z2,1,IF(T2=V2,1,IF(T2=X2,1,IF(T2=Z2,1,IF(V2=X2,1,IF(V2=Z2,1,IF(X2=Z2,1,0))))))))))))))))</f>
        <v>0</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 t="shared" ref="DB2" si="20">IF(COUNTIFS($P$2:$P$601,P2,$R$2:$R$601,R2)&gt;1,1,0)</f>
        <v>0</v>
      </c>
      <c r="DC2" s="78">
        <f>IF(COUNTIFS($P$2:$P$1288,P2,$T$2:$T$1288,T2,$R$2:$R$1288,R2,$V$2:$V$1288,V2)&gt;1,1,0)</f>
        <v>0</v>
      </c>
      <c r="DD2" s="78">
        <f t="shared" ref="DD2" si="21">IF(COUNTIFS($T$2:$T$601,T2,$V$2:$V$601,V2,$P$2:$P$601,P2,$X$2:$X$601,X2)&gt;1,1,0)</f>
        <v>0</v>
      </c>
      <c r="DE2" s="78">
        <f t="shared" ref="DE2" si="22">IF(ISERROR(DATEVALUE(TEXT(B2,"mm/dd/yyyy"))),"1",IF(B2 &gt;=DATEVALUE(TEXT("06/01/2000","mm/dd/yyyy")),1,"0"))</f>
        <v>1</v>
      </c>
      <c r="DF2" s="78">
        <f t="shared" ref="DF2" si="23">IF(ISERROR(DATEVALUE(TEXT(E2,"mm/dd/yyyy"))),"1",IF(E2 &gt;=DATEVALUE(TEXT("06/01/2000","mm/dd/yyyy")),1,"0"))</f>
        <v>1</v>
      </c>
      <c r="DG2" s="78">
        <f t="shared" ref="DG2" si="24">IF(ISERROR(DATEVALUE(TEXT(AB2,"mm/dd/yyyy"))),"1",IF(AB2 &gt;=DATEVALUE(TEXT("06/01/2000","mm/dd/yyyy")),1,"0"))</f>
        <v>1</v>
      </c>
      <c r="DH2" s="78" t="str">
        <f>IF(ISERROR(DATEVALUE(TEXT(AD2,"mm/dd/yyyy"))),"1",IF(AD2 &gt;=DATEVALUE(TEXT("06/01/2000","mm/dd/yyyy")),1,"0"))</f>
        <v>1</v>
      </c>
      <c r="DI2" s="79">
        <f>IFERROR(IF(J2="","",VLOOKUP(J2,Lists!$D$3:$E$13,2,FALSE)),1)</f>
        <v>0</v>
      </c>
      <c r="DJ2" s="79">
        <f>IFERROR(IF(K2="","",VLOOKUP(K2,Lists!$F$3:$G$14,2,FALSE)),1)</f>
        <v>0</v>
      </c>
      <c r="DK2" s="79" t="str">
        <f>IFERROR(IF(M2="","",VLOOKUP(M2,Lists!$AA$3:$AB$18,2,FALSE)),1)</f>
        <v/>
      </c>
      <c r="DL2" s="79" t="str">
        <f>IFERROR(IF(N2="","",VLOOKUP(N2,Lists!$AC$3:$AD$13,2,FALSE)),1)</f>
        <v/>
      </c>
    </row>
    <row r="3" spans="1:116" ht="15" customHeight="1" x14ac:dyDescent="0.2">
      <c r="A3" s="20">
        <v>168328</v>
      </c>
      <c r="B3" s="19">
        <v>45669</v>
      </c>
      <c r="C3" s="64">
        <v>0.41666666666666669</v>
      </c>
      <c r="D3" s="64" t="s">
        <v>1112</v>
      </c>
      <c r="E3" s="19">
        <v>45669</v>
      </c>
      <c r="F3" s="20">
        <v>4</v>
      </c>
      <c r="G3" s="18" t="s">
        <v>1108</v>
      </c>
      <c r="H3" s="65"/>
      <c r="I3" s="18" t="s">
        <v>1121</v>
      </c>
      <c r="J3" s="66" t="s">
        <v>27</v>
      </c>
      <c r="K3" s="66" t="s">
        <v>420</v>
      </c>
      <c r="L3" s="67" t="s">
        <v>1124</v>
      </c>
      <c r="M3" s="68"/>
      <c r="N3" s="68"/>
      <c r="O3" s="69"/>
      <c r="P3" s="134">
        <v>0.41666666666666669</v>
      </c>
      <c r="Q3" s="70"/>
      <c r="R3" s="134">
        <v>0.4381944444444445</v>
      </c>
      <c r="S3" s="70"/>
      <c r="T3" s="134">
        <v>0.45833333333333331</v>
      </c>
      <c r="U3" s="70"/>
      <c r="V3" s="134">
        <v>0.46875</v>
      </c>
      <c r="W3" s="70"/>
      <c r="X3" s="134">
        <v>0.4694444444444445</v>
      </c>
      <c r="Y3" s="70"/>
      <c r="Z3" s="134">
        <v>0.47569444444444442</v>
      </c>
      <c r="AA3" s="70" t="s">
        <v>1121</v>
      </c>
      <c r="AB3" s="19">
        <v>45669</v>
      </c>
      <c r="AC3" s="20" t="s">
        <v>1108</v>
      </c>
      <c r="AD3" s="19"/>
      <c r="AE3" s="71">
        <f t="shared" ref="AE3:AE66" si="25">IF(P3&lt;&gt;"",HOUR(P3)*60+MINUTE(P3),"")</f>
        <v>600</v>
      </c>
      <c r="AF3" s="71">
        <f t="shared" ref="AF3:AF66" si="26">IF(V3&lt;&gt;"",HOUR(V3)*60+MINUTE(V3),"")</f>
        <v>675</v>
      </c>
      <c r="AG3" s="71">
        <f t="shared" ref="AG3:AG66" si="27">IF(OR(AE3="",AF3=""),"",IF(AE3=AF3,0,IF(AF3&gt;AE3,AF3-AE3,1440-AE3+AF3)))</f>
        <v>75</v>
      </c>
      <c r="AH3" s="71">
        <f t="shared" ref="AH3:AH66" si="28">IF(OR(AE3="",AF3="",AG3=""),"",IF(AE3&gt;=$BK$4,IF(AF3&gt;$BK$4,IF(AF3&lt;=$BK$5,IF(AE3&gt;=$BK$4,AG3,""),""),""),0))</f>
        <v>75</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f t="shared" ref="AL3:AL66" si="32">IF(AND(AH3="",AI3="",AJ3="",AK3=""),"",SUM(AH3:AK3))</f>
        <v>75</v>
      </c>
      <c r="AM3" s="71">
        <f t="shared" ref="AM3:AM66" si="33">IF(OR(AG3="",AL3=""),IF(AL3="",AG3,""),AG3-AL3)</f>
        <v>0</v>
      </c>
      <c r="AN3" s="72">
        <f t="shared" ref="AN3:AN66" si="34">IF(AL3="","",IF(OR(C3="",R3=""),"",IF(((R3+Q3)-C3)&lt;0,0,((R3+Q3)-C3))))</f>
        <v>2.1527777777777812E-2</v>
      </c>
      <c r="AO3" s="73">
        <f t="shared" ref="AO3:AO66" si="35">IF(AL3="","",IF(OR(E3="",B3="",G3="yes"),"",B3-E3))</f>
        <v>0</v>
      </c>
      <c r="AP3" s="72" t="str">
        <f t="shared" ref="AP3:AP66" si="36">IF(AN3="","",IF(AN3&gt;$AY$6,"No","Yes"))</f>
        <v>No</v>
      </c>
      <c r="AQ3" s="72">
        <f t="shared" ref="AQ3:AQ66" si="37">IF(AL3="","",IF(OR(X3="",Z3=""),"",Z3+Y3-X3))</f>
        <v>6.2499999999999223E-3</v>
      </c>
      <c r="AR3" s="72" t="str">
        <f t="shared" ref="AR3:AR66" si="38">IF(AL3="","",IF(OR(I3="",I3="No",,G3="yes"),"",IF(AB3=E3,"Yes","No")))</f>
        <v>Yes</v>
      </c>
      <c r="AS3" s="72" t="str">
        <f t="shared" ref="AS3:AS66" si="39">IF(G3="YES","",(IF(OR(A3="",AB3="",E3=""),"",(IF(OR(I3="",I3="No",,G3="Yes"),"",IF(OR(B3&lt;&gt;AB3,B3&lt;&gt;E3),IF(AB3&lt;E3,"Validate","Yes"),"No"))))))</f>
        <v>No</v>
      </c>
      <c r="AT3" s="72" t="str">
        <f t="shared" ref="AT3:AT66" si="40">IF(OR(AL3="",AB3="",I3="No"),"",IF(OR(AD3=AB3,AD3=AB3+1),"Yes","No"))</f>
        <v>No</v>
      </c>
      <c r="AU3" s="3"/>
      <c r="AV3" s="20">
        <v>9</v>
      </c>
      <c r="AW3" s="20" t="s">
        <v>442</v>
      </c>
      <c r="AX3" s="3"/>
      <c r="AY3" s="48">
        <f>AY2*60</f>
        <v>480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42">IFERROR(COUNTIFS($AR$2:$AR$1288,"Yes",$K$2:$K$1288,$CA3)/(COUNTIF($AL$2:$AL$1288,"&gt; 0")),"")</f>
        <v>0</v>
      </c>
      <c r="CC3" s="75">
        <f t="shared" ref="CC3:CC13" si="43">IFERROR(COUNTIFS($AT$2:$AT$1288,"Yes",$K$2:$K$1288,$CA3)/(COUNTIF($AT$2:$AT$1288,"Yes")+COUNTIF($AT$2:$AT$1288,"No")),"")</f>
        <v>0</v>
      </c>
      <c r="CD3" s="75">
        <f t="shared" ref="CD3:CD13" si="44">IFERROR(COUNTIFS($G$2:$G$1288,"Yes",$I$2:$I$1288,"Yes",$K$2:$K$1288,$CA3)/(COUNTIFS($G$2:$G$1288,"Yes",$I$2:$I$1288,"Yes")+COUNTIFS($G$2:$G$1288,"No",$I$2:$I$1288,"Yes")),"")</f>
        <v>0</v>
      </c>
      <c r="CE3" s="75">
        <f t="shared" ref="CE3:CE13" si="45">IFERROR(COUNTIFS($AS$2:$AS$1288,"Yes",$K$2:$K$1288,$CA3)/COUNTIFS($I$2:$I$1288,"Yes",$G$2:$G$1288,"No"),"")</f>
        <v>0</v>
      </c>
      <c r="CF3" s="75" t="str">
        <f t="shared" ref="CF3:CF13" si="46">IFERROR(COUNTIFS($AR$2:$AR$1288,"Yes",$K$2:$K$1288,$CA3)/(COUNTIF($K$2:$K$1288,$CA3)+COUNTIF($N$2:$N$1288,$CA3)),"")</f>
        <v/>
      </c>
      <c r="CG3" s="3"/>
      <c r="CH3" s="3"/>
      <c r="CI3" s="3"/>
      <c r="CJ3" s="3"/>
      <c r="CK3" s="3"/>
      <c r="CM3" s="3"/>
      <c r="CN3" s="78">
        <f t="shared" ref="CN3:CN66" si="47">IF(OR(P3="",R3=""),"",IF(P3+Q3=R3,1,0))</f>
        <v>0</v>
      </c>
      <c r="CO3" s="78">
        <f t="shared" ref="CO3:CO66" si="48">IF(OR(R3="",T3=""),"",IF(R3+S3=T3,1,0))</f>
        <v>0</v>
      </c>
      <c r="CP3" s="78">
        <f t="shared" ref="CP3:CP66" si="49">IF(OR(T3="",V3=""),"",IF(T3+U3=V3,1,0))</f>
        <v>0</v>
      </c>
      <c r="CQ3" s="78">
        <f t="shared" ref="CQ3:CQ66" si="50">IF(OR(V3="",X3=""),"",IF(V3+W3=X3,1,0))</f>
        <v>0</v>
      </c>
      <c r="CR3" s="78">
        <f t="shared" ref="CR3:CR66" si="51">IF(OR(X3="",Z3=""),"",IF(X3+Y3=Z3,1,0))</f>
        <v>0</v>
      </c>
      <c r="CS3" s="78">
        <f t="shared" ref="CS3:CS66" si="52">IF(OR(P3="",R3="",T3="",X3="",Z3="",V3=""),"",IF(P3=R3,1,IF(P3=T3,1,IF(P3=V3,1,IF(P3=X3,1,IF(P3=Z3,1,IF(R3=T3,1,IF(R3=V3,1,IF(R3=X3,1,IF(R3=Z3,1,IF(T3=V3,1,IF(T3=X3,1,IF(T3=Z3,1,IF(V3=X3,1,IF(V3=Z3,1,IF(X3=Z3,1,0))))))))))))))))</f>
        <v>0</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0</v>
      </c>
      <c r="DB3" s="78">
        <f t="shared" ref="DB3:DB66" si="60">IF(COUNTIFS($P$2:$P$601,P3,$R$2:$R$601,R3)&gt;1,1,0)</f>
        <v>0</v>
      </c>
      <c r="DC3" s="78">
        <f t="shared" ref="DC3:DC66" si="61">IF(COUNTIFS($P$2:$P$1288,P3,$T$2:$T$1288,T3,$R$2:$R$1288,R3,$V$2:$V$1288,V3)&gt;1,1,0)</f>
        <v>0</v>
      </c>
      <c r="DD3" s="78">
        <f t="shared" ref="DD3:DD66" si="62">IF(COUNTIFS($T$2:$T$601,T3,$V$2:$V$601,V3,$P$2:$P$601,P3,$X$2:$X$601,X3)&gt;1,1,0)</f>
        <v>0</v>
      </c>
      <c r="DE3" s="78">
        <f t="shared" ref="DE3:DE66" si="63">IF(ISERROR(DATEVALUE(TEXT(B3,"mm/dd/yyyy"))),"1",IF(B3 &gt;=DATEVALUE(TEXT("06/01/2000","mm/dd/yyyy")),1,"0"))</f>
        <v>1</v>
      </c>
      <c r="DF3" s="78">
        <f t="shared" ref="DF3:DF66" si="64">IF(ISERROR(DATEVALUE(TEXT(E3,"mm/dd/yyyy"))),"1",IF(E3 &gt;=DATEVALUE(TEXT("06/01/2000","mm/dd/yyyy")),1,"0"))</f>
        <v>1</v>
      </c>
      <c r="DG3" s="78">
        <f t="shared" ref="DG3:DG66" si="65">IF(ISERROR(DATEVALUE(TEXT(AB3,"mm/dd/yyyy"))),"1",IF(AB3 &gt;=DATEVALUE(TEXT("06/01/2000","mm/dd/yyyy")),1,"0"))</f>
        <v>1</v>
      </c>
      <c r="DH3" s="78" t="str">
        <f t="shared" ref="DH3:DH66" si="66">IF(ISERROR(DATEVALUE(TEXT(AD3,"mm/dd/yyyy"))),"1",IF(AD3 &gt;=DATEVALUE(TEXT("06/01/2000","mm/dd/yyyy")),1,"0"))</f>
        <v>1</v>
      </c>
      <c r="DI3" s="79">
        <f>IFERROR(IF(J3="","",VLOOKUP(J3,Lists!$D$3:$E$13,2,FALSE)),1)</f>
        <v>0</v>
      </c>
      <c r="DJ3" s="79">
        <f>IFERROR(IF(K3="","",VLOOKUP(K3,Lists!$F$3:$G$14,2,FALSE)),1)</f>
        <v>0</v>
      </c>
      <c r="DK3" s="79" t="str">
        <f>IFERROR(IF(M3="","",VLOOKUP(M3,Lists!$AA$3:$AB$18,2,FALSE)),1)</f>
        <v/>
      </c>
      <c r="DL3" s="79" t="str">
        <f>IFERROR(IF(N3="","",VLOOKUP(N3,Lists!$AC$3:$AD$13,2,FALSE)),1)</f>
        <v/>
      </c>
    </row>
    <row r="4" spans="1:116" ht="15" customHeight="1" x14ac:dyDescent="0.2">
      <c r="A4" s="20">
        <v>352100</v>
      </c>
      <c r="B4" s="19">
        <v>45669</v>
      </c>
      <c r="C4" s="64">
        <v>0.47916666666666669</v>
      </c>
      <c r="D4" s="64" t="s">
        <v>1117</v>
      </c>
      <c r="E4" s="19">
        <v>45669</v>
      </c>
      <c r="F4" s="20">
        <v>4</v>
      </c>
      <c r="G4" s="18" t="s">
        <v>1108</v>
      </c>
      <c r="H4" s="65"/>
      <c r="I4" s="18" t="s">
        <v>1121</v>
      </c>
      <c r="J4" s="66" t="s">
        <v>27</v>
      </c>
      <c r="K4" s="66" t="s">
        <v>420</v>
      </c>
      <c r="L4" s="67" t="s">
        <v>1124</v>
      </c>
      <c r="M4" s="68"/>
      <c r="N4" s="68"/>
      <c r="O4" s="69"/>
      <c r="P4" s="134">
        <v>0.47916666666666669</v>
      </c>
      <c r="Q4" s="70"/>
      <c r="R4" s="134">
        <v>0.4861111111111111</v>
      </c>
      <c r="S4" s="70"/>
      <c r="T4" s="134">
        <v>0.5</v>
      </c>
      <c r="U4" s="70"/>
      <c r="V4" s="134">
        <v>0.51388888888888895</v>
      </c>
      <c r="W4" s="70"/>
      <c r="X4" s="134">
        <v>0.51458333333333328</v>
      </c>
      <c r="Y4" s="70"/>
      <c r="Z4" s="134">
        <v>0.5625</v>
      </c>
      <c r="AA4" s="70" t="s">
        <v>1121</v>
      </c>
      <c r="AB4" s="19">
        <v>45669</v>
      </c>
      <c r="AC4" s="20" t="s">
        <v>1108</v>
      </c>
      <c r="AD4" s="19"/>
      <c r="AE4" s="71">
        <f t="shared" si="25"/>
        <v>690</v>
      </c>
      <c r="AF4" s="71">
        <f t="shared" si="26"/>
        <v>740</v>
      </c>
      <c r="AG4" s="71">
        <f t="shared" si="27"/>
        <v>50</v>
      </c>
      <c r="AH4" s="71">
        <f t="shared" si="28"/>
        <v>50</v>
      </c>
      <c r="AI4" s="71" t="str">
        <f t="shared" si="29"/>
        <v/>
      </c>
      <c r="AJ4" s="71" t="str">
        <f t="shared" si="30"/>
        <v/>
      </c>
      <c r="AK4" s="71" t="str">
        <f t="shared" si="31"/>
        <v/>
      </c>
      <c r="AL4" s="71">
        <f t="shared" si="32"/>
        <v>50</v>
      </c>
      <c r="AM4" s="71">
        <f t="shared" si="33"/>
        <v>0</v>
      </c>
      <c r="AN4" s="72">
        <f t="shared" si="34"/>
        <v>6.9444444444444198E-3</v>
      </c>
      <c r="AO4" s="73">
        <f t="shared" si="35"/>
        <v>0</v>
      </c>
      <c r="AP4" s="72" t="str">
        <f t="shared" si="36"/>
        <v>Yes</v>
      </c>
      <c r="AQ4" s="72">
        <f t="shared" si="37"/>
        <v>4.7916666666666718E-2</v>
      </c>
      <c r="AR4" s="72" t="str">
        <f t="shared" si="38"/>
        <v>Yes</v>
      </c>
      <c r="AS4" s="72" t="str">
        <f t="shared" si="39"/>
        <v>No</v>
      </c>
      <c r="AT4" s="72" t="str">
        <f t="shared" si="40"/>
        <v>No</v>
      </c>
      <c r="AU4" s="3"/>
      <c r="AV4" s="20">
        <v>10</v>
      </c>
      <c r="AW4" s="20" t="s">
        <v>442</v>
      </c>
      <c r="AX4" s="3"/>
      <c r="AY4" s="37" t="s">
        <v>404</v>
      </c>
      <c r="AZ4" s="46"/>
      <c r="BA4" s="20"/>
      <c r="BB4" s="46"/>
      <c r="BC4" s="20"/>
      <c r="BD4" s="20"/>
      <c r="BE4" s="20"/>
      <c r="BF4" s="47" t="str">
        <f t="shared" si="41"/>
        <v/>
      </c>
      <c r="BG4" s="3"/>
      <c r="BH4" s="152" t="s">
        <v>405</v>
      </c>
      <c r="BI4" s="153"/>
      <c r="BJ4" s="153"/>
      <c r="BK4" s="56">
        <f>(HOUR(BO2)*60+MINUTE(BO2))</f>
        <v>480</v>
      </c>
      <c r="BL4" s="56">
        <f>(HOUR(BQ2)*60+MINUTE(BQ2))</f>
        <v>960</v>
      </c>
      <c r="BM4" s="49"/>
      <c r="BN4" s="3"/>
      <c r="BO4" s="3"/>
      <c r="BP4" s="3"/>
      <c r="BQ4" s="3"/>
      <c r="BR4" s="3"/>
      <c r="BS4" s="3"/>
      <c r="BT4" s="3"/>
      <c r="BU4" s="80"/>
      <c r="BV4" s="3"/>
      <c r="BW4" s="3"/>
      <c r="BX4" s="3"/>
      <c r="BY4" s="3"/>
      <c r="BZ4" s="3"/>
      <c r="CA4" s="44" t="s">
        <v>406</v>
      </c>
      <c r="CB4" s="75">
        <f t="shared" si="42"/>
        <v>0</v>
      </c>
      <c r="CC4" s="75">
        <f t="shared" si="43"/>
        <v>0</v>
      </c>
      <c r="CD4" s="75">
        <f t="shared" si="44"/>
        <v>0</v>
      </c>
      <c r="CE4" s="75">
        <f t="shared" si="45"/>
        <v>0</v>
      </c>
      <c r="CF4" s="75" t="str">
        <f t="shared" si="46"/>
        <v/>
      </c>
      <c r="CG4" s="3"/>
      <c r="CH4" s="3"/>
      <c r="CI4" s="3"/>
      <c r="CJ4" s="3"/>
      <c r="CK4" s="3"/>
      <c r="CM4" s="3"/>
      <c r="CN4" s="78">
        <f t="shared" si="47"/>
        <v>0</v>
      </c>
      <c r="CO4" s="78">
        <f t="shared" si="48"/>
        <v>0</v>
      </c>
      <c r="CP4" s="78">
        <f t="shared" si="49"/>
        <v>0</v>
      </c>
      <c r="CQ4" s="78">
        <f t="shared" si="50"/>
        <v>0</v>
      </c>
      <c r="CR4" s="78">
        <f t="shared" si="51"/>
        <v>0</v>
      </c>
      <c r="CS4" s="78">
        <f t="shared" si="52"/>
        <v>0</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0</v>
      </c>
      <c r="DC4" s="78">
        <f t="shared" si="61"/>
        <v>0</v>
      </c>
      <c r="DD4" s="78">
        <f t="shared" si="62"/>
        <v>0</v>
      </c>
      <c r="DE4" s="78">
        <f t="shared" si="63"/>
        <v>1</v>
      </c>
      <c r="DF4" s="78">
        <f t="shared" si="64"/>
        <v>1</v>
      </c>
      <c r="DG4" s="78">
        <f t="shared" si="65"/>
        <v>1</v>
      </c>
      <c r="DH4" s="78" t="str">
        <f t="shared" si="66"/>
        <v>1</v>
      </c>
      <c r="DI4" s="79">
        <f>IFERROR(IF(J4="","",VLOOKUP(J4,Lists!$D$3:$E$13,2,FALSE)),1)</f>
        <v>0</v>
      </c>
      <c r="DJ4" s="79">
        <f>IFERROR(IF(K4="","",VLOOKUP(K4,Lists!$F$3:$G$14,2,FALSE)),1)</f>
        <v>0</v>
      </c>
      <c r="DK4" s="79" t="str">
        <f>IFERROR(IF(M4="","",VLOOKUP(M4,Lists!$AA$3:$AB$18,2,FALSE)),1)</f>
        <v/>
      </c>
      <c r="DL4" s="79" t="str">
        <f>IFERROR(IF(N4="","",VLOOKUP(N4,Lists!$AC$3:$AD$13,2,FALSE)),1)</f>
        <v/>
      </c>
    </row>
    <row r="5" spans="1:116" ht="15" customHeight="1" x14ac:dyDescent="0.2">
      <c r="A5" s="20">
        <v>418228</v>
      </c>
      <c r="B5" s="19">
        <v>45669</v>
      </c>
      <c r="C5" s="64">
        <v>0.54166666666666663</v>
      </c>
      <c r="D5" s="64" t="s">
        <v>1127</v>
      </c>
      <c r="E5" s="19">
        <v>45663</v>
      </c>
      <c r="F5" s="20">
        <v>4</v>
      </c>
      <c r="G5" s="18" t="s">
        <v>1108</v>
      </c>
      <c r="H5" s="65"/>
      <c r="I5" s="18" t="s">
        <v>1108</v>
      </c>
      <c r="J5" s="66"/>
      <c r="K5" s="66"/>
      <c r="L5" s="67"/>
      <c r="M5" s="68" t="s">
        <v>39</v>
      </c>
      <c r="N5" s="68" t="s">
        <v>420</v>
      </c>
      <c r="O5" s="69" t="s">
        <v>1133</v>
      </c>
      <c r="P5" s="134">
        <v>0.54166666666666663</v>
      </c>
      <c r="Q5" s="70"/>
      <c r="R5" s="134">
        <v>0.5625</v>
      </c>
      <c r="S5" s="70"/>
      <c r="T5" s="134">
        <v>0.63888888888888895</v>
      </c>
      <c r="U5" s="70"/>
      <c r="V5" s="134">
        <v>0.64930555555555558</v>
      </c>
      <c r="W5" s="70"/>
      <c r="X5" s="134">
        <v>0.65</v>
      </c>
      <c r="Y5" s="70"/>
      <c r="Z5" s="134">
        <v>0.65625</v>
      </c>
      <c r="AA5" s="70" t="s">
        <v>1108</v>
      </c>
      <c r="AB5" s="19"/>
      <c r="AC5" s="20" t="s">
        <v>1108</v>
      </c>
      <c r="AD5" s="19"/>
      <c r="AE5" s="71">
        <f t="shared" si="25"/>
        <v>780</v>
      </c>
      <c r="AF5" s="71">
        <f t="shared" si="26"/>
        <v>935</v>
      </c>
      <c r="AG5" s="71">
        <f t="shared" si="27"/>
        <v>155</v>
      </c>
      <c r="AH5" s="71">
        <f t="shared" si="28"/>
        <v>155</v>
      </c>
      <c r="AI5" s="71" t="str">
        <f t="shared" si="29"/>
        <v/>
      </c>
      <c r="AJ5" s="71" t="str">
        <f t="shared" si="30"/>
        <v/>
      </c>
      <c r="AK5" s="71" t="str">
        <f t="shared" si="31"/>
        <v/>
      </c>
      <c r="AL5" s="71">
        <f t="shared" si="32"/>
        <v>155</v>
      </c>
      <c r="AM5" s="71">
        <f t="shared" si="33"/>
        <v>0</v>
      </c>
      <c r="AN5" s="72">
        <f t="shared" si="34"/>
        <v>2.083333333333337E-2</v>
      </c>
      <c r="AO5" s="73">
        <f t="shared" si="35"/>
        <v>6</v>
      </c>
      <c r="AP5" s="72" t="str">
        <f t="shared" si="36"/>
        <v>No</v>
      </c>
      <c r="AQ5" s="72">
        <f t="shared" si="37"/>
        <v>6.2499999999999778E-3</v>
      </c>
      <c r="AR5" s="72" t="str">
        <f t="shared" si="38"/>
        <v/>
      </c>
      <c r="AS5" s="72" t="str">
        <f t="shared" si="39"/>
        <v/>
      </c>
      <c r="AT5" s="72" t="str">
        <f t="shared" si="40"/>
        <v/>
      </c>
      <c r="AU5" s="17"/>
      <c r="AV5" s="20">
        <v>11</v>
      </c>
      <c r="AW5" s="20" t="s">
        <v>440</v>
      </c>
      <c r="AX5" s="3"/>
      <c r="AY5" s="76">
        <v>7</v>
      </c>
      <c r="AZ5" s="46"/>
      <c r="BA5" s="20"/>
      <c r="BB5" s="46"/>
      <c r="BC5" s="20"/>
      <c r="BD5" s="20"/>
      <c r="BE5" s="20"/>
      <c r="BF5" s="47" t="str">
        <f t="shared" si="41"/>
        <v/>
      </c>
      <c r="BG5" s="3"/>
      <c r="BH5" s="152"/>
      <c r="BI5" s="153"/>
      <c r="BJ5" s="153"/>
      <c r="BK5" s="56">
        <f>(HOUR(BQ2)*60+MINUTE(BQ2))+(BP2*24*60)</f>
        <v>960</v>
      </c>
      <c r="BL5" s="5"/>
      <c r="BM5" s="17"/>
      <c r="BN5" s="17"/>
      <c r="BO5" s="17"/>
      <c r="BP5" s="17"/>
      <c r="BQ5" s="17"/>
      <c r="BR5" s="17"/>
      <c r="BS5" s="17"/>
      <c r="BT5" s="17"/>
      <c r="BU5" s="80"/>
      <c r="BV5" s="3"/>
      <c r="BW5" s="5"/>
      <c r="BX5" s="5"/>
      <c r="BY5" s="5"/>
      <c r="BZ5" s="5"/>
      <c r="CA5" s="44" t="s">
        <v>407</v>
      </c>
      <c r="CB5" s="75">
        <f t="shared" si="42"/>
        <v>0</v>
      </c>
      <c r="CC5" s="75">
        <f t="shared" si="43"/>
        <v>0</v>
      </c>
      <c r="CD5" s="75">
        <f t="shared" si="44"/>
        <v>0</v>
      </c>
      <c r="CE5" s="75">
        <f t="shared" si="45"/>
        <v>0</v>
      </c>
      <c r="CF5" s="75">
        <f t="shared" si="46"/>
        <v>0</v>
      </c>
      <c r="CG5" s="3"/>
      <c r="CH5" s="3"/>
      <c r="CI5" s="3"/>
      <c r="CJ5" s="3"/>
      <c r="CK5" s="3"/>
      <c r="CM5" s="3"/>
      <c r="CN5" s="78">
        <f t="shared" si="47"/>
        <v>0</v>
      </c>
      <c r="CO5" s="78">
        <f t="shared" si="48"/>
        <v>0</v>
      </c>
      <c r="CP5" s="78">
        <f t="shared" si="49"/>
        <v>0</v>
      </c>
      <c r="CQ5" s="78">
        <f t="shared" si="50"/>
        <v>0</v>
      </c>
      <c r="CR5" s="78">
        <f t="shared" si="51"/>
        <v>0</v>
      </c>
      <c r="CS5" s="78">
        <f t="shared" si="52"/>
        <v>0</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1</v>
      </c>
      <c r="DC5" s="78">
        <f t="shared" si="61"/>
        <v>0</v>
      </c>
      <c r="DD5" s="78">
        <f t="shared" si="62"/>
        <v>1</v>
      </c>
      <c r="DE5" s="78">
        <f t="shared" si="63"/>
        <v>1</v>
      </c>
      <c r="DF5" s="78">
        <f t="shared" si="64"/>
        <v>1</v>
      </c>
      <c r="DG5" s="78" t="str">
        <f t="shared" si="65"/>
        <v>1</v>
      </c>
      <c r="DH5" s="78" t="str">
        <f t="shared" si="66"/>
        <v>1</v>
      </c>
      <c r="DI5" s="79" t="str">
        <f>IFERROR(IF(J5="","",VLOOKUP(J5,Lists!$D$3:$E$13,2,FALSE)),1)</f>
        <v/>
      </c>
      <c r="DJ5" s="79" t="str">
        <f>IFERROR(IF(K5="","",VLOOKUP(K5,Lists!$F$3:$G$14,2,FALSE)),1)</f>
        <v/>
      </c>
      <c r="DK5" s="79">
        <f>IFERROR(IF(M5="","",VLOOKUP(M5,Lists!$AA$3:$AB$18,2,FALSE)),1)</f>
        <v>0</v>
      </c>
      <c r="DL5" s="79">
        <f>IFERROR(IF(N5="","",VLOOKUP(N5,Lists!$AC$3:$AD$13,2,FALSE)),1)</f>
        <v>0</v>
      </c>
    </row>
    <row r="6" spans="1:116" ht="15" customHeight="1" x14ac:dyDescent="0.2">
      <c r="A6" s="20">
        <v>417755</v>
      </c>
      <c r="B6" s="19">
        <v>45669</v>
      </c>
      <c r="C6" s="64">
        <v>0.33333333333333331</v>
      </c>
      <c r="D6" s="64" t="s">
        <v>1107</v>
      </c>
      <c r="E6" s="19">
        <v>45668</v>
      </c>
      <c r="F6" s="20">
        <v>3</v>
      </c>
      <c r="G6" s="18" t="s">
        <v>1108</v>
      </c>
      <c r="H6" s="65"/>
      <c r="I6" s="18" t="s">
        <v>1108</v>
      </c>
      <c r="J6" s="66"/>
      <c r="K6" s="66"/>
      <c r="L6" s="67"/>
      <c r="M6" s="68" t="s">
        <v>29</v>
      </c>
      <c r="N6" s="68" t="s">
        <v>420</v>
      </c>
      <c r="O6" s="69" t="s">
        <v>1191</v>
      </c>
      <c r="P6" s="134">
        <v>0.33333333333333331</v>
      </c>
      <c r="Q6" s="70"/>
      <c r="R6" s="134">
        <v>0.35972222222222222</v>
      </c>
      <c r="S6" s="70"/>
      <c r="T6" s="134">
        <v>0.41388888888888892</v>
      </c>
      <c r="U6" s="70"/>
      <c r="V6" s="134">
        <v>0.43055555555555558</v>
      </c>
      <c r="W6" s="70"/>
      <c r="X6" s="134">
        <v>0.43124999999999997</v>
      </c>
      <c r="Y6" s="70"/>
      <c r="Z6" s="134">
        <v>0.4375</v>
      </c>
      <c r="AA6" s="70" t="s">
        <v>1108</v>
      </c>
      <c r="AB6" s="19"/>
      <c r="AC6" s="20" t="s">
        <v>1108</v>
      </c>
      <c r="AD6" s="19"/>
      <c r="AE6" s="71">
        <f t="shared" si="25"/>
        <v>480</v>
      </c>
      <c r="AF6" s="71">
        <f t="shared" si="26"/>
        <v>620</v>
      </c>
      <c r="AG6" s="71">
        <f t="shared" si="27"/>
        <v>140</v>
      </c>
      <c r="AH6" s="71">
        <f t="shared" si="28"/>
        <v>140</v>
      </c>
      <c r="AI6" s="71" t="str">
        <f t="shared" si="29"/>
        <v/>
      </c>
      <c r="AJ6" s="71" t="str">
        <f t="shared" si="30"/>
        <v/>
      </c>
      <c r="AK6" s="71" t="str">
        <f t="shared" si="31"/>
        <v/>
      </c>
      <c r="AL6" s="71">
        <f t="shared" si="32"/>
        <v>140</v>
      </c>
      <c r="AM6" s="71">
        <f t="shared" si="33"/>
        <v>0</v>
      </c>
      <c r="AN6" s="72">
        <f t="shared" si="34"/>
        <v>2.6388888888888906E-2</v>
      </c>
      <c r="AO6" s="73">
        <f t="shared" si="35"/>
        <v>1</v>
      </c>
      <c r="AP6" s="72" t="str">
        <f t="shared" si="36"/>
        <v>No</v>
      </c>
      <c r="AQ6" s="72">
        <f t="shared" si="37"/>
        <v>6.2500000000000333E-3</v>
      </c>
      <c r="AR6" s="72" t="str">
        <f t="shared" si="38"/>
        <v/>
      </c>
      <c r="AS6" s="72" t="str">
        <f t="shared" si="39"/>
        <v/>
      </c>
      <c r="AT6" s="72" t="str">
        <f t="shared" si="40"/>
        <v/>
      </c>
      <c r="AU6" s="3"/>
      <c r="AV6" s="20">
        <v>12</v>
      </c>
      <c r="AW6" s="20" t="s">
        <v>440</v>
      </c>
      <c r="AX6" s="3"/>
      <c r="AY6" s="145">
        <v>1.0416666666666666E-2</v>
      </c>
      <c r="AZ6" s="46"/>
      <c r="BA6" s="20"/>
      <c r="BB6" s="46"/>
      <c r="BC6" s="20"/>
      <c r="BD6" s="20"/>
      <c r="BE6" s="20"/>
      <c r="BF6" s="47" t="str">
        <f t="shared" si="41"/>
        <v/>
      </c>
      <c r="BG6" s="3"/>
      <c r="BH6" s="152"/>
      <c r="BI6" s="153"/>
      <c r="BJ6" s="153"/>
      <c r="BK6" s="48"/>
      <c r="BL6" s="3"/>
      <c r="BM6" s="3"/>
      <c r="BN6" s="3"/>
      <c r="BO6" s="3"/>
      <c r="BP6" s="3"/>
      <c r="BQ6" s="3"/>
      <c r="BR6" s="3"/>
      <c r="BS6" s="3"/>
      <c r="BT6" s="3"/>
      <c r="BU6" s="80"/>
      <c r="BV6" s="3"/>
      <c r="BW6" s="3"/>
      <c r="BX6" s="3"/>
      <c r="BY6" s="3"/>
      <c r="BZ6" s="3"/>
      <c r="CA6" s="44" t="s">
        <v>408</v>
      </c>
      <c r="CB6" s="75">
        <f t="shared" si="42"/>
        <v>0</v>
      </c>
      <c r="CC6" s="75">
        <f t="shared" si="43"/>
        <v>0</v>
      </c>
      <c r="CD6" s="75">
        <f t="shared" si="44"/>
        <v>0</v>
      </c>
      <c r="CE6" s="75">
        <f t="shared" si="45"/>
        <v>0</v>
      </c>
      <c r="CF6" s="75" t="str">
        <f t="shared" si="46"/>
        <v/>
      </c>
      <c r="CG6" s="3"/>
      <c r="CH6" s="3"/>
      <c r="CI6" s="3"/>
      <c r="CJ6" s="3"/>
      <c r="CK6" s="3"/>
      <c r="CM6" s="3"/>
      <c r="CN6" s="78">
        <f t="shared" si="47"/>
        <v>0</v>
      </c>
      <c r="CO6" s="78">
        <f t="shared" si="48"/>
        <v>0</v>
      </c>
      <c r="CP6" s="78">
        <f t="shared" si="49"/>
        <v>0</v>
      </c>
      <c r="CQ6" s="78">
        <f t="shared" si="50"/>
        <v>0</v>
      </c>
      <c r="CR6" s="78">
        <f t="shared" si="51"/>
        <v>0</v>
      </c>
      <c r="CS6" s="78">
        <f t="shared" si="52"/>
        <v>0</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0</v>
      </c>
      <c r="DC6" s="78">
        <f t="shared" si="61"/>
        <v>0</v>
      </c>
      <c r="DD6" s="78">
        <f t="shared" si="62"/>
        <v>0</v>
      </c>
      <c r="DE6" s="78">
        <f t="shared" si="63"/>
        <v>1</v>
      </c>
      <c r="DF6" s="78">
        <f t="shared" si="64"/>
        <v>1</v>
      </c>
      <c r="DG6" s="78" t="str">
        <f t="shared" si="65"/>
        <v>1</v>
      </c>
      <c r="DH6" s="78" t="str">
        <f t="shared" si="66"/>
        <v>1</v>
      </c>
      <c r="DI6" s="79" t="str">
        <f>IFERROR(IF(J6="","",VLOOKUP(J6,Lists!$D$3:$E$13,2,FALSE)),1)</f>
        <v/>
      </c>
      <c r="DJ6" s="79" t="str">
        <f>IFERROR(IF(K6="","",VLOOKUP(K6,Lists!$F$3:$G$14,2,FALSE)),1)</f>
        <v/>
      </c>
      <c r="DK6" s="79">
        <f>IFERROR(IF(M6="","",VLOOKUP(M6,Lists!$AA$3:$AB$18,2,FALSE)),1)</f>
        <v>0</v>
      </c>
      <c r="DL6" s="79">
        <f>IFERROR(IF(N6="","",VLOOKUP(N6,Lists!$AC$3:$AD$13,2,FALSE)),1)</f>
        <v>0</v>
      </c>
    </row>
    <row r="7" spans="1:116" ht="15" customHeight="1" x14ac:dyDescent="0.2">
      <c r="A7" s="20">
        <v>193834</v>
      </c>
      <c r="B7" s="19">
        <v>45669</v>
      </c>
      <c r="C7" s="64">
        <v>0.45833333333333331</v>
      </c>
      <c r="D7" s="64" t="s">
        <v>1110</v>
      </c>
      <c r="E7" s="19">
        <v>45668</v>
      </c>
      <c r="F7" s="20">
        <v>3</v>
      </c>
      <c r="G7" s="18" t="s">
        <v>1108</v>
      </c>
      <c r="H7" s="65"/>
      <c r="I7" s="18" t="s">
        <v>1108</v>
      </c>
      <c r="J7" s="66"/>
      <c r="K7" s="66"/>
      <c r="L7" s="67"/>
      <c r="M7" s="68" t="s">
        <v>29</v>
      </c>
      <c r="N7" s="68" t="s">
        <v>420</v>
      </c>
      <c r="O7" s="69" t="s">
        <v>1192</v>
      </c>
      <c r="P7" s="134">
        <v>0.4548611111111111</v>
      </c>
      <c r="Q7" s="70"/>
      <c r="R7" s="134">
        <v>0.48541666666666666</v>
      </c>
      <c r="S7" s="70"/>
      <c r="T7" s="134">
        <v>0.52500000000000002</v>
      </c>
      <c r="U7" s="70"/>
      <c r="V7" s="134">
        <v>0.53263888888888888</v>
      </c>
      <c r="W7" s="70"/>
      <c r="X7" s="134">
        <v>0.53333333333333333</v>
      </c>
      <c r="Y7" s="70"/>
      <c r="Z7" s="134">
        <v>0.54166666666666663</v>
      </c>
      <c r="AA7" s="70" t="s">
        <v>1108</v>
      </c>
      <c r="AB7" s="19"/>
      <c r="AC7" s="20" t="s">
        <v>1108</v>
      </c>
      <c r="AD7" s="19"/>
      <c r="AE7" s="71">
        <f t="shared" si="25"/>
        <v>655</v>
      </c>
      <c r="AF7" s="71">
        <f t="shared" si="26"/>
        <v>767</v>
      </c>
      <c r="AG7" s="71">
        <f t="shared" si="27"/>
        <v>112</v>
      </c>
      <c r="AH7" s="71">
        <f t="shared" si="28"/>
        <v>112</v>
      </c>
      <c r="AI7" s="71" t="str">
        <f t="shared" si="29"/>
        <v/>
      </c>
      <c r="AJ7" s="71" t="str">
        <f t="shared" si="30"/>
        <v/>
      </c>
      <c r="AK7" s="71" t="str">
        <f t="shared" si="31"/>
        <v/>
      </c>
      <c r="AL7" s="71">
        <f t="shared" si="32"/>
        <v>112</v>
      </c>
      <c r="AM7" s="71">
        <f t="shared" si="33"/>
        <v>0</v>
      </c>
      <c r="AN7" s="72">
        <f t="shared" si="34"/>
        <v>2.7083333333333348E-2</v>
      </c>
      <c r="AO7" s="73">
        <f t="shared" si="35"/>
        <v>1</v>
      </c>
      <c r="AP7" s="72" t="str">
        <f t="shared" si="36"/>
        <v>No</v>
      </c>
      <c r="AQ7" s="72">
        <f t="shared" si="37"/>
        <v>8.3333333333333037E-3</v>
      </c>
      <c r="AR7" s="72" t="str">
        <f t="shared" si="38"/>
        <v/>
      </c>
      <c r="AS7" s="72" t="str">
        <f t="shared" si="39"/>
        <v/>
      </c>
      <c r="AT7" s="72" t="str">
        <f t="shared" si="40"/>
        <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f t="shared" si="42"/>
        <v>0</v>
      </c>
      <c r="CC7" s="75">
        <f t="shared" si="43"/>
        <v>0</v>
      </c>
      <c r="CD7" s="75">
        <f t="shared" si="44"/>
        <v>0</v>
      </c>
      <c r="CE7" s="75">
        <f t="shared" si="45"/>
        <v>0</v>
      </c>
      <c r="CF7" s="75" t="str">
        <f t="shared" si="46"/>
        <v/>
      </c>
      <c r="CG7" s="3"/>
      <c r="CH7" s="3"/>
      <c r="CI7" s="3"/>
      <c r="CJ7" s="3"/>
      <c r="CK7" s="3"/>
      <c r="CM7" s="3"/>
      <c r="CN7" s="78">
        <f t="shared" si="47"/>
        <v>0</v>
      </c>
      <c r="CO7" s="78">
        <f t="shared" si="48"/>
        <v>0</v>
      </c>
      <c r="CP7" s="78">
        <f t="shared" si="49"/>
        <v>0</v>
      </c>
      <c r="CQ7" s="78">
        <f t="shared" si="50"/>
        <v>0</v>
      </c>
      <c r="CR7" s="78">
        <f t="shared" si="51"/>
        <v>0</v>
      </c>
      <c r="CS7" s="78">
        <f t="shared" si="52"/>
        <v>0</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f t="shared" si="63"/>
        <v>1</v>
      </c>
      <c r="DF7" s="78">
        <f t="shared" si="64"/>
        <v>1</v>
      </c>
      <c r="DG7" s="78" t="str">
        <f t="shared" si="65"/>
        <v>1</v>
      </c>
      <c r="DH7" s="78" t="str">
        <f t="shared" si="66"/>
        <v>1</v>
      </c>
      <c r="DI7" s="79" t="str">
        <f>IFERROR(IF(J7="","",VLOOKUP(J7,Lists!$D$3:$E$13,2,FALSE)),1)</f>
        <v/>
      </c>
      <c r="DJ7" s="79" t="str">
        <f>IFERROR(IF(K7="","",VLOOKUP(K7,Lists!$F$3:$G$14,2,FALSE)),1)</f>
        <v/>
      </c>
      <c r="DK7" s="79">
        <f>IFERROR(IF(M7="","",VLOOKUP(M7,Lists!$AA$3:$AB$18,2,FALSE)),1)</f>
        <v>0</v>
      </c>
      <c r="DL7" s="79">
        <f>IFERROR(IF(N7="","",VLOOKUP(N7,Lists!$AC$3:$AD$13,2,FALSE)),1)</f>
        <v>0</v>
      </c>
    </row>
    <row r="8" spans="1:116" ht="15" customHeight="1" x14ac:dyDescent="0.2">
      <c r="A8" s="20">
        <v>128530</v>
      </c>
      <c r="B8" s="19">
        <v>45669</v>
      </c>
      <c r="C8" s="64">
        <v>0.5625</v>
      </c>
      <c r="D8" s="64" t="s">
        <v>1179</v>
      </c>
      <c r="E8" s="19">
        <v>45668</v>
      </c>
      <c r="F8" s="20">
        <v>3</v>
      </c>
      <c r="G8" s="18" t="s">
        <v>1108</v>
      </c>
      <c r="H8" s="65"/>
      <c r="I8" s="18" t="s">
        <v>1108</v>
      </c>
      <c r="J8" s="66"/>
      <c r="K8" s="66"/>
      <c r="L8" s="67"/>
      <c r="M8" s="68" t="s">
        <v>35</v>
      </c>
      <c r="N8" s="68" t="s">
        <v>420</v>
      </c>
      <c r="O8" s="69" t="s">
        <v>1109</v>
      </c>
      <c r="P8" s="134">
        <v>0.55555555555555558</v>
      </c>
      <c r="Q8" s="70"/>
      <c r="R8" s="134">
        <v>0.56944444444444442</v>
      </c>
      <c r="S8" s="70"/>
      <c r="T8" s="134">
        <v>0.60972222222222217</v>
      </c>
      <c r="U8" s="70"/>
      <c r="V8" s="134">
        <v>0.61805555555555558</v>
      </c>
      <c r="W8" s="70"/>
      <c r="X8" s="134">
        <v>0.61875000000000002</v>
      </c>
      <c r="Y8" s="70"/>
      <c r="Z8" s="134">
        <v>0.625</v>
      </c>
      <c r="AA8" s="70" t="s">
        <v>1108</v>
      </c>
      <c r="AB8" s="19"/>
      <c r="AC8" s="20" t="s">
        <v>1108</v>
      </c>
      <c r="AD8" s="19"/>
      <c r="AE8" s="71">
        <f t="shared" si="25"/>
        <v>800</v>
      </c>
      <c r="AF8" s="71">
        <f t="shared" si="26"/>
        <v>890</v>
      </c>
      <c r="AG8" s="71">
        <f t="shared" si="27"/>
        <v>90</v>
      </c>
      <c r="AH8" s="71">
        <f t="shared" si="28"/>
        <v>90</v>
      </c>
      <c r="AI8" s="71" t="str">
        <f t="shared" si="29"/>
        <v/>
      </c>
      <c r="AJ8" s="71" t="str">
        <f t="shared" si="30"/>
        <v/>
      </c>
      <c r="AK8" s="71" t="str">
        <f t="shared" si="31"/>
        <v/>
      </c>
      <c r="AL8" s="71">
        <f t="shared" si="32"/>
        <v>90</v>
      </c>
      <c r="AM8" s="71">
        <f t="shared" si="33"/>
        <v>0</v>
      </c>
      <c r="AN8" s="72">
        <f t="shared" si="34"/>
        <v>6.9444444444444198E-3</v>
      </c>
      <c r="AO8" s="73">
        <f t="shared" si="35"/>
        <v>1</v>
      </c>
      <c r="AP8" s="72" t="str">
        <f t="shared" si="36"/>
        <v>Yes</v>
      </c>
      <c r="AQ8" s="72">
        <f t="shared" si="37"/>
        <v>6.2499999999999778E-3</v>
      </c>
      <c r="AR8" s="72" t="str">
        <f t="shared" si="38"/>
        <v/>
      </c>
      <c r="AS8" s="72" t="str">
        <f t="shared" si="39"/>
        <v/>
      </c>
      <c r="AT8" s="72" t="str">
        <f t="shared" si="40"/>
        <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f t="shared" si="42"/>
        <v>0</v>
      </c>
      <c r="CC8" s="75">
        <f t="shared" si="43"/>
        <v>0</v>
      </c>
      <c r="CD8" s="75">
        <f t="shared" si="44"/>
        <v>0</v>
      </c>
      <c r="CE8" s="75">
        <f t="shared" si="45"/>
        <v>0</v>
      </c>
      <c r="CF8" s="75" t="str">
        <f t="shared" si="46"/>
        <v/>
      </c>
      <c r="CG8" s="3"/>
      <c r="CH8" s="3"/>
      <c r="CI8" s="3"/>
      <c r="CJ8" s="3"/>
      <c r="CK8" s="3"/>
      <c r="CM8" s="3"/>
      <c r="CN8" s="78">
        <f t="shared" si="47"/>
        <v>0</v>
      </c>
      <c r="CO8" s="78">
        <f t="shared" si="48"/>
        <v>0</v>
      </c>
      <c r="CP8" s="78">
        <f t="shared" si="49"/>
        <v>0</v>
      </c>
      <c r="CQ8" s="78">
        <f t="shared" si="50"/>
        <v>0</v>
      </c>
      <c r="CR8" s="78">
        <f t="shared" si="51"/>
        <v>0</v>
      </c>
      <c r="CS8" s="78">
        <f t="shared" si="52"/>
        <v>0</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1</v>
      </c>
      <c r="DC8" s="78">
        <f t="shared" si="61"/>
        <v>0</v>
      </c>
      <c r="DD8" s="78">
        <f t="shared" si="62"/>
        <v>0</v>
      </c>
      <c r="DE8" s="78">
        <f t="shared" si="63"/>
        <v>1</v>
      </c>
      <c r="DF8" s="78">
        <f t="shared" si="64"/>
        <v>1</v>
      </c>
      <c r="DG8" s="78" t="str">
        <f t="shared" si="65"/>
        <v>1</v>
      </c>
      <c r="DH8" s="78" t="str">
        <f t="shared" si="66"/>
        <v>1</v>
      </c>
      <c r="DI8" s="79" t="str">
        <f>IFERROR(IF(J8="","",VLOOKUP(J8,Lists!$D$3:$E$13,2,FALSE)),1)</f>
        <v/>
      </c>
      <c r="DJ8" s="79" t="str">
        <f>IFERROR(IF(K8="","",VLOOKUP(K8,Lists!$F$3:$G$14,2,FALSE)),1)</f>
        <v/>
      </c>
      <c r="DK8" s="79">
        <f>IFERROR(IF(M8="","",VLOOKUP(M8,Lists!$AA$3:$AB$18,2,FALSE)),1)</f>
        <v>0</v>
      </c>
      <c r="DL8" s="79">
        <f>IFERROR(IF(N8="","",VLOOKUP(N8,Lists!$AC$3:$AD$13,2,FALSE)),1)</f>
        <v>0</v>
      </c>
    </row>
    <row r="9" spans="1:116" ht="15" customHeight="1" x14ac:dyDescent="0.2">
      <c r="A9" s="20">
        <v>33908</v>
      </c>
      <c r="B9" s="19">
        <v>45669</v>
      </c>
      <c r="C9" s="64">
        <v>0.625</v>
      </c>
      <c r="D9" s="64" t="s">
        <v>1110</v>
      </c>
      <c r="E9" s="19">
        <v>45669</v>
      </c>
      <c r="F9" s="20">
        <v>3</v>
      </c>
      <c r="G9" s="18" t="s">
        <v>1108</v>
      </c>
      <c r="H9" s="65"/>
      <c r="I9" s="18" t="s">
        <v>1121</v>
      </c>
      <c r="J9" s="66" t="s">
        <v>29</v>
      </c>
      <c r="K9" s="66" t="s">
        <v>420</v>
      </c>
      <c r="L9" s="67" t="s">
        <v>474</v>
      </c>
      <c r="M9" s="68"/>
      <c r="N9" s="68"/>
      <c r="O9" s="69"/>
      <c r="P9" s="134">
        <v>0.63263888888888886</v>
      </c>
      <c r="Q9" s="70"/>
      <c r="R9" s="134">
        <v>0.63888888888888895</v>
      </c>
      <c r="S9" s="70"/>
      <c r="T9" s="134">
        <v>0.65277777777777779</v>
      </c>
      <c r="U9" s="70"/>
      <c r="V9" s="134">
        <v>0.66666666666666663</v>
      </c>
      <c r="W9" s="70"/>
      <c r="X9" s="134">
        <v>0.66805555555555562</v>
      </c>
      <c r="Y9" s="70"/>
      <c r="Z9" s="134">
        <v>0.67361111111111116</v>
      </c>
      <c r="AA9" s="70" t="s">
        <v>1121</v>
      </c>
      <c r="AB9" s="19">
        <v>45669</v>
      </c>
      <c r="AC9" s="20" t="s">
        <v>1108</v>
      </c>
      <c r="AD9" s="19"/>
      <c r="AE9" s="71">
        <f t="shared" si="25"/>
        <v>911</v>
      </c>
      <c r="AF9" s="71">
        <f t="shared" si="26"/>
        <v>960</v>
      </c>
      <c r="AG9" s="71">
        <f t="shared" si="27"/>
        <v>49</v>
      </c>
      <c r="AH9" s="71">
        <f t="shared" si="28"/>
        <v>49</v>
      </c>
      <c r="AI9" s="71" t="str">
        <f t="shared" si="29"/>
        <v/>
      </c>
      <c r="AJ9" s="71" t="str">
        <f t="shared" si="30"/>
        <v/>
      </c>
      <c r="AK9" s="71" t="str">
        <f t="shared" si="31"/>
        <v/>
      </c>
      <c r="AL9" s="71">
        <f t="shared" si="32"/>
        <v>49</v>
      </c>
      <c r="AM9" s="71">
        <f t="shared" si="33"/>
        <v>0</v>
      </c>
      <c r="AN9" s="72">
        <f t="shared" si="34"/>
        <v>1.3888888888888951E-2</v>
      </c>
      <c r="AO9" s="73">
        <f t="shared" si="35"/>
        <v>0</v>
      </c>
      <c r="AP9" s="72" t="str">
        <f t="shared" si="36"/>
        <v>No</v>
      </c>
      <c r="AQ9" s="72">
        <f t="shared" si="37"/>
        <v>5.5555555555555358E-3</v>
      </c>
      <c r="AR9" s="72" t="str">
        <f t="shared" si="38"/>
        <v>Yes</v>
      </c>
      <c r="AS9" s="72" t="str">
        <f t="shared" si="39"/>
        <v>No</v>
      </c>
      <c r="AT9" s="72" t="str">
        <f t="shared" si="40"/>
        <v>No</v>
      </c>
      <c r="AU9" s="3"/>
      <c r="AV9" s="20"/>
      <c r="AW9" s="20"/>
      <c r="AX9" s="3"/>
      <c r="AY9" s="20" t="s">
        <v>1146</v>
      </c>
      <c r="AZ9" s="46"/>
      <c r="BA9" s="20"/>
      <c r="BB9" s="46"/>
      <c r="BC9" s="20"/>
      <c r="BD9" s="20"/>
      <c r="BE9" s="20"/>
      <c r="BF9" s="47" t="str">
        <f t="shared" si="41"/>
        <v/>
      </c>
      <c r="BG9" s="3"/>
      <c r="BH9" s="154" t="s">
        <v>411</v>
      </c>
      <c r="BI9" s="155"/>
      <c r="BJ9" s="3"/>
      <c r="BK9" s="3"/>
      <c r="BL9" s="3"/>
      <c r="BM9" s="3"/>
      <c r="BN9" s="3"/>
      <c r="BO9" s="3"/>
      <c r="BP9" s="3"/>
      <c r="BQ9" s="3"/>
      <c r="BR9" s="3"/>
      <c r="BS9" s="3"/>
      <c r="BT9" s="3"/>
      <c r="BU9" s="80"/>
      <c r="BV9" s="3"/>
      <c r="BW9" s="3"/>
      <c r="BX9" s="3"/>
      <c r="BY9" s="3"/>
      <c r="BZ9" s="3"/>
      <c r="CA9" s="44" t="s">
        <v>412</v>
      </c>
      <c r="CB9" s="75">
        <f t="shared" si="42"/>
        <v>0</v>
      </c>
      <c r="CC9" s="75">
        <f t="shared" si="43"/>
        <v>0</v>
      </c>
      <c r="CD9" s="75">
        <f t="shared" si="44"/>
        <v>0</v>
      </c>
      <c r="CE9" s="75">
        <f t="shared" si="45"/>
        <v>0</v>
      </c>
      <c r="CF9" s="75" t="str">
        <f t="shared" si="46"/>
        <v/>
      </c>
      <c r="CG9" s="3"/>
      <c r="CH9" s="3"/>
      <c r="CI9" s="3"/>
      <c r="CJ9" s="3"/>
      <c r="CK9" s="3"/>
      <c r="CM9" s="3"/>
      <c r="CN9" s="78">
        <f t="shared" si="47"/>
        <v>0</v>
      </c>
      <c r="CO9" s="78">
        <f t="shared" si="48"/>
        <v>0</v>
      </c>
      <c r="CP9" s="78">
        <f t="shared" si="49"/>
        <v>0</v>
      </c>
      <c r="CQ9" s="78">
        <f t="shared" si="50"/>
        <v>0</v>
      </c>
      <c r="CR9" s="78">
        <f t="shared" si="51"/>
        <v>0</v>
      </c>
      <c r="CS9" s="78">
        <f t="shared" si="52"/>
        <v>0</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0</v>
      </c>
      <c r="DC9" s="78">
        <f t="shared" si="61"/>
        <v>0</v>
      </c>
      <c r="DD9" s="78">
        <f t="shared" si="62"/>
        <v>0</v>
      </c>
      <c r="DE9" s="78">
        <f t="shared" si="63"/>
        <v>1</v>
      </c>
      <c r="DF9" s="78">
        <f t="shared" si="64"/>
        <v>1</v>
      </c>
      <c r="DG9" s="78">
        <f t="shared" si="65"/>
        <v>1</v>
      </c>
      <c r="DH9" s="78" t="str">
        <f t="shared" si="66"/>
        <v>1</v>
      </c>
      <c r="DI9" s="79">
        <f>IFERROR(IF(J9="","",VLOOKUP(J9,Lists!$D$3:$E$13,2,FALSE)),1)</f>
        <v>0</v>
      </c>
      <c r="DJ9" s="79">
        <f>IFERROR(IF(K9="","",VLOOKUP(K9,Lists!$F$3:$G$14,2,FALSE)),1)</f>
        <v>0</v>
      </c>
      <c r="DK9" s="79" t="str">
        <f>IFERROR(IF(M9="","",VLOOKUP(M9,Lists!$AA$3:$AB$18,2,FALSE)),1)</f>
        <v/>
      </c>
      <c r="DL9" s="79" t="str">
        <f>IFERROR(IF(N9="","",VLOOKUP(N9,Lists!$AC$3:$AD$13,2,FALSE)),1)</f>
        <v/>
      </c>
    </row>
    <row r="10" spans="1:116" ht="15" customHeight="1" x14ac:dyDescent="0.2">
      <c r="A10" s="20">
        <v>18995</v>
      </c>
      <c r="B10" s="19">
        <v>45669</v>
      </c>
      <c r="C10" s="64">
        <v>0.33333333333333331</v>
      </c>
      <c r="D10" s="64" t="s">
        <v>1128</v>
      </c>
      <c r="E10" s="19">
        <v>45664</v>
      </c>
      <c r="F10" s="20">
        <v>5</v>
      </c>
      <c r="G10" s="18" t="s">
        <v>1108</v>
      </c>
      <c r="H10" s="65"/>
      <c r="I10" s="18" t="s">
        <v>1108</v>
      </c>
      <c r="J10" s="66"/>
      <c r="K10" s="66"/>
      <c r="L10" s="67"/>
      <c r="M10" s="68" t="s">
        <v>39</v>
      </c>
      <c r="N10" s="68" t="s">
        <v>420</v>
      </c>
      <c r="O10" s="69" t="s">
        <v>1193</v>
      </c>
      <c r="P10" s="134">
        <v>0.33263888888888887</v>
      </c>
      <c r="Q10" s="70"/>
      <c r="R10" s="134">
        <v>0.36180555555555555</v>
      </c>
      <c r="S10" s="70"/>
      <c r="T10" s="134">
        <v>0.50972222222222219</v>
      </c>
      <c r="U10" s="70"/>
      <c r="V10" s="134">
        <v>0.52777777777777779</v>
      </c>
      <c r="W10" s="70"/>
      <c r="X10" s="134">
        <v>0.52847222222222223</v>
      </c>
      <c r="Y10" s="70"/>
      <c r="Z10" s="134">
        <v>0.53472222222222221</v>
      </c>
      <c r="AA10" s="70" t="s">
        <v>1108</v>
      </c>
      <c r="AB10" s="19"/>
      <c r="AC10" s="20" t="s">
        <v>1108</v>
      </c>
      <c r="AD10" s="19"/>
      <c r="AE10" s="71">
        <f t="shared" si="25"/>
        <v>479</v>
      </c>
      <c r="AF10" s="71">
        <f t="shared" si="26"/>
        <v>760</v>
      </c>
      <c r="AG10" s="71">
        <f t="shared" si="27"/>
        <v>281</v>
      </c>
      <c r="AH10" s="71">
        <f t="shared" si="28"/>
        <v>0</v>
      </c>
      <c r="AI10" s="71">
        <f t="shared" si="29"/>
        <v>280</v>
      </c>
      <c r="AJ10" s="71" t="str">
        <f t="shared" si="30"/>
        <v/>
      </c>
      <c r="AK10" s="71" t="str">
        <f t="shared" si="31"/>
        <v/>
      </c>
      <c r="AL10" s="71">
        <f t="shared" si="32"/>
        <v>280</v>
      </c>
      <c r="AM10" s="71">
        <f t="shared" si="33"/>
        <v>1</v>
      </c>
      <c r="AN10" s="72">
        <f t="shared" si="34"/>
        <v>2.8472222222222232E-2</v>
      </c>
      <c r="AO10" s="73">
        <f t="shared" si="35"/>
        <v>5</v>
      </c>
      <c r="AP10" s="72" t="str">
        <f t="shared" si="36"/>
        <v>No</v>
      </c>
      <c r="AQ10" s="72">
        <f t="shared" si="37"/>
        <v>6.2499999999999778E-3</v>
      </c>
      <c r="AR10" s="72" t="str">
        <f t="shared" si="38"/>
        <v/>
      </c>
      <c r="AS10" s="72" t="str">
        <f t="shared" si="39"/>
        <v/>
      </c>
      <c r="AT10" s="72" t="str">
        <f t="shared" si="40"/>
        <v/>
      </c>
      <c r="AU10" s="3"/>
      <c r="AV10" s="20"/>
      <c r="AW10" s="20"/>
      <c r="AX10" s="3"/>
      <c r="AY10" s="20" t="s">
        <v>1147</v>
      </c>
      <c r="AZ10" s="46"/>
      <c r="BA10" s="20"/>
      <c r="BB10" s="46"/>
      <c r="BC10" s="20"/>
      <c r="BD10" s="20"/>
      <c r="BE10" s="20"/>
      <c r="BF10" s="47" t="str">
        <f t="shared" si="41"/>
        <v/>
      </c>
      <c r="BG10" s="3"/>
      <c r="BH10" s="154" t="s">
        <v>413</v>
      </c>
      <c r="BI10" s="155"/>
      <c r="BJ10" s="3"/>
      <c r="BK10" s="3"/>
      <c r="BL10" s="3"/>
      <c r="BM10" s="3"/>
      <c r="BN10" s="3"/>
      <c r="BO10" s="3"/>
      <c r="BP10" s="3"/>
      <c r="BQ10" s="3"/>
      <c r="BR10" s="3"/>
      <c r="BS10" s="3"/>
      <c r="BT10" s="3"/>
      <c r="BU10" s="80"/>
      <c r="BV10" s="3"/>
      <c r="BW10" s="3"/>
      <c r="BX10" s="3"/>
      <c r="BY10" s="3"/>
      <c r="BZ10" s="3"/>
      <c r="CA10" s="44" t="s">
        <v>414</v>
      </c>
      <c r="CB10" s="75">
        <f t="shared" si="42"/>
        <v>0</v>
      </c>
      <c r="CC10" s="75">
        <f t="shared" si="43"/>
        <v>0</v>
      </c>
      <c r="CD10" s="75">
        <f t="shared" si="44"/>
        <v>0</v>
      </c>
      <c r="CE10" s="75">
        <f t="shared" si="45"/>
        <v>0</v>
      </c>
      <c r="CF10" s="75" t="str">
        <f t="shared" si="46"/>
        <v/>
      </c>
      <c r="CG10" s="3"/>
      <c r="CH10" s="3"/>
      <c r="CI10" s="3"/>
      <c r="CJ10" s="3"/>
      <c r="CK10" s="3"/>
      <c r="CM10" s="3"/>
      <c r="CN10" s="78">
        <f t="shared" si="47"/>
        <v>0</v>
      </c>
      <c r="CO10" s="78">
        <f t="shared" si="48"/>
        <v>0</v>
      </c>
      <c r="CP10" s="78">
        <f t="shared" si="49"/>
        <v>0</v>
      </c>
      <c r="CQ10" s="78">
        <f t="shared" si="50"/>
        <v>0</v>
      </c>
      <c r="CR10" s="78">
        <f t="shared" si="51"/>
        <v>0</v>
      </c>
      <c r="CS10" s="78">
        <f t="shared" si="52"/>
        <v>0</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0</v>
      </c>
      <c r="DC10" s="78">
        <f t="shared" si="61"/>
        <v>0</v>
      </c>
      <c r="DD10" s="78">
        <f t="shared" si="62"/>
        <v>0</v>
      </c>
      <c r="DE10" s="78">
        <f t="shared" si="63"/>
        <v>1</v>
      </c>
      <c r="DF10" s="78">
        <f t="shared" si="64"/>
        <v>1</v>
      </c>
      <c r="DG10" s="78" t="str">
        <f t="shared" si="65"/>
        <v>1</v>
      </c>
      <c r="DH10" s="78" t="str">
        <f t="shared" si="66"/>
        <v>1</v>
      </c>
      <c r="DI10" s="79" t="str">
        <f>IFERROR(IF(J10="","",VLOOKUP(J10,Lists!$D$3:$E$13,2,FALSE)),1)</f>
        <v/>
      </c>
      <c r="DJ10" s="79" t="str">
        <f>IFERROR(IF(K10="","",VLOOKUP(K10,Lists!$F$3:$G$14,2,FALSE)),1)</f>
        <v/>
      </c>
      <c r="DK10" s="79">
        <f>IFERROR(IF(M10="","",VLOOKUP(M10,Lists!$AA$3:$AB$18,2,FALSE)),1)</f>
        <v>0</v>
      </c>
      <c r="DL10" s="79">
        <f>IFERROR(IF(N10="","",VLOOKUP(N10,Lists!$AC$3:$AD$13,2,FALSE)),1)</f>
        <v>0</v>
      </c>
    </row>
    <row r="11" spans="1:116" ht="15" customHeight="1" x14ac:dyDescent="0.25">
      <c r="A11" s="20">
        <v>422922</v>
      </c>
      <c r="B11" s="19">
        <v>45669</v>
      </c>
      <c r="C11" s="64">
        <v>0.5625</v>
      </c>
      <c r="D11" s="64" t="s">
        <v>1127</v>
      </c>
      <c r="E11" s="19">
        <v>45666</v>
      </c>
      <c r="F11" s="20">
        <v>5</v>
      </c>
      <c r="G11" s="18" t="s">
        <v>1108</v>
      </c>
      <c r="H11" s="65"/>
      <c r="I11" s="18" t="s">
        <v>1108</v>
      </c>
      <c r="J11" s="66"/>
      <c r="K11" s="66"/>
      <c r="L11" s="67"/>
      <c r="M11" s="68" t="s">
        <v>39</v>
      </c>
      <c r="N11" s="68" t="s">
        <v>420</v>
      </c>
      <c r="O11" s="69" t="s">
        <v>1193</v>
      </c>
      <c r="P11" s="134">
        <v>0.55555555555555558</v>
      </c>
      <c r="Q11" s="70"/>
      <c r="R11" s="134">
        <v>0.56944444444444442</v>
      </c>
      <c r="S11" s="70"/>
      <c r="T11" s="134">
        <v>0.75902777777777775</v>
      </c>
      <c r="U11" s="70"/>
      <c r="V11" s="134">
        <v>0.77777777777777779</v>
      </c>
      <c r="W11" s="70"/>
      <c r="X11" s="134">
        <v>0.77847222222222223</v>
      </c>
      <c r="Y11" s="70"/>
      <c r="Z11" s="134">
        <v>0.78472222222222221</v>
      </c>
      <c r="AA11" s="70" t="s">
        <v>1108</v>
      </c>
      <c r="AB11" s="19"/>
      <c r="AC11" s="20" t="s">
        <v>1108</v>
      </c>
      <c r="AD11" s="19"/>
      <c r="AE11" s="71">
        <f t="shared" si="25"/>
        <v>800</v>
      </c>
      <c r="AF11" s="71">
        <f t="shared" si="26"/>
        <v>1120</v>
      </c>
      <c r="AG11" s="71">
        <f t="shared" si="27"/>
        <v>320</v>
      </c>
      <c r="AH11" s="71" t="str">
        <f t="shared" si="28"/>
        <v/>
      </c>
      <c r="AI11" s="71" t="str">
        <f t="shared" si="29"/>
        <v/>
      </c>
      <c r="AJ11" s="71">
        <f t="shared" si="30"/>
        <v>160</v>
      </c>
      <c r="AK11" s="71" t="str">
        <f t="shared" si="31"/>
        <v/>
      </c>
      <c r="AL11" s="71">
        <f t="shared" si="32"/>
        <v>160</v>
      </c>
      <c r="AM11" s="71">
        <f t="shared" si="33"/>
        <v>160</v>
      </c>
      <c r="AN11" s="72">
        <f t="shared" si="34"/>
        <v>6.9444444444444198E-3</v>
      </c>
      <c r="AO11" s="73">
        <f t="shared" si="35"/>
        <v>3</v>
      </c>
      <c r="AP11" s="72" t="str">
        <f t="shared" si="36"/>
        <v>Yes</v>
      </c>
      <c r="AQ11" s="72">
        <f t="shared" si="37"/>
        <v>6.2499999999999778E-3</v>
      </c>
      <c r="AR11" s="72" t="str">
        <f t="shared" si="38"/>
        <v/>
      </c>
      <c r="AS11" s="72" t="str">
        <f t="shared" si="39"/>
        <v/>
      </c>
      <c r="AT11" s="72" t="str">
        <f t="shared" si="40"/>
        <v/>
      </c>
      <c r="AU11" s="3"/>
      <c r="AV11" s="20"/>
      <c r="AW11" s="20"/>
      <c r="AX11" s="3"/>
      <c r="AY11" s="20" t="s">
        <v>1111</v>
      </c>
      <c r="AZ11" s="46"/>
      <c r="BA11" s="20"/>
      <c r="BB11" s="46"/>
      <c r="BC11" s="20"/>
      <c r="BD11" s="20"/>
      <c r="BE11" s="20"/>
      <c r="BF11" s="47" t="str">
        <f t="shared" si="41"/>
        <v/>
      </c>
      <c r="BG11" s="3"/>
      <c r="BH11" s="57" t="s">
        <v>415</v>
      </c>
      <c r="BI11" s="57" t="s">
        <v>416</v>
      </c>
      <c r="BJ11" s="45">
        <f>COUNTA($A$2:$A$1288)</f>
        <v>134</v>
      </c>
      <c r="BK11" s="58">
        <f>IF(BJ11=$BJ$12,1,0)</f>
        <v>1</v>
      </c>
      <c r="BL11" s="3"/>
      <c r="BM11" s="3"/>
      <c r="BN11" s="3"/>
      <c r="BO11" s="3"/>
      <c r="BP11" s="3"/>
      <c r="BQ11" s="3"/>
      <c r="BR11" s="3"/>
      <c r="BS11" s="3"/>
      <c r="BT11" s="3"/>
      <c r="BU11" s="80"/>
      <c r="BV11" s="3"/>
      <c r="BW11" s="3"/>
      <c r="BX11" s="3"/>
      <c r="BY11" s="3"/>
      <c r="BZ11" s="3"/>
      <c r="CA11" s="44" t="s">
        <v>417</v>
      </c>
      <c r="CB11" s="75">
        <f t="shared" si="42"/>
        <v>5.2238805970149252E-2</v>
      </c>
      <c r="CC11" s="75">
        <f t="shared" si="43"/>
        <v>0</v>
      </c>
      <c r="CD11" s="75">
        <f t="shared" si="44"/>
        <v>0</v>
      </c>
      <c r="CE11" s="75">
        <f t="shared" si="45"/>
        <v>0</v>
      </c>
      <c r="CF11" s="75">
        <f t="shared" si="46"/>
        <v>0.77777777777777779</v>
      </c>
      <c r="CG11" s="3"/>
      <c r="CH11" s="3"/>
      <c r="CI11" s="3"/>
      <c r="CJ11" s="3"/>
      <c r="CK11" s="3"/>
      <c r="CM11" s="3"/>
      <c r="CN11" s="78">
        <f t="shared" si="47"/>
        <v>0</v>
      </c>
      <c r="CO11" s="78">
        <f t="shared" si="48"/>
        <v>0</v>
      </c>
      <c r="CP11" s="78">
        <f t="shared" si="49"/>
        <v>0</v>
      </c>
      <c r="CQ11" s="78">
        <f t="shared" si="50"/>
        <v>0</v>
      </c>
      <c r="CR11" s="78">
        <f t="shared" si="51"/>
        <v>0</v>
      </c>
      <c r="CS11" s="78">
        <f t="shared" si="52"/>
        <v>0</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0</v>
      </c>
      <c r="DB11" s="78">
        <f t="shared" si="60"/>
        <v>1</v>
      </c>
      <c r="DC11" s="78">
        <f t="shared" si="61"/>
        <v>0</v>
      </c>
      <c r="DD11" s="78">
        <f t="shared" si="62"/>
        <v>0</v>
      </c>
      <c r="DE11" s="78">
        <f t="shared" si="63"/>
        <v>1</v>
      </c>
      <c r="DF11" s="78">
        <f t="shared" si="64"/>
        <v>1</v>
      </c>
      <c r="DG11" s="78" t="str">
        <f t="shared" si="65"/>
        <v>1</v>
      </c>
      <c r="DH11" s="78" t="str">
        <f t="shared" si="66"/>
        <v>1</v>
      </c>
      <c r="DI11" s="79" t="str">
        <f>IFERROR(IF(J11="","",VLOOKUP(J11,Lists!$D$3:$E$13,2,FALSE)),1)</f>
        <v/>
      </c>
      <c r="DJ11" s="79" t="str">
        <f>IFERROR(IF(K11="","",VLOOKUP(K11,Lists!$F$3:$G$14,2,FALSE)),1)</f>
        <v/>
      </c>
      <c r="DK11" s="79">
        <f>IFERROR(IF(M11="","",VLOOKUP(M11,Lists!$AA$3:$AB$18,2,FALSE)),1)</f>
        <v>0</v>
      </c>
      <c r="DL11" s="79">
        <f>IFERROR(IF(N11="","",VLOOKUP(N11,Lists!$AC$3:$AD$13,2,FALSE)),1)</f>
        <v>0</v>
      </c>
    </row>
    <row r="12" spans="1:116" ht="15" customHeight="1" x14ac:dyDescent="0.25">
      <c r="A12" s="20">
        <v>388120</v>
      </c>
      <c r="B12" s="19">
        <v>45669</v>
      </c>
      <c r="C12" s="64">
        <v>0.33333333333333331</v>
      </c>
      <c r="D12" s="64" t="s">
        <v>1128</v>
      </c>
      <c r="E12" s="19">
        <v>45661</v>
      </c>
      <c r="F12" s="20">
        <v>1</v>
      </c>
      <c r="G12" s="18" t="s">
        <v>1108</v>
      </c>
      <c r="H12" s="65"/>
      <c r="I12" s="18" t="s">
        <v>1108</v>
      </c>
      <c r="J12" s="66"/>
      <c r="K12" s="66"/>
      <c r="L12" s="67"/>
      <c r="M12" s="68" t="s">
        <v>39</v>
      </c>
      <c r="N12" s="68" t="s">
        <v>420</v>
      </c>
      <c r="O12" s="69" t="s">
        <v>1189</v>
      </c>
      <c r="P12" s="134">
        <v>0.3298611111111111</v>
      </c>
      <c r="Q12" s="70"/>
      <c r="R12" s="134">
        <v>0.35555555555555557</v>
      </c>
      <c r="S12" s="70"/>
      <c r="T12" s="134">
        <v>0.49305555555555558</v>
      </c>
      <c r="U12" s="70"/>
      <c r="V12" s="134">
        <v>0.51041666666666663</v>
      </c>
      <c r="W12" s="70"/>
      <c r="X12" s="134">
        <v>0.51111111111111118</v>
      </c>
      <c r="Y12" s="70"/>
      <c r="Z12" s="134">
        <v>0.51736111111111105</v>
      </c>
      <c r="AA12" s="70" t="s">
        <v>1108</v>
      </c>
      <c r="AB12" s="19"/>
      <c r="AC12" s="20" t="s">
        <v>1108</v>
      </c>
      <c r="AD12" s="19"/>
      <c r="AE12" s="71">
        <f t="shared" si="25"/>
        <v>475</v>
      </c>
      <c r="AF12" s="71">
        <f t="shared" si="26"/>
        <v>735</v>
      </c>
      <c r="AG12" s="71">
        <f t="shared" si="27"/>
        <v>260</v>
      </c>
      <c r="AH12" s="71">
        <f t="shared" si="28"/>
        <v>0</v>
      </c>
      <c r="AI12" s="71">
        <f t="shared" si="29"/>
        <v>255</v>
      </c>
      <c r="AJ12" s="71" t="str">
        <f t="shared" si="30"/>
        <v/>
      </c>
      <c r="AK12" s="71" t="str">
        <f t="shared" si="31"/>
        <v/>
      </c>
      <c r="AL12" s="71">
        <f t="shared" si="32"/>
        <v>255</v>
      </c>
      <c r="AM12" s="71">
        <f t="shared" si="33"/>
        <v>5</v>
      </c>
      <c r="AN12" s="72">
        <f t="shared" si="34"/>
        <v>2.2222222222222254E-2</v>
      </c>
      <c r="AO12" s="73">
        <f t="shared" si="35"/>
        <v>8</v>
      </c>
      <c r="AP12" s="72" t="str">
        <f t="shared" si="36"/>
        <v>No</v>
      </c>
      <c r="AQ12" s="72">
        <f t="shared" si="37"/>
        <v>6.2499999999998668E-3</v>
      </c>
      <c r="AR12" s="72" t="str">
        <f t="shared" si="38"/>
        <v/>
      </c>
      <c r="AS12" s="72" t="str">
        <f t="shared" si="39"/>
        <v/>
      </c>
      <c r="AT12" s="72" t="str">
        <f t="shared" si="40"/>
        <v/>
      </c>
      <c r="AU12" s="3"/>
      <c r="AV12" s="20"/>
      <c r="AW12" s="20"/>
      <c r="AX12" s="3"/>
      <c r="AY12" s="20" t="s">
        <v>1112</v>
      </c>
      <c r="AZ12" s="46"/>
      <c r="BA12" s="20"/>
      <c r="BB12" s="46"/>
      <c r="BC12" s="20"/>
      <c r="BD12" s="20"/>
      <c r="BE12" s="20"/>
      <c r="BF12" s="47" t="str">
        <f t="shared" si="41"/>
        <v/>
      </c>
      <c r="BG12" s="3"/>
      <c r="BH12" s="81" t="s">
        <v>418</v>
      </c>
      <c r="BI12" s="57" t="s">
        <v>416</v>
      </c>
      <c r="BJ12" s="45">
        <f>COUNTA($B$2:$B$1288)</f>
        <v>134</v>
      </c>
      <c r="BK12" s="58">
        <f>IF(BJ12=$BJ$11,1,0)</f>
        <v>1</v>
      </c>
      <c r="BL12" s="3"/>
      <c r="BM12" s="3"/>
      <c r="BN12" s="3"/>
      <c r="BO12" s="3"/>
      <c r="BP12" s="3"/>
      <c r="BQ12" s="3"/>
      <c r="BR12" s="3"/>
      <c r="BS12" s="3"/>
      <c r="BT12" s="3"/>
      <c r="BU12" s="80"/>
      <c r="BV12" s="3"/>
      <c r="BW12" s="3"/>
      <c r="BX12" s="3"/>
      <c r="BY12" s="3"/>
      <c r="BZ12" s="3"/>
      <c r="CA12" s="44" t="s">
        <v>1093</v>
      </c>
      <c r="CB12" s="75">
        <f t="shared" si="42"/>
        <v>0</v>
      </c>
      <c r="CC12" s="75">
        <f t="shared" si="43"/>
        <v>0</v>
      </c>
      <c r="CD12" s="75">
        <f t="shared" si="44"/>
        <v>0</v>
      </c>
      <c r="CE12" s="75">
        <f t="shared" si="45"/>
        <v>0</v>
      </c>
      <c r="CF12" s="75" t="str">
        <f t="shared" si="46"/>
        <v/>
      </c>
      <c r="CG12" s="3"/>
      <c r="CH12" s="3"/>
      <c r="CI12" s="3"/>
      <c r="CJ12" s="3"/>
      <c r="CK12" s="3"/>
      <c r="CM12" s="3"/>
      <c r="CN12" s="78">
        <f t="shared" si="47"/>
        <v>0</v>
      </c>
      <c r="CO12" s="78">
        <f t="shared" si="48"/>
        <v>0</v>
      </c>
      <c r="CP12" s="78">
        <f t="shared" si="49"/>
        <v>0</v>
      </c>
      <c r="CQ12" s="78">
        <f t="shared" si="50"/>
        <v>0</v>
      </c>
      <c r="CR12" s="78">
        <f t="shared" si="51"/>
        <v>0</v>
      </c>
      <c r="CS12" s="78">
        <f t="shared" si="52"/>
        <v>0</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0</v>
      </c>
      <c r="DB12" s="78">
        <f t="shared" si="60"/>
        <v>0</v>
      </c>
      <c r="DC12" s="78">
        <f t="shared" si="61"/>
        <v>0</v>
      </c>
      <c r="DD12" s="78">
        <f t="shared" si="62"/>
        <v>0</v>
      </c>
      <c r="DE12" s="78">
        <f t="shared" si="63"/>
        <v>1</v>
      </c>
      <c r="DF12" s="78">
        <f t="shared" si="64"/>
        <v>1</v>
      </c>
      <c r="DG12" s="78" t="str">
        <f t="shared" si="65"/>
        <v>1</v>
      </c>
      <c r="DH12" s="78" t="str">
        <f t="shared" si="66"/>
        <v>1</v>
      </c>
      <c r="DI12" s="79" t="str">
        <f>IFERROR(IF(J12="","",VLOOKUP(J12,Lists!$D$3:$E$13,2,FALSE)),1)</f>
        <v/>
      </c>
      <c r="DJ12" s="79" t="str">
        <f>IFERROR(IF(K12="","",VLOOKUP(K12,Lists!$F$3:$G$14,2,FALSE)),1)</f>
        <v/>
      </c>
      <c r="DK12" s="79">
        <f>IFERROR(IF(M12="","",VLOOKUP(M12,Lists!$AA$3:$AB$18,2,FALSE)),1)</f>
        <v>0</v>
      </c>
      <c r="DL12" s="79">
        <f>IFERROR(IF(N12="","",VLOOKUP(N12,Lists!$AC$3:$AD$13,2,FALSE)),1)</f>
        <v>0</v>
      </c>
    </row>
    <row r="13" spans="1:116" ht="15" customHeight="1" x14ac:dyDescent="0.25">
      <c r="A13" s="20">
        <v>421110</v>
      </c>
      <c r="B13" s="19">
        <v>45669</v>
      </c>
      <c r="C13" s="64">
        <v>0.54166666666666663</v>
      </c>
      <c r="D13" s="64" t="s">
        <v>1127</v>
      </c>
      <c r="E13" s="19">
        <v>45651</v>
      </c>
      <c r="F13" s="20">
        <v>1</v>
      </c>
      <c r="G13" s="18" t="s">
        <v>1108</v>
      </c>
      <c r="H13" s="65"/>
      <c r="I13" s="18" t="s">
        <v>1108</v>
      </c>
      <c r="J13" s="66"/>
      <c r="K13" s="66"/>
      <c r="L13" s="67"/>
      <c r="M13" s="68" t="s">
        <v>39</v>
      </c>
      <c r="N13" s="68" t="s">
        <v>420</v>
      </c>
      <c r="O13" s="69" t="s">
        <v>1194</v>
      </c>
      <c r="P13" s="134">
        <v>0.54166666666666663</v>
      </c>
      <c r="Q13" s="70"/>
      <c r="R13" s="134">
        <v>0.59722222222222221</v>
      </c>
      <c r="S13" s="70"/>
      <c r="T13" s="134">
        <v>0.73611111111111116</v>
      </c>
      <c r="U13" s="70"/>
      <c r="V13" s="134">
        <v>0.74652777777777779</v>
      </c>
      <c r="W13" s="70"/>
      <c r="X13" s="134">
        <v>0.74722222222222223</v>
      </c>
      <c r="Y13" s="70"/>
      <c r="Z13" s="134">
        <v>0.75</v>
      </c>
      <c r="AA13" s="70" t="s">
        <v>1108</v>
      </c>
      <c r="AB13" s="19"/>
      <c r="AC13" s="20" t="s">
        <v>1108</v>
      </c>
      <c r="AD13" s="19"/>
      <c r="AE13" s="71">
        <f t="shared" si="25"/>
        <v>780</v>
      </c>
      <c r="AF13" s="71">
        <f t="shared" si="26"/>
        <v>1075</v>
      </c>
      <c r="AG13" s="71">
        <f t="shared" si="27"/>
        <v>295</v>
      </c>
      <c r="AH13" s="71" t="str">
        <f t="shared" si="28"/>
        <v/>
      </c>
      <c r="AI13" s="71" t="str">
        <f t="shared" si="29"/>
        <v/>
      </c>
      <c r="AJ13" s="71">
        <f t="shared" si="30"/>
        <v>180</v>
      </c>
      <c r="AK13" s="71" t="str">
        <f t="shared" si="31"/>
        <v/>
      </c>
      <c r="AL13" s="71">
        <f t="shared" si="32"/>
        <v>180</v>
      </c>
      <c r="AM13" s="71">
        <f t="shared" si="33"/>
        <v>115</v>
      </c>
      <c r="AN13" s="72">
        <f t="shared" si="34"/>
        <v>5.555555555555558E-2</v>
      </c>
      <c r="AO13" s="73">
        <f t="shared" si="35"/>
        <v>18</v>
      </c>
      <c r="AP13" s="72" t="str">
        <f t="shared" si="36"/>
        <v>No</v>
      </c>
      <c r="AQ13" s="72">
        <f t="shared" si="37"/>
        <v>2.7777777777777679E-3</v>
      </c>
      <c r="AR13" s="72" t="str">
        <f t="shared" si="38"/>
        <v/>
      </c>
      <c r="AS13" s="72" t="str">
        <f t="shared" si="39"/>
        <v/>
      </c>
      <c r="AT13" s="72" t="str">
        <f t="shared" si="40"/>
        <v/>
      </c>
      <c r="AU13" s="3"/>
      <c r="AV13" s="20"/>
      <c r="AW13" s="20"/>
      <c r="AX13" s="3"/>
      <c r="AY13" s="20" t="s">
        <v>1148</v>
      </c>
      <c r="AZ13" s="46"/>
      <c r="BA13" s="20"/>
      <c r="BB13" s="46"/>
      <c r="BC13" s="20"/>
      <c r="BD13" s="20"/>
      <c r="BE13" s="20"/>
      <c r="BF13" s="47" t="str">
        <f t="shared" si="41"/>
        <v/>
      </c>
      <c r="BG13" s="3"/>
      <c r="BH13" s="57" t="s">
        <v>419</v>
      </c>
      <c r="BI13" s="57" t="s">
        <v>416</v>
      </c>
      <c r="BJ13" s="45">
        <f>COUNTA($C$2:$C$1288)</f>
        <v>134</v>
      </c>
      <c r="BK13" s="58">
        <f>IF(BJ13=$BJ$11,1,0)</f>
        <v>1</v>
      </c>
      <c r="BL13" s="3"/>
      <c r="BM13" s="3"/>
      <c r="BN13" s="3"/>
      <c r="BO13" s="3"/>
      <c r="BP13" s="3"/>
      <c r="BQ13" s="3"/>
      <c r="BR13" s="3"/>
      <c r="BS13" s="3"/>
      <c r="BT13" s="3"/>
      <c r="BU13" s="80"/>
      <c r="BV13" s="3"/>
      <c r="BW13" s="3"/>
      <c r="BX13" s="3"/>
      <c r="BY13" s="3"/>
      <c r="BZ13" s="3"/>
      <c r="CA13" s="44" t="s">
        <v>420</v>
      </c>
      <c r="CB13" s="75">
        <f t="shared" si="42"/>
        <v>0.47014925373134331</v>
      </c>
      <c r="CC13" s="75">
        <f t="shared" si="43"/>
        <v>0</v>
      </c>
      <c r="CD13" s="75">
        <f t="shared" si="44"/>
        <v>0</v>
      </c>
      <c r="CE13" s="75">
        <f t="shared" si="45"/>
        <v>0</v>
      </c>
      <c r="CF13" s="75">
        <f t="shared" si="46"/>
        <v>0.50806451612903225</v>
      </c>
      <c r="CG13" s="3"/>
      <c r="CH13" s="3"/>
      <c r="CI13" s="3"/>
      <c r="CJ13" s="3"/>
      <c r="CK13" s="3"/>
      <c r="CM13" s="3"/>
      <c r="CN13" s="78">
        <f t="shared" si="47"/>
        <v>0</v>
      </c>
      <c r="CO13" s="78">
        <f t="shared" si="48"/>
        <v>0</v>
      </c>
      <c r="CP13" s="78">
        <f t="shared" si="49"/>
        <v>0</v>
      </c>
      <c r="CQ13" s="78">
        <f t="shared" si="50"/>
        <v>0</v>
      </c>
      <c r="CR13" s="78">
        <f t="shared" si="51"/>
        <v>0</v>
      </c>
      <c r="CS13" s="78">
        <f t="shared" si="52"/>
        <v>0</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0</v>
      </c>
      <c r="DB13" s="78">
        <f t="shared" si="60"/>
        <v>0</v>
      </c>
      <c r="DC13" s="78">
        <f t="shared" si="61"/>
        <v>0</v>
      </c>
      <c r="DD13" s="78">
        <f t="shared" si="62"/>
        <v>0</v>
      </c>
      <c r="DE13" s="78">
        <f t="shared" si="63"/>
        <v>1</v>
      </c>
      <c r="DF13" s="78">
        <f t="shared" si="64"/>
        <v>1</v>
      </c>
      <c r="DG13" s="78" t="str">
        <f t="shared" si="65"/>
        <v>1</v>
      </c>
      <c r="DH13" s="78" t="str">
        <f t="shared" si="66"/>
        <v>1</v>
      </c>
      <c r="DI13" s="79" t="str">
        <f>IFERROR(IF(J13="","",VLOOKUP(J13,Lists!$D$3:$E$13,2,FALSE)),1)</f>
        <v/>
      </c>
      <c r="DJ13" s="79" t="str">
        <f>IFERROR(IF(K13="","",VLOOKUP(K13,Lists!$F$3:$G$14,2,FALSE)),1)</f>
        <v/>
      </c>
      <c r="DK13" s="79">
        <f>IFERROR(IF(M13="","",VLOOKUP(M13,Lists!$AA$3:$AB$18,2,FALSE)),1)</f>
        <v>0</v>
      </c>
      <c r="DL13" s="79">
        <f>IFERROR(IF(N13="","",VLOOKUP(N13,Lists!$AC$3:$AD$13,2,FALSE)),1)</f>
        <v>0</v>
      </c>
    </row>
    <row r="14" spans="1:116" ht="15" customHeight="1" x14ac:dyDescent="0.25">
      <c r="A14" s="20">
        <v>412545</v>
      </c>
      <c r="B14" s="19">
        <v>45669</v>
      </c>
      <c r="C14" s="64">
        <v>0.33333333333333331</v>
      </c>
      <c r="D14" s="64" t="s">
        <v>1120</v>
      </c>
      <c r="E14" s="19">
        <v>45668</v>
      </c>
      <c r="F14" s="20">
        <v>7</v>
      </c>
      <c r="G14" s="18" t="s">
        <v>1108</v>
      </c>
      <c r="H14" s="65"/>
      <c r="I14" s="18" t="s">
        <v>1108</v>
      </c>
      <c r="J14" s="66"/>
      <c r="K14" s="66"/>
      <c r="L14" s="67"/>
      <c r="M14" s="68" t="s">
        <v>41</v>
      </c>
      <c r="N14" s="68" t="s">
        <v>420</v>
      </c>
      <c r="O14" s="69" t="s">
        <v>1195</v>
      </c>
      <c r="P14" s="134">
        <v>0.32847222222222222</v>
      </c>
      <c r="Q14" s="70"/>
      <c r="R14" s="134">
        <v>0.35000000000000003</v>
      </c>
      <c r="S14" s="70"/>
      <c r="T14" s="134">
        <v>0.37847222222222227</v>
      </c>
      <c r="U14" s="70"/>
      <c r="V14" s="134">
        <v>0.3888888888888889</v>
      </c>
      <c r="W14" s="70"/>
      <c r="X14" s="134">
        <v>0.38958333333333334</v>
      </c>
      <c r="Y14" s="70"/>
      <c r="Z14" s="134">
        <v>0.39583333333333331</v>
      </c>
      <c r="AA14" s="70" t="s">
        <v>1121</v>
      </c>
      <c r="AB14" s="19">
        <v>45670</v>
      </c>
      <c r="AC14" s="20" t="s">
        <v>1108</v>
      </c>
      <c r="AD14" s="19"/>
      <c r="AE14" s="71">
        <f t="shared" si="25"/>
        <v>473</v>
      </c>
      <c r="AF14" s="71">
        <f t="shared" si="26"/>
        <v>560</v>
      </c>
      <c r="AG14" s="71">
        <f t="shared" si="27"/>
        <v>87</v>
      </c>
      <c r="AH14" s="71">
        <f t="shared" si="28"/>
        <v>0</v>
      </c>
      <c r="AI14" s="71">
        <f t="shared" si="29"/>
        <v>80</v>
      </c>
      <c r="AJ14" s="71" t="str">
        <f t="shared" si="30"/>
        <v/>
      </c>
      <c r="AK14" s="71" t="str">
        <f t="shared" si="31"/>
        <v/>
      </c>
      <c r="AL14" s="71">
        <f t="shared" si="32"/>
        <v>80</v>
      </c>
      <c r="AM14" s="71">
        <f t="shared" si="33"/>
        <v>7</v>
      </c>
      <c r="AN14" s="72">
        <f t="shared" si="34"/>
        <v>1.6666666666666718E-2</v>
      </c>
      <c r="AO14" s="73">
        <f t="shared" si="35"/>
        <v>1</v>
      </c>
      <c r="AP14" s="72" t="str">
        <f t="shared" si="36"/>
        <v>No</v>
      </c>
      <c r="AQ14" s="72">
        <f t="shared" si="37"/>
        <v>6.2499999999999778E-3</v>
      </c>
      <c r="AR14" s="72" t="str">
        <f t="shared" si="38"/>
        <v/>
      </c>
      <c r="AS14" s="72" t="str">
        <f t="shared" si="39"/>
        <v/>
      </c>
      <c r="AT14" s="72" t="str">
        <f t="shared" si="40"/>
        <v/>
      </c>
      <c r="AU14" s="3"/>
      <c r="AV14" s="20"/>
      <c r="AW14" s="20"/>
      <c r="AX14" s="3"/>
      <c r="AY14" s="20" t="s">
        <v>1149</v>
      </c>
      <c r="AZ14" s="46"/>
      <c r="BA14" s="20"/>
      <c r="BB14" s="46"/>
      <c r="BC14" s="20"/>
      <c r="BD14" s="20"/>
      <c r="BE14" s="20"/>
      <c r="BF14" s="47" t="str">
        <f t="shared" si="41"/>
        <v/>
      </c>
      <c r="BG14" s="3"/>
      <c r="BH14" s="57" t="s">
        <v>728</v>
      </c>
      <c r="BI14" s="57" t="s">
        <v>416</v>
      </c>
      <c r="BJ14" s="45">
        <f>COUNTA($D$2:$D$1288)</f>
        <v>134</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f t="shared" si="47"/>
        <v>0</v>
      </c>
      <c r="CO14" s="78">
        <f t="shared" si="48"/>
        <v>0</v>
      </c>
      <c r="CP14" s="78">
        <f t="shared" si="49"/>
        <v>0</v>
      </c>
      <c r="CQ14" s="78">
        <f t="shared" si="50"/>
        <v>0</v>
      </c>
      <c r="CR14" s="78">
        <f t="shared" si="51"/>
        <v>0</v>
      </c>
      <c r="CS14" s="78">
        <f t="shared" si="52"/>
        <v>0</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0</v>
      </c>
      <c r="DB14" s="78">
        <f t="shared" si="60"/>
        <v>0</v>
      </c>
      <c r="DC14" s="78">
        <f t="shared" si="61"/>
        <v>0</v>
      </c>
      <c r="DD14" s="78">
        <f t="shared" si="62"/>
        <v>0</v>
      </c>
      <c r="DE14" s="78">
        <f t="shared" si="63"/>
        <v>1</v>
      </c>
      <c r="DF14" s="78">
        <f t="shared" si="64"/>
        <v>1</v>
      </c>
      <c r="DG14" s="78">
        <f t="shared" si="65"/>
        <v>1</v>
      </c>
      <c r="DH14" s="78" t="str">
        <f t="shared" si="66"/>
        <v>1</v>
      </c>
      <c r="DI14" s="79" t="str">
        <f>IFERROR(IF(J14="","",VLOOKUP(J14,Lists!$D$3:$E$13,2,FALSE)),1)</f>
        <v/>
      </c>
      <c r="DJ14" s="79" t="str">
        <f>IFERROR(IF(K14="","",VLOOKUP(K14,Lists!$F$3:$G$14,2,FALSE)),1)</f>
        <v/>
      </c>
      <c r="DK14" s="79">
        <f>IFERROR(IF(M14="","",VLOOKUP(M14,Lists!$AA$3:$AB$18,2,FALSE)),1)</f>
        <v>0</v>
      </c>
      <c r="DL14" s="79">
        <f>IFERROR(IF(N14="","",VLOOKUP(N14,Lists!$AC$3:$AD$13,2,FALSE)),1)</f>
        <v>0</v>
      </c>
    </row>
    <row r="15" spans="1:116" ht="15" customHeight="1" x14ac:dyDescent="0.25">
      <c r="A15" s="20">
        <v>235828</v>
      </c>
      <c r="B15" s="19">
        <v>45669</v>
      </c>
      <c r="C15" s="64">
        <v>0.41666666666666669</v>
      </c>
      <c r="D15" s="64" t="s">
        <v>1120</v>
      </c>
      <c r="E15" s="19">
        <v>45660</v>
      </c>
      <c r="F15" s="20">
        <v>7</v>
      </c>
      <c r="G15" s="18" t="s">
        <v>1108</v>
      </c>
      <c r="H15" s="65"/>
      <c r="I15" s="18" t="s">
        <v>1108</v>
      </c>
      <c r="J15" s="66"/>
      <c r="K15" s="66"/>
      <c r="L15" s="67"/>
      <c r="M15" s="68" t="s">
        <v>41</v>
      </c>
      <c r="N15" s="68" t="s">
        <v>420</v>
      </c>
      <c r="O15" s="69" t="s">
        <v>1196</v>
      </c>
      <c r="P15" s="134">
        <v>0.41666666666666669</v>
      </c>
      <c r="Q15" s="70"/>
      <c r="R15" s="134">
        <v>0.44444444444444442</v>
      </c>
      <c r="S15" s="70"/>
      <c r="T15" s="134">
        <v>0.56597222222222221</v>
      </c>
      <c r="U15" s="70"/>
      <c r="V15" s="134">
        <v>0.57986111111111105</v>
      </c>
      <c r="W15" s="70"/>
      <c r="X15" s="134">
        <v>0.5805555555555556</v>
      </c>
      <c r="Y15" s="70"/>
      <c r="Z15" s="134">
        <v>0.59027777777777779</v>
      </c>
      <c r="AA15" s="70" t="s">
        <v>1108</v>
      </c>
      <c r="AB15" s="19"/>
      <c r="AC15" s="20" t="s">
        <v>1108</v>
      </c>
      <c r="AD15" s="19"/>
      <c r="AE15" s="71">
        <f t="shared" si="25"/>
        <v>600</v>
      </c>
      <c r="AF15" s="71">
        <f t="shared" si="26"/>
        <v>835</v>
      </c>
      <c r="AG15" s="71">
        <f t="shared" si="27"/>
        <v>235</v>
      </c>
      <c r="AH15" s="71">
        <f t="shared" si="28"/>
        <v>235</v>
      </c>
      <c r="AI15" s="71" t="str">
        <f t="shared" si="29"/>
        <v/>
      </c>
      <c r="AJ15" s="71" t="str">
        <f t="shared" si="30"/>
        <v/>
      </c>
      <c r="AK15" s="71" t="str">
        <f t="shared" si="31"/>
        <v/>
      </c>
      <c r="AL15" s="71">
        <f t="shared" si="32"/>
        <v>235</v>
      </c>
      <c r="AM15" s="71">
        <f t="shared" si="33"/>
        <v>0</v>
      </c>
      <c r="AN15" s="72">
        <f t="shared" si="34"/>
        <v>2.7777777777777735E-2</v>
      </c>
      <c r="AO15" s="73">
        <f t="shared" si="35"/>
        <v>9</v>
      </c>
      <c r="AP15" s="72" t="str">
        <f t="shared" si="36"/>
        <v>No</v>
      </c>
      <c r="AQ15" s="72">
        <f t="shared" si="37"/>
        <v>9.7222222222221877E-3</v>
      </c>
      <c r="AR15" s="72" t="str">
        <f t="shared" si="38"/>
        <v/>
      </c>
      <c r="AS15" s="72" t="str">
        <f t="shared" si="39"/>
        <v/>
      </c>
      <c r="AT15" s="72" t="str">
        <f t="shared" si="40"/>
        <v/>
      </c>
      <c r="AU15" s="3"/>
      <c r="AV15" s="20"/>
      <c r="AW15" s="20"/>
      <c r="AX15" s="3"/>
      <c r="AY15" s="20" t="s">
        <v>1117</v>
      </c>
      <c r="AZ15" s="46"/>
      <c r="BA15" s="20"/>
      <c r="BB15" s="46"/>
      <c r="BC15" s="20"/>
      <c r="BD15" s="20"/>
      <c r="BE15" s="20"/>
      <c r="BF15" s="47" t="str">
        <f t="shared" si="41"/>
        <v/>
      </c>
      <c r="BG15" s="3"/>
      <c r="BH15" s="57" t="s">
        <v>313</v>
      </c>
      <c r="BI15" s="57" t="s">
        <v>416</v>
      </c>
      <c r="BJ15" s="45">
        <f>COUNTA($E$2:$E$1288)</f>
        <v>134</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f t="shared" si="47"/>
        <v>0</v>
      </c>
      <c r="CO15" s="78">
        <f t="shared" si="48"/>
        <v>0</v>
      </c>
      <c r="CP15" s="78">
        <f t="shared" si="49"/>
        <v>0</v>
      </c>
      <c r="CQ15" s="78">
        <f t="shared" si="50"/>
        <v>0</v>
      </c>
      <c r="CR15" s="78">
        <f t="shared" si="51"/>
        <v>0</v>
      </c>
      <c r="CS15" s="78">
        <f t="shared" si="52"/>
        <v>0</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0</v>
      </c>
      <c r="DC15" s="78">
        <f t="shared" si="61"/>
        <v>0</v>
      </c>
      <c r="DD15" s="78">
        <f t="shared" si="62"/>
        <v>0</v>
      </c>
      <c r="DE15" s="78">
        <f t="shared" si="63"/>
        <v>1</v>
      </c>
      <c r="DF15" s="78">
        <f t="shared" si="64"/>
        <v>1</v>
      </c>
      <c r="DG15" s="78" t="str">
        <f t="shared" si="65"/>
        <v>1</v>
      </c>
      <c r="DH15" s="78" t="str">
        <f t="shared" si="66"/>
        <v>1</v>
      </c>
      <c r="DI15" s="79" t="str">
        <f>IFERROR(IF(J15="","",VLOOKUP(J15,Lists!$D$3:$E$13,2,FALSE)),1)</f>
        <v/>
      </c>
      <c r="DJ15" s="79" t="str">
        <f>IFERROR(IF(K15="","",VLOOKUP(K15,Lists!$F$3:$G$14,2,FALSE)),1)</f>
        <v/>
      </c>
      <c r="DK15" s="79">
        <f>IFERROR(IF(M15="","",VLOOKUP(M15,Lists!$AA$3:$AB$18,2,FALSE)),1)</f>
        <v>0</v>
      </c>
      <c r="DL15" s="79">
        <f>IFERROR(IF(N15="","",VLOOKUP(N15,Lists!$AC$3:$AD$13,2,FALSE)),1)</f>
        <v>0</v>
      </c>
    </row>
    <row r="16" spans="1:116" ht="15" customHeight="1" x14ac:dyDescent="0.25">
      <c r="A16" s="20">
        <v>173467</v>
      </c>
      <c r="B16" s="19">
        <v>45669</v>
      </c>
      <c r="C16" s="64">
        <v>0.60416666666666663</v>
      </c>
      <c r="D16" s="64" t="s">
        <v>1120</v>
      </c>
      <c r="E16" s="19">
        <v>45660</v>
      </c>
      <c r="F16" s="20">
        <v>7</v>
      </c>
      <c r="G16" s="18" t="s">
        <v>1108</v>
      </c>
      <c r="H16" s="65"/>
      <c r="I16" s="18" t="s">
        <v>1108</v>
      </c>
      <c r="J16" s="66"/>
      <c r="K16" s="66"/>
      <c r="L16" s="67"/>
      <c r="M16" s="68" t="s">
        <v>41</v>
      </c>
      <c r="N16" s="68" t="s">
        <v>420</v>
      </c>
      <c r="O16" s="69" t="s">
        <v>1144</v>
      </c>
      <c r="P16" s="134">
        <v>0.60763888888888895</v>
      </c>
      <c r="Q16" s="70"/>
      <c r="R16" s="134">
        <v>0.625</v>
      </c>
      <c r="S16" s="70"/>
      <c r="T16" s="134">
        <v>0.66666666666666663</v>
      </c>
      <c r="U16" s="70"/>
      <c r="V16" s="134">
        <v>0.68541666666666667</v>
      </c>
      <c r="W16" s="70"/>
      <c r="X16" s="134">
        <v>0.68611111111111101</v>
      </c>
      <c r="Y16" s="70"/>
      <c r="Z16" s="134">
        <v>0.69444444444444453</v>
      </c>
      <c r="AA16" s="70" t="s">
        <v>1108</v>
      </c>
      <c r="AB16" s="19"/>
      <c r="AC16" s="20" t="s">
        <v>1108</v>
      </c>
      <c r="AD16" s="19"/>
      <c r="AE16" s="71">
        <f t="shared" si="25"/>
        <v>875</v>
      </c>
      <c r="AF16" s="71">
        <f t="shared" si="26"/>
        <v>987</v>
      </c>
      <c r="AG16" s="71">
        <f t="shared" si="27"/>
        <v>112</v>
      </c>
      <c r="AH16" s="71" t="str">
        <f t="shared" si="28"/>
        <v/>
      </c>
      <c r="AI16" s="71" t="str">
        <f t="shared" si="29"/>
        <v/>
      </c>
      <c r="AJ16" s="71">
        <f t="shared" si="30"/>
        <v>85</v>
      </c>
      <c r="AK16" s="71" t="str">
        <f t="shared" si="31"/>
        <v/>
      </c>
      <c r="AL16" s="71">
        <f t="shared" si="32"/>
        <v>85</v>
      </c>
      <c r="AM16" s="71">
        <f t="shared" si="33"/>
        <v>27</v>
      </c>
      <c r="AN16" s="72">
        <f t="shared" si="34"/>
        <v>2.083333333333337E-2</v>
      </c>
      <c r="AO16" s="73">
        <f t="shared" si="35"/>
        <v>9</v>
      </c>
      <c r="AP16" s="72" t="str">
        <f t="shared" si="36"/>
        <v>No</v>
      </c>
      <c r="AQ16" s="72">
        <f t="shared" si="37"/>
        <v>8.3333333333335258E-3</v>
      </c>
      <c r="AR16" s="72" t="str">
        <f t="shared" si="38"/>
        <v/>
      </c>
      <c r="AS16" s="72" t="str">
        <f t="shared" si="39"/>
        <v/>
      </c>
      <c r="AT16" s="72" t="str">
        <f t="shared" si="40"/>
        <v/>
      </c>
      <c r="AU16" s="3"/>
      <c r="AV16" s="20"/>
      <c r="AW16" s="20"/>
      <c r="AX16" s="3"/>
      <c r="AY16" s="20" t="s">
        <v>1150</v>
      </c>
      <c r="AZ16" s="46"/>
      <c r="BA16" s="20"/>
      <c r="BB16" s="46"/>
      <c r="BC16" s="20"/>
      <c r="BD16" s="20"/>
      <c r="BE16" s="20"/>
      <c r="BF16" s="47" t="str">
        <f t="shared" si="41"/>
        <v/>
      </c>
      <c r="BG16" s="3"/>
      <c r="BH16" s="57" t="s">
        <v>314</v>
      </c>
      <c r="BI16" s="57" t="s">
        <v>416</v>
      </c>
      <c r="BJ16" s="45">
        <f>COUNTA($F$2:$F$1288)</f>
        <v>134</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f t="shared" si="47"/>
        <v>0</v>
      </c>
      <c r="CO16" s="78">
        <f t="shared" si="48"/>
        <v>0</v>
      </c>
      <c r="CP16" s="78">
        <f t="shared" si="49"/>
        <v>0</v>
      </c>
      <c r="CQ16" s="78">
        <f t="shared" si="50"/>
        <v>0</v>
      </c>
      <c r="CR16" s="78">
        <f t="shared" si="51"/>
        <v>0</v>
      </c>
      <c r="CS16" s="78">
        <f t="shared" si="52"/>
        <v>0</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f t="shared" si="63"/>
        <v>1</v>
      </c>
      <c r="DF16" s="78">
        <f t="shared" si="64"/>
        <v>1</v>
      </c>
      <c r="DG16" s="78" t="str">
        <f t="shared" si="65"/>
        <v>1</v>
      </c>
      <c r="DH16" s="78" t="str">
        <f t="shared" si="66"/>
        <v>1</v>
      </c>
      <c r="DI16" s="79" t="str">
        <f>IFERROR(IF(J16="","",VLOOKUP(J16,Lists!$D$3:$E$13,2,FALSE)),1)</f>
        <v/>
      </c>
      <c r="DJ16" s="79" t="str">
        <f>IFERROR(IF(K16="","",VLOOKUP(K16,Lists!$F$3:$G$14,2,FALSE)),1)</f>
        <v/>
      </c>
      <c r="DK16" s="79">
        <f>IFERROR(IF(M16="","",VLOOKUP(M16,Lists!$AA$3:$AB$18,2,FALSE)),1)</f>
        <v>0</v>
      </c>
      <c r="DL16" s="79">
        <f>IFERROR(IF(N16="","",VLOOKUP(N16,Lists!$AC$3:$AD$13,2,FALSE)),1)</f>
        <v>0</v>
      </c>
    </row>
    <row r="17" spans="1:116" ht="15" customHeight="1" x14ac:dyDescent="0.25">
      <c r="A17" s="20">
        <v>378077</v>
      </c>
      <c r="B17" s="19">
        <v>45669</v>
      </c>
      <c r="C17" s="64">
        <v>0.33333333333333331</v>
      </c>
      <c r="D17" s="64" t="s">
        <v>1122</v>
      </c>
      <c r="E17" s="19">
        <v>45669</v>
      </c>
      <c r="F17" s="20">
        <v>2</v>
      </c>
      <c r="G17" s="18" t="s">
        <v>1108</v>
      </c>
      <c r="H17" s="65"/>
      <c r="I17" s="18" t="s">
        <v>1121</v>
      </c>
      <c r="J17" s="66" t="s">
        <v>55</v>
      </c>
      <c r="K17" s="66" t="s">
        <v>420</v>
      </c>
      <c r="L17" s="67" t="s">
        <v>1197</v>
      </c>
      <c r="M17" s="68"/>
      <c r="N17" s="68"/>
      <c r="O17" s="69"/>
      <c r="P17" s="134">
        <v>0.32777777777777778</v>
      </c>
      <c r="Q17" s="70"/>
      <c r="R17" s="134">
        <v>0.35416666666666669</v>
      </c>
      <c r="S17" s="70"/>
      <c r="T17" s="134">
        <v>0.37361111111111112</v>
      </c>
      <c r="U17" s="70"/>
      <c r="V17" s="134">
        <v>0.3888888888888889</v>
      </c>
      <c r="W17" s="70"/>
      <c r="X17" s="134">
        <v>0.38958333333333334</v>
      </c>
      <c r="Y17" s="70"/>
      <c r="Z17" s="134">
        <v>0.39583333333333331</v>
      </c>
      <c r="AA17" s="70" t="s">
        <v>1121</v>
      </c>
      <c r="AB17" s="19">
        <v>45669</v>
      </c>
      <c r="AC17" s="20" t="s">
        <v>1108</v>
      </c>
      <c r="AD17" s="19"/>
      <c r="AE17" s="71">
        <f t="shared" si="25"/>
        <v>472</v>
      </c>
      <c r="AF17" s="71">
        <f t="shared" si="26"/>
        <v>560</v>
      </c>
      <c r="AG17" s="71">
        <f t="shared" si="27"/>
        <v>88</v>
      </c>
      <c r="AH17" s="71">
        <f t="shared" si="28"/>
        <v>0</v>
      </c>
      <c r="AI17" s="71">
        <f t="shared" si="29"/>
        <v>80</v>
      </c>
      <c r="AJ17" s="71" t="str">
        <f t="shared" si="30"/>
        <v/>
      </c>
      <c r="AK17" s="71" t="str">
        <f t="shared" si="31"/>
        <v/>
      </c>
      <c r="AL17" s="71">
        <f t="shared" si="32"/>
        <v>80</v>
      </c>
      <c r="AM17" s="71">
        <f t="shared" si="33"/>
        <v>8</v>
      </c>
      <c r="AN17" s="72">
        <f t="shared" si="34"/>
        <v>2.083333333333337E-2</v>
      </c>
      <c r="AO17" s="73">
        <f t="shared" si="35"/>
        <v>0</v>
      </c>
      <c r="AP17" s="72" t="str">
        <f t="shared" si="36"/>
        <v>No</v>
      </c>
      <c r="AQ17" s="72">
        <f t="shared" si="37"/>
        <v>6.2499999999999778E-3</v>
      </c>
      <c r="AR17" s="72" t="str">
        <f t="shared" si="38"/>
        <v>Yes</v>
      </c>
      <c r="AS17" s="72" t="str">
        <f t="shared" si="39"/>
        <v>No</v>
      </c>
      <c r="AT17" s="72" t="str">
        <f t="shared" si="40"/>
        <v>No</v>
      </c>
      <c r="AU17" s="3"/>
      <c r="AV17" s="20"/>
      <c r="AW17" s="20"/>
      <c r="AX17" s="3"/>
      <c r="AY17" s="20" t="s">
        <v>1151</v>
      </c>
      <c r="AZ17" s="46"/>
      <c r="BA17" s="20"/>
      <c r="BB17" s="46"/>
      <c r="BC17" s="20"/>
      <c r="BD17" s="20"/>
      <c r="BE17" s="20"/>
      <c r="BF17" s="47" t="str">
        <f t="shared" si="41"/>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47"/>
        <v>0</v>
      </c>
      <c r="CO17" s="78">
        <f t="shared" si="48"/>
        <v>0</v>
      </c>
      <c r="CP17" s="78">
        <f t="shared" si="49"/>
        <v>0</v>
      </c>
      <c r="CQ17" s="78">
        <f t="shared" si="50"/>
        <v>0</v>
      </c>
      <c r="CR17" s="78">
        <f t="shared" si="51"/>
        <v>0</v>
      </c>
      <c r="CS17" s="78">
        <f t="shared" si="52"/>
        <v>0</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0</v>
      </c>
      <c r="DC17" s="78">
        <f t="shared" si="61"/>
        <v>0</v>
      </c>
      <c r="DD17" s="78">
        <f t="shared" si="62"/>
        <v>0</v>
      </c>
      <c r="DE17" s="78">
        <f t="shared" si="63"/>
        <v>1</v>
      </c>
      <c r="DF17" s="78">
        <f t="shared" si="64"/>
        <v>1</v>
      </c>
      <c r="DG17" s="78">
        <f t="shared" si="65"/>
        <v>1</v>
      </c>
      <c r="DH17" s="78" t="str">
        <f t="shared" si="66"/>
        <v>1</v>
      </c>
      <c r="DI17" s="79">
        <f>IFERROR(IF(J17="","",VLOOKUP(J17,Lists!$D$3:$E$13,2,FALSE)),1)</f>
        <v>0</v>
      </c>
      <c r="DJ17" s="79">
        <f>IFERROR(IF(K17="","",VLOOKUP(K17,Lists!$F$3:$G$14,2,FALSE)),1)</f>
        <v>0</v>
      </c>
      <c r="DK17" s="79" t="str">
        <f>IFERROR(IF(M17="","",VLOOKUP(M17,Lists!$AA$3:$AB$18,2,FALSE)),1)</f>
        <v/>
      </c>
      <c r="DL17" s="79" t="str">
        <f>IFERROR(IF(N17="","",VLOOKUP(N17,Lists!$AC$3:$AD$13,2,FALSE)),1)</f>
        <v/>
      </c>
    </row>
    <row r="18" spans="1:116" ht="15" customHeight="1" x14ac:dyDescent="0.25">
      <c r="A18" s="20">
        <v>52939</v>
      </c>
      <c r="B18" s="19">
        <v>45669</v>
      </c>
      <c r="C18" s="64">
        <v>0.41666666666666669</v>
      </c>
      <c r="D18" s="64" t="s">
        <v>1122</v>
      </c>
      <c r="E18" s="19">
        <v>45669</v>
      </c>
      <c r="F18" s="20">
        <v>2</v>
      </c>
      <c r="G18" s="18" t="s">
        <v>1108</v>
      </c>
      <c r="H18" s="65"/>
      <c r="I18" s="18" t="s">
        <v>1121</v>
      </c>
      <c r="J18" s="66" t="s">
        <v>55</v>
      </c>
      <c r="K18" s="66" t="s">
        <v>417</v>
      </c>
      <c r="L18" s="67"/>
      <c r="M18" s="68"/>
      <c r="N18" s="68"/>
      <c r="O18" s="69"/>
      <c r="P18" s="134">
        <v>0.41666666666666669</v>
      </c>
      <c r="Q18" s="70"/>
      <c r="R18" s="134">
        <v>0.42777777777777781</v>
      </c>
      <c r="S18" s="70"/>
      <c r="T18" s="134">
        <v>0.4458333333333333</v>
      </c>
      <c r="U18" s="70"/>
      <c r="V18" s="134">
        <v>0.4548611111111111</v>
      </c>
      <c r="W18" s="70"/>
      <c r="X18" s="134">
        <v>0.45555555555555555</v>
      </c>
      <c r="Y18" s="70"/>
      <c r="Z18" s="134">
        <v>0.46180555555555558</v>
      </c>
      <c r="AA18" s="70" t="s">
        <v>1121</v>
      </c>
      <c r="AB18" s="19">
        <v>45669</v>
      </c>
      <c r="AC18" s="20" t="s">
        <v>1108</v>
      </c>
      <c r="AD18" s="19"/>
      <c r="AE18" s="71">
        <f t="shared" si="25"/>
        <v>600</v>
      </c>
      <c r="AF18" s="71">
        <f t="shared" si="26"/>
        <v>655</v>
      </c>
      <c r="AG18" s="71">
        <f t="shared" si="27"/>
        <v>55</v>
      </c>
      <c r="AH18" s="71">
        <f t="shared" si="28"/>
        <v>55</v>
      </c>
      <c r="AI18" s="71" t="str">
        <f t="shared" si="29"/>
        <v/>
      </c>
      <c r="AJ18" s="71" t="str">
        <f t="shared" si="30"/>
        <v/>
      </c>
      <c r="AK18" s="71" t="str">
        <f t="shared" si="31"/>
        <v/>
      </c>
      <c r="AL18" s="71">
        <f t="shared" si="32"/>
        <v>55</v>
      </c>
      <c r="AM18" s="71">
        <f t="shared" si="33"/>
        <v>0</v>
      </c>
      <c r="AN18" s="72">
        <f t="shared" si="34"/>
        <v>1.1111111111111127E-2</v>
      </c>
      <c r="AO18" s="73">
        <f t="shared" si="35"/>
        <v>0</v>
      </c>
      <c r="AP18" s="72" t="str">
        <f t="shared" si="36"/>
        <v>No</v>
      </c>
      <c r="AQ18" s="72">
        <f t="shared" si="37"/>
        <v>6.2500000000000333E-3</v>
      </c>
      <c r="AR18" s="72" t="str">
        <f t="shared" si="38"/>
        <v>Yes</v>
      </c>
      <c r="AS18" s="72" t="str">
        <f t="shared" si="39"/>
        <v>No</v>
      </c>
      <c r="AT18" s="72" t="str">
        <f t="shared" si="40"/>
        <v>No</v>
      </c>
      <c r="AU18" s="3"/>
      <c r="AV18" s="20"/>
      <c r="AW18" s="20"/>
      <c r="AX18" s="3"/>
      <c r="AY18" s="20" t="s">
        <v>1127</v>
      </c>
      <c r="AZ18" s="46"/>
      <c r="BA18" s="20"/>
      <c r="BB18" s="46"/>
      <c r="BC18" s="20"/>
      <c r="BD18" s="20"/>
      <c r="BE18" s="20"/>
      <c r="BF18" s="47" t="str">
        <f t="shared" si="41"/>
        <v/>
      </c>
      <c r="BG18" s="3"/>
      <c r="BH18" s="57" t="s">
        <v>422</v>
      </c>
      <c r="BI18" s="57" t="s">
        <v>416</v>
      </c>
      <c r="BJ18" s="45">
        <f>COUNTIF($G$2:$G$1288,"No")</f>
        <v>134</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47"/>
        <v>0</v>
      </c>
      <c r="CO18" s="78">
        <f t="shared" si="48"/>
        <v>0</v>
      </c>
      <c r="CP18" s="78">
        <f t="shared" si="49"/>
        <v>0</v>
      </c>
      <c r="CQ18" s="78">
        <f t="shared" si="50"/>
        <v>0</v>
      </c>
      <c r="CR18" s="78">
        <f t="shared" si="51"/>
        <v>0</v>
      </c>
      <c r="CS18" s="78">
        <f t="shared" si="52"/>
        <v>0</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f t="shared" si="63"/>
        <v>1</v>
      </c>
      <c r="DF18" s="78">
        <f t="shared" si="64"/>
        <v>1</v>
      </c>
      <c r="DG18" s="78">
        <f t="shared" si="65"/>
        <v>1</v>
      </c>
      <c r="DH18" s="78" t="str">
        <f t="shared" si="66"/>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25">
      <c r="A19" s="20">
        <v>423178</v>
      </c>
      <c r="B19" s="19">
        <v>45669</v>
      </c>
      <c r="C19" s="64">
        <v>0.45833333333333331</v>
      </c>
      <c r="D19" s="64" t="s">
        <v>1127</v>
      </c>
      <c r="E19" s="19">
        <v>45665</v>
      </c>
      <c r="F19" s="20">
        <v>2</v>
      </c>
      <c r="G19" s="18" t="s">
        <v>1108</v>
      </c>
      <c r="H19" s="65"/>
      <c r="I19" s="18" t="s">
        <v>1108</v>
      </c>
      <c r="J19" s="66"/>
      <c r="K19" s="66"/>
      <c r="L19" s="67"/>
      <c r="M19" s="68" t="s">
        <v>39</v>
      </c>
      <c r="N19" s="68" t="s">
        <v>420</v>
      </c>
      <c r="O19" s="69" t="s">
        <v>1198</v>
      </c>
      <c r="P19" s="134">
        <v>0.46875</v>
      </c>
      <c r="Q19" s="70"/>
      <c r="R19" s="134">
        <v>0.4826388888888889</v>
      </c>
      <c r="S19" s="70"/>
      <c r="T19" s="134">
        <v>0.54166666666666663</v>
      </c>
      <c r="U19" s="70"/>
      <c r="V19" s="134">
        <v>0.5625</v>
      </c>
      <c r="W19" s="70"/>
      <c r="X19" s="134">
        <v>0.56319444444444444</v>
      </c>
      <c r="Y19" s="70"/>
      <c r="Z19" s="134">
        <v>0.56944444444444442</v>
      </c>
      <c r="AA19" s="70" t="s">
        <v>1108</v>
      </c>
      <c r="AB19" s="19"/>
      <c r="AC19" s="20" t="s">
        <v>1108</v>
      </c>
      <c r="AD19" s="19"/>
      <c r="AE19" s="71">
        <f t="shared" si="25"/>
        <v>675</v>
      </c>
      <c r="AF19" s="71">
        <f t="shared" si="26"/>
        <v>810</v>
      </c>
      <c r="AG19" s="71">
        <f t="shared" si="27"/>
        <v>135</v>
      </c>
      <c r="AH19" s="71">
        <f t="shared" si="28"/>
        <v>135</v>
      </c>
      <c r="AI19" s="71" t="str">
        <f t="shared" si="29"/>
        <v/>
      </c>
      <c r="AJ19" s="71" t="str">
        <f t="shared" si="30"/>
        <v/>
      </c>
      <c r="AK19" s="71" t="str">
        <f t="shared" si="31"/>
        <v/>
      </c>
      <c r="AL19" s="71">
        <f t="shared" si="32"/>
        <v>135</v>
      </c>
      <c r="AM19" s="71">
        <f t="shared" si="33"/>
        <v>0</v>
      </c>
      <c r="AN19" s="72">
        <f t="shared" si="34"/>
        <v>2.430555555555558E-2</v>
      </c>
      <c r="AO19" s="73">
        <f t="shared" si="35"/>
        <v>4</v>
      </c>
      <c r="AP19" s="72" t="str">
        <f t="shared" si="36"/>
        <v>No</v>
      </c>
      <c r="AQ19" s="72">
        <f t="shared" si="37"/>
        <v>6.2499999999999778E-3</v>
      </c>
      <c r="AR19" s="72" t="str">
        <f t="shared" si="38"/>
        <v/>
      </c>
      <c r="AS19" s="72" t="str">
        <f t="shared" si="39"/>
        <v/>
      </c>
      <c r="AT19" s="72" t="str">
        <f t="shared" si="40"/>
        <v/>
      </c>
      <c r="AU19" s="3"/>
      <c r="AV19" s="20"/>
      <c r="AW19" s="20"/>
      <c r="AX19" s="3"/>
      <c r="AY19" s="20" t="s">
        <v>1132</v>
      </c>
      <c r="AZ19" s="46"/>
      <c r="BA19" s="20"/>
      <c r="BB19" s="46"/>
      <c r="BC19" s="20"/>
      <c r="BD19" s="20"/>
      <c r="BE19" s="20"/>
      <c r="BF19" s="47" t="str">
        <f t="shared" si="41"/>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47"/>
        <v>0</v>
      </c>
      <c r="CO19" s="78">
        <f t="shared" si="48"/>
        <v>0</v>
      </c>
      <c r="CP19" s="78">
        <f t="shared" si="49"/>
        <v>0</v>
      </c>
      <c r="CQ19" s="78">
        <f t="shared" si="50"/>
        <v>0</v>
      </c>
      <c r="CR19" s="78">
        <f t="shared" si="51"/>
        <v>0</v>
      </c>
      <c r="CS19" s="78">
        <f t="shared" si="52"/>
        <v>0</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1</v>
      </c>
      <c r="DC19" s="78">
        <f t="shared" si="61"/>
        <v>0</v>
      </c>
      <c r="DD19" s="78">
        <f t="shared" si="62"/>
        <v>0</v>
      </c>
      <c r="DE19" s="78">
        <f t="shared" si="63"/>
        <v>1</v>
      </c>
      <c r="DF19" s="78">
        <f t="shared" si="64"/>
        <v>1</v>
      </c>
      <c r="DG19" s="78" t="str">
        <f t="shared" si="65"/>
        <v>1</v>
      </c>
      <c r="DH19" s="78" t="str">
        <f t="shared" si="66"/>
        <v>1</v>
      </c>
      <c r="DI19" s="79" t="str">
        <f>IFERROR(IF(J19="","",VLOOKUP(J19,Lists!$D$3:$E$13,2,FALSE)),1)</f>
        <v/>
      </c>
      <c r="DJ19" s="79" t="str">
        <f>IFERROR(IF(K19="","",VLOOKUP(K19,Lists!$F$3:$G$14,2,FALSE)),1)</f>
        <v/>
      </c>
      <c r="DK19" s="79">
        <f>IFERROR(IF(M19="","",VLOOKUP(M19,Lists!$AA$3:$AB$18,2,FALSE)),1)</f>
        <v>0</v>
      </c>
      <c r="DL19" s="79">
        <f>IFERROR(IF(N19="","",VLOOKUP(N19,Lists!$AC$3:$AD$13,2,FALSE)),1)</f>
        <v>0</v>
      </c>
    </row>
    <row r="20" spans="1:116" ht="15" customHeight="1" x14ac:dyDescent="0.25">
      <c r="A20" s="20">
        <v>423029</v>
      </c>
      <c r="B20" s="19">
        <v>45669</v>
      </c>
      <c r="C20" s="64">
        <v>0.58333333333333337</v>
      </c>
      <c r="D20" s="64" t="s">
        <v>1127</v>
      </c>
      <c r="E20" s="19">
        <v>45666</v>
      </c>
      <c r="F20" s="20">
        <v>2</v>
      </c>
      <c r="G20" s="18" t="s">
        <v>1108</v>
      </c>
      <c r="H20" s="65"/>
      <c r="I20" s="18" t="s">
        <v>1108</v>
      </c>
      <c r="J20" s="66"/>
      <c r="K20" s="66"/>
      <c r="L20" s="67"/>
      <c r="M20" s="68" t="s">
        <v>39</v>
      </c>
      <c r="N20" s="68" t="s">
        <v>420</v>
      </c>
      <c r="O20" s="69" t="s">
        <v>1199</v>
      </c>
      <c r="P20" s="134">
        <v>0.59236111111111112</v>
      </c>
      <c r="Q20" s="70"/>
      <c r="R20" s="134">
        <v>0.61458333333333337</v>
      </c>
      <c r="S20" s="70"/>
      <c r="T20" s="134">
        <v>0.64930555555555558</v>
      </c>
      <c r="U20" s="70"/>
      <c r="V20" s="134">
        <v>0.65972222222222221</v>
      </c>
      <c r="W20" s="70"/>
      <c r="X20" s="134">
        <v>0.66041666666666665</v>
      </c>
      <c r="Y20" s="70"/>
      <c r="Z20" s="134">
        <v>0.66666666666666663</v>
      </c>
      <c r="AA20" s="70" t="s">
        <v>1108</v>
      </c>
      <c r="AB20" s="19"/>
      <c r="AC20" s="20" t="s">
        <v>1108</v>
      </c>
      <c r="AD20" s="19"/>
      <c r="AE20" s="71">
        <f t="shared" si="25"/>
        <v>853</v>
      </c>
      <c r="AF20" s="71">
        <f t="shared" si="26"/>
        <v>950</v>
      </c>
      <c r="AG20" s="71">
        <f t="shared" si="27"/>
        <v>97</v>
      </c>
      <c r="AH20" s="71">
        <f t="shared" si="28"/>
        <v>97</v>
      </c>
      <c r="AI20" s="71" t="str">
        <f t="shared" si="29"/>
        <v/>
      </c>
      <c r="AJ20" s="71" t="str">
        <f t="shared" si="30"/>
        <v/>
      </c>
      <c r="AK20" s="71" t="str">
        <f t="shared" si="31"/>
        <v/>
      </c>
      <c r="AL20" s="71">
        <f t="shared" si="32"/>
        <v>97</v>
      </c>
      <c r="AM20" s="71">
        <f t="shared" si="33"/>
        <v>0</v>
      </c>
      <c r="AN20" s="72">
        <f t="shared" si="34"/>
        <v>3.125E-2</v>
      </c>
      <c r="AO20" s="73">
        <f t="shared" si="35"/>
        <v>3</v>
      </c>
      <c r="AP20" s="72" t="str">
        <f t="shared" si="36"/>
        <v>No</v>
      </c>
      <c r="AQ20" s="72">
        <f t="shared" si="37"/>
        <v>6.2499999999999778E-3</v>
      </c>
      <c r="AR20" s="72" t="str">
        <f t="shared" si="38"/>
        <v/>
      </c>
      <c r="AS20" s="72" t="str">
        <f t="shared" si="39"/>
        <v/>
      </c>
      <c r="AT20" s="72" t="str">
        <f t="shared" si="40"/>
        <v/>
      </c>
      <c r="AU20" s="3"/>
      <c r="AV20" s="20"/>
      <c r="AW20" s="20"/>
      <c r="AX20" s="3"/>
      <c r="AY20" s="20" t="s">
        <v>1152</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47"/>
        <v>0</v>
      </c>
      <c r="CO20" s="78">
        <f t="shared" si="48"/>
        <v>0</v>
      </c>
      <c r="CP20" s="78">
        <f t="shared" si="49"/>
        <v>0</v>
      </c>
      <c r="CQ20" s="78">
        <f t="shared" si="50"/>
        <v>0</v>
      </c>
      <c r="CR20" s="78">
        <f t="shared" si="51"/>
        <v>0</v>
      </c>
      <c r="CS20" s="78">
        <f t="shared" si="52"/>
        <v>0</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0</v>
      </c>
      <c r="DC20" s="78">
        <f t="shared" si="61"/>
        <v>0</v>
      </c>
      <c r="DD20" s="78">
        <f t="shared" si="62"/>
        <v>0</v>
      </c>
      <c r="DE20" s="78">
        <f t="shared" si="63"/>
        <v>1</v>
      </c>
      <c r="DF20" s="78">
        <f t="shared" si="64"/>
        <v>1</v>
      </c>
      <c r="DG20" s="78" t="str">
        <f t="shared" si="65"/>
        <v>1</v>
      </c>
      <c r="DH20" s="78" t="str">
        <f t="shared" si="66"/>
        <v>1</v>
      </c>
      <c r="DI20" s="79" t="str">
        <f>IFERROR(IF(J20="","",VLOOKUP(J20,Lists!$D$3:$E$13,2,FALSE)),1)</f>
        <v/>
      </c>
      <c r="DJ20" s="79" t="str">
        <f>IFERROR(IF(K20="","",VLOOKUP(K20,Lists!$F$3:$G$14,2,FALSE)),1)</f>
        <v/>
      </c>
      <c r="DK20" s="79">
        <f>IFERROR(IF(M20="","",VLOOKUP(M20,Lists!$AA$3:$AB$18,2,FALSE)),1)</f>
        <v>0</v>
      </c>
      <c r="DL20" s="79">
        <f>IFERROR(IF(N20="","",VLOOKUP(N20,Lists!$AC$3:$AD$13,2,FALSE)),1)</f>
        <v>0</v>
      </c>
    </row>
    <row r="21" spans="1:116" ht="15" customHeight="1" x14ac:dyDescent="0.25">
      <c r="A21" s="20">
        <v>422594</v>
      </c>
      <c r="B21" s="19">
        <v>45669</v>
      </c>
      <c r="C21" s="64">
        <v>0.33333333333333331</v>
      </c>
      <c r="D21" s="64" t="s">
        <v>1115</v>
      </c>
      <c r="E21" s="19">
        <v>45669</v>
      </c>
      <c r="F21" s="20">
        <v>13</v>
      </c>
      <c r="G21" s="18" t="s">
        <v>1108</v>
      </c>
      <c r="H21" s="65"/>
      <c r="I21" s="18" t="s">
        <v>1121</v>
      </c>
      <c r="J21" s="66" t="s">
        <v>39</v>
      </c>
      <c r="K21" s="66" t="s">
        <v>420</v>
      </c>
      <c r="L21" s="67" t="s">
        <v>1116</v>
      </c>
      <c r="M21" s="68"/>
      <c r="N21" s="68"/>
      <c r="O21" s="69"/>
      <c r="P21" s="134">
        <v>0.32847222222222222</v>
      </c>
      <c r="Q21" s="70"/>
      <c r="R21" s="134">
        <v>0.35347222222222219</v>
      </c>
      <c r="S21" s="70"/>
      <c r="T21" s="134">
        <v>0.3972222222222222</v>
      </c>
      <c r="U21" s="70"/>
      <c r="V21" s="134">
        <v>0.40763888888888888</v>
      </c>
      <c r="W21" s="70"/>
      <c r="X21" s="134">
        <v>0.40833333333333338</v>
      </c>
      <c r="Y21" s="70"/>
      <c r="Z21" s="134">
        <v>0.41319444444444442</v>
      </c>
      <c r="AA21" s="70" t="s">
        <v>1121</v>
      </c>
      <c r="AB21" s="19">
        <v>45669</v>
      </c>
      <c r="AC21" s="20" t="s">
        <v>1108</v>
      </c>
      <c r="AD21" s="19"/>
      <c r="AE21" s="71">
        <f t="shared" si="25"/>
        <v>473</v>
      </c>
      <c r="AF21" s="71">
        <f t="shared" si="26"/>
        <v>587</v>
      </c>
      <c r="AG21" s="71">
        <f t="shared" si="27"/>
        <v>114</v>
      </c>
      <c r="AH21" s="71">
        <f t="shared" si="28"/>
        <v>0</v>
      </c>
      <c r="AI21" s="71">
        <f t="shared" si="29"/>
        <v>107</v>
      </c>
      <c r="AJ21" s="71" t="str">
        <f t="shared" si="30"/>
        <v/>
      </c>
      <c r="AK21" s="71" t="str">
        <f t="shared" si="31"/>
        <v/>
      </c>
      <c r="AL21" s="71">
        <f t="shared" si="32"/>
        <v>107</v>
      </c>
      <c r="AM21" s="71">
        <f t="shared" si="33"/>
        <v>7</v>
      </c>
      <c r="AN21" s="72">
        <f t="shared" si="34"/>
        <v>2.0138888888888873E-2</v>
      </c>
      <c r="AO21" s="73">
        <f t="shared" si="35"/>
        <v>0</v>
      </c>
      <c r="AP21" s="72" t="str">
        <f t="shared" si="36"/>
        <v>No</v>
      </c>
      <c r="AQ21" s="72">
        <f t="shared" si="37"/>
        <v>4.8611111111110383E-3</v>
      </c>
      <c r="AR21" s="72" t="str">
        <f t="shared" si="38"/>
        <v>Yes</v>
      </c>
      <c r="AS21" s="72" t="str">
        <f t="shared" si="39"/>
        <v>No</v>
      </c>
      <c r="AT21" s="72" t="str">
        <f t="shared" si="40"/>
        <v>No</v>
      </c>
      <c r="AU21" s="3"/>
      <c r="AV21" s="20"/>
      <c r="AW21" s="20"/>
      <c r="AX21" s="3"/>
      <c r="AY21" s="20" t="s">
        <v>1128</v>
      </c>
      <c r="AZ21" s="46"/>
      <c r="BA21" s="20"/>
      <c r="BB21" s="46"/>
      <c r="BC21" s="20"/>
      <c r="BD21" s="20"/>
      <c r="BE21" s="20"/>
      <c r="BF21" s="47" t="str">
        <f t="shared" si="41"/>
        <v/>
      </c>
      <c r="BG21" s="3"/>
      <c r="BH21" s="57" t="s">
        <v>424</v>
      </c>
      <c r="BI21" s="57" t="s">
        <v>416</v>
      </c>
      <c r="BJ21" s="45">
        <f>COUNTA($I$2:$I$1288)</f>
        <v>134</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47"/>
        <v>0</v>
      </c>
      <c r="CO21" s="78">
        <f t="shared" si="48"/>
        <v>0</v>
      </c>
      <c r="CP21" s="78">
        <f t="shared" si="49"/>
        <v>0</v>
      </c>
      <c r="CQ21" s="78">
        <f t="shared" si="50"/>
        <v>0</v>
      </c>
      <c r="CR21" s="78">
        <f t="shared" si="51"/>
        <v>0</v>
      </c>
      <c r="CS21" s="78">
        <f t="shared" si="52"/>
        <v>0</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0</v>
      </c>
      <c r="DC21" s="78">
        <f t="shared" si="61"/>
        <v>0</v>
      </c>
      <c r="DD21" s="78">
        <f t="shared" si="62"/>
        <v>0</v>
      </c>
      <c r="DE21" s="78">
        <f t="shared" si="63"/>
        <v>1</v>
      </c>
      <c r="DF21" s="78">
        <f t="shared" si="64"/>
        <v>1</v>
      </c>
      <c r="DG21" s="78">
        <f t="shared" si="65"/>
        <v>1</v>
      </c>
      <c r="DH21" s="78" t="str">
        <f t="shared" si="66"/>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25">
      <c r="A22" s="20">
        <v>401593</v>
      </c>
      <c r="B22" s="19">
        <v>45669</v>
      </c>
      <c r="C22" s="64">
        <v>0.41666666666666669</v>
      </c>
      <c r="D22" s="64" t="s">
        <v>1115</v>
      </c>
      <c r="E22" s="19">
        <v>45669</v>
      </c>
      <c r="F22" s="20">
        <v>13</v>
      </c>
      <c r="G22" s="18" t="s">
        <v>1108</v>
      </c>
      <c r="H22" s="65"/>
      <c r="I22" s="18" t="s">
        <v>1121</v>
      </c>
      <c r="J22" s="66" t="s">
        <v>39</v>
      </c>
      <c r="K22" s="66" t="s">
        <v>420</v>
      </c>
      <c r="L22" s="67" t="s">
        <v>1200</v>
      </c>
      <c r="M22" s="68"/>
      <c r="N22" s="68"/>
      <c r="O22" s="69"/>
      <c r="P22" s="134">
        <v>0.4236111111111111</v>
      </c>
      <c r="Q22" s="70"/>
      <c r="R22" s="134">
        <v>0.44097222222222227</v>
      </c>
      <c r="S22" s="70"/>
      <c r="T22" s="134">
        <v>0.4861111111111111</v>
      </c>
      <c r="U22" s="70"/>
      <c r="V22" s="134">
        <v>0.49652777777777773</v>
      </c>
      <c r="W22" s="70"/>
      <c r="X22" s="134">
        <v>0.49722222222222223</v>
      </c>
      <c r="Y22" s="70"/>
      <c r="Z22" s="134">
        <v>0.50694444444444442</v>
      </c>
      <c r="AA22" s="70" t="s">
        <v>1121</v>
      </c>
      <c r="AB22" s="19">
        <v>45669</v>
      </c>
      <c r="AC22" s="20" t="s">
        <v>1108</v>
      </c>
      <c r="AD22" s="19"/>
      <c r="AE22" s="71">
        <f t="shared" si="25"/>
        <v>610</v>
      </c>
      <c r="AF22" s="71">
        <f t="shared" si="26"/>
        <v>715</v>
      </c>
      <c r="AG22" s="71">
        <f t="shared" si="27"/>
        <v>105</v>
      </c>
      <c r="AH22" s="71">
        <f t="shared" si="28"/>
        <v>105</v>
      </c>
      <c r="AI22" s="71" t="str">
        <f t="shared" si="29"/>
        <v/>
      </c>
      <c r="AJ22" s="71" t="str">
        <f t="shared" si="30"/>
        <v/>
      </c>
      <c r="AK22" s="71" t="str">
        <f t="shared" si="31"/>
        <v/>
      </c>
      <c r="AL22" s="71">
        <f t="shared" si="32"/>
        <v>105</v>
      </c>
      <c r="AM22" s="71">
        <f t="shared" si="33"/>
        <v>0</v>
      </c>
      <c r="AN22" s="72">
        <f t="shared" si="34"/>
        <v>2.430555555555558E-2</v>
      </c>
      <c r="AO22" s="73">
        <f t="shared" si="35"/>
        <v>0</v>
      </c>
      <c r="AP22" s="72" t="str">
        <f t="shared" si="36"/>
        <v>No</v>
      </c>
      <c r="AQ22" s="72">
        <f t="shared" si="37"/>
        <v>9.7222222222221877E-3</v>
      </c>
      <c r="AR22" s="72" t="str">
        <f t="shared" si="38"/>
        <v>Yes</v>
      </c>
      <c r="AS22" s="72" t="str">
        <f t="shared" si="39"/>
        <v>No</v>
      </c>
      <c r="AT22" s="72" t="str">
        <f t="shared" si="40"/>
        <v>No</v>
      </c>
      <c r="AU22" s="3"/>
      <c r="AV22" s="20"/>
      <c r="AW22" s="20"/>
      <c r="AX22" s="3"/>
      <c r="AY22" s="20" t="s">
        <v>1115</v>
      </c>
      <c r="AZ22" s="46"/>
      <c r="BA22" s="20"/>
      <c r="BB22" s="46"/>
      <c r="BC22" s="20"/>
      <c r="BD22" s="20"/>
      <c r="BE22" s="20"/>
      <c r="BF22" s="47" t="str">
        <f t="shared" si="41"/>
        <v/>
      </c>
      <c r="BG22" s="3"/>
      <c r="BH22" s="57" t="s">
        <v>425</v>
      </c>
      <c r="BI22" s="57" t="s">
        <v>416</v>
      </c>
      <c r="BJ22" s="45">
        <f>COUNTIF($I$2:$I$1288,"Yes")</f>
        <v>70</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47"/>
        <v>0</v>
      </c>
      <c r="CO22" s="78">
        <f t="shared" si="48"/>
        <v>0</v>
      </c>
      <c r="CP22" s="78">
        <f t="shared" si="49"/>
        <v>0</v>
      </c>
      <c r="CQ22" s="78">
        <f t="shared" si="50"/>
        <v>0</v>
      </c>
      <c r="CR22" s="78">
        <f t="shared" si="51"/>
        <v>0</v>
      </c>
      <c r="CS22" s="78">
        <f t="shared" si="52"/>
        <v>0</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0</v>
      </c>
      <c r="DC22" s="78">
        <f t="shared" si="61"/>
        <v>0</v>
      </c>
      <c r="DD22" s="78">
        <f t="shared" si="62"/>
        <v>0</v>
      </c>
      <c r="DE22" s="78">
        <f t="shared" si="63"/>
        <v>1</v>
      </c>
      <c r="DF22" s="78">
        <f t="shared" si="64"/>
        <v>1</v>
      </c>
      <c r="DG22" s="78">
        <f t="shared" si="65"/>
        <v>1</v>
      </c>
      <c r="DH22" s="78" t="str">
        <f t="shared" si="66"/>
        <v>1</v>
      </c>
      <c r="DI22" s="79">
        <f>IFERROR(IF(J22="","",VLOOKUP(J22,Lists!$D$3:$E$13,2,FALSE)),1)</f>
        <v>0</v>
      </c>
      <c r="DJ22" s="79">
        <f>IFERROR(IF(K22="","",VLOOKUP(K22,Lists!$F$3:$G$14,2,FALSE)),1)</f>
        <v>0</v>
      </c>
      <c r="DK22" s="79" t="str">
        <f>IFERROR(IF(M22="","",VLOOKUP(M22,Lists!$AA$3:$AB$18,2,FALSE)),1)</f>
        <v/>
      </c>
      <c r="DL22" s="79" t="str">
        <f>IFERROR(IF(N22="","",VLOOKUP(N22,Lists!$AC$3:$AD$13,2,FALSE)),1)</f>
        <v/>
      </c>
    </row>
    <row r="23" spans="1:116" ht="15" customHeight="1" x14ac:dyDescent="0.25">
      <c r="A23" s="20">
        <v>381832</v>
      </c>
      <c r="B23" s="19">
        <v>45669</v>
      </c>
      <c r="C23" s="64">
        <v>0.52083333333333337</v>
      </c>
      <c r="D23" s="64" t="s">
        <v>1127</v>
      </c>
      <c r="E23" s="19">
        <v>45669</v>
      </c>
      <c r="F23" s="20">
        <v>13</v>
      </c>
      <c r="G23" s="18" t="s">
        <v>1108</v>
      </c>
      <c r="H23" s="65"/>
      <c r="I23" s="18" t="s">
        <v>1121</v>
      </c>
      <c r="J23" s="66" t="s">
        <v>39</v>
      </c>
      <c r="K23" s="66" t="s">
        <v>420</v>
      </c>
      <c r="L23" s="67" t="s">
        <v>1116</v>
      </c>
      <c r="M23" s="68"/>
      <c r="N23" s="68"/>
      <c r="O23" s="69"/>
      <c r="P23" s="134">
        <v>0.52083333333333337</v>
      </c>
      <c r="Q23" s="70"/>
      <c r="R23" s="134">
        <v>0.54166666666666663</v>
      </c>
      <c r="S23" s="70"/>
      <c r="T23" s="134">
        <v>0.625</v>
      </c>
      <c r="U23" s="70"/>
      <c r="V23" s="134">
        <v>0.64583333333333337</v>
      </c>
      <c r="W23" s="70"/>
      <c r="X23" s="134">
        <v>0.64652777777777781</v>
      </c>
      <c r="Y23" s="70"/>
      <c r="Z23" s="134">
        <v>0.65277777777777779</v>
      </c>
      <c r="AA23" s="70" t="s">
        <v>1121</v>
      </c>
      <c r="AB23" s="19">
        <v>45669</v>
      </c>
      <c r="AC23" s="20" t="s">
        <v>1108</v>
      </c>
      <c r="AD23" s="19"/>
      <c r="AE23" s="71">
        <f t="shared" si="25"/>
        <v>750</v>
      </c>
      <c r="AF23" s="71">
        <f t="shared" si="26"/>
        <v>930</v>
      </c>
      <c r="AG23" s="71">
        <f t="shared" si="27"/>
        <v>180</v>
      </c>
      <c r="AH23" s="71">
        <f t="shared" si="28"/>
        <v>180</v>
      </c>
      <c r="AI23" s="71" t="str">
        <f t="shared" si="29"/>
        <v/>
      </c>
      <c r="AJ23" s="71" t="str">
        <f t="shared" si="30"/>
        <v/>
      </c>
      <c r="AK23" s="71" t="str">
        <f t="shared" si="31"/>
        <v/>
      </c>
      <c r="AL23" s="71">
        <f t="shared" si="32"/>
        <v>180</v>
      </c>
      <c r="AM23" s="71">
        <f t="shared" si="33"/>
        <v>0</v>
      </c>
      <c r="AN23" s="72">
        <f t="shared" si="34"/>
        <v>2.0833333333333259E-2</v>
      </c>
      <c r="AO23" s="73">
        <f t="shared" si="35"/>
        <v>0</v>
      </c>
      <c r="AP23" s="72" t="str">
        <f t="shared" si="36"/>
        <v>No</v>
      </c>
      <c r="AQ23" s="72">
        <f t="shared" si="37"/>
        <v>6.2499999999999778E-3</v>
      </c>
      <c r="AR23" s="72" t="str">
        <f t="shared" si="38"/>
        <v>Yes</v>
      </c>
      <c r="AS23" s="72" t="str">
        <f t="shared" si="39"/>
        <v>No</v>
      </c>
      <c r="AT23" s="72" t="str">
        <f t="shared" si="40"/>
        <v>No</v>
      </c>
      <c r="AU23" s="3"/>
      <c r="AV23" s="20"/>
      <c r="AW23" s="20"/>
      <c r="AX23" s="3"/>
      <c r="AY23" s="20" t="s">
        <v>1113</v>
      </c>
      <c r="AZ23" s="46"/>
      <c r="BA23" s="20"/>
      <c r="BB23" s="46"/>
      <c r="BC23" s="20"/>
      <c r="BD23" s="20"/>
      <c r="BE23" s="20"/>
      <c r="BF23" s="47" t="str">
        <f t="shared" si="41"/>
        <v/>
      </c>
      <c r="BG23" s="3"/>
      <c r="BH23" s="57" t="s">
        <v>426</v>
      </c>
      <c r="BI23" s="57" t="s">
        <v>416</v>
      </c>
      <c r="BJ23" s="45">
        <f>COUNTIF($I$2:$I$1288,"No")</f>
        <v>64</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47"/>
        <v>0</v>
      </c>
      <c r="CO23" s="78">
        <f t="shared" si="48"/>
        <v>0</v>
      </c>
      <c r="CP23" s="78">
        <f t="shared" si="49"/>
        <v>0</v>
      </c>
      <c r="CQ23" s="78">
        <f t="shared" si="50"/>
        <v>0</v>
      </c>
      <c r="CR23" s="78">
        <f t="shared" si="51"/>
        <v>0</v>
      </c>
      <c r="CS23" s="78">
        <f t="shared" si="52"/>
        <v>0</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0</v>
      </c>
      <c r="DC23" s="78">
        <f t="shared" si="61"/>
        <v>0</v>
      </c>
      <c r="DD23" s="78">
        <f t="shared" si="62"/>
        <v>0</v>
      </c>
      <c r="DE23" s="78">
        <f t="shared" si="63"/>
        <v>1</v>
      </c>
      <c r="DF23" s="78">
        <f t="shared" si="64"/>
        <v>1</v>
      </c>
      <c r="DG23" s="78">
        <f t="shared" si="65"/>
        <v>1</v>
      </c>
      <c r="DH23" s="78" t="str">
        <f t="shared" si="66"/>
        <v>1</v>
      </c>
      <c r="DI23" s="79">
        <f>IFERROR(IF(J23="","",VLOOKUP(J23,Lists!$D$3:$E$13,2,FALSE)),1)</f>
        <v>0</v>
      </c>
      <c r="DJ23" s="79">
        <f>IFERROR(IF(K23="","",VLOOKUP(K23,Lists!$F$3:$G$14,2,FALSE)),1)</f>
        <v>0</v>
      </c>
      <c r="DK23" s="79" t="str">
        <f>IFERROR(IF(M23="","",VLOOKUP(M23,Lists!$AA$3:$AB$18,2,FALSE)),1)</f>
        <v/>
      </c>
      <c r="DL23" s="79" t="str">
        <f>IFERROR(IF(N23="","",VLOOKUP(N23,Lists!$AC$3:$AD$13,2,FALSE)),1)</f>
        <v/>
      </c>
    </row>
    <row r="24" spans="1:116" ht="15" customHeight="1" x14ac:dyDescent="0.25">
      <c r="A24" s="20">
        <v>415489</v>
      </c>
      <c r="B24" s="19">
        <v>45670</v>
      </c>
      <c r="C24" s="64">
        <v>0.33333333333333331</v>
      </c>
      <c r="D24" s="64" t="s">
        <v>1119</v>
      </c>
      <c r="E24" s="19">
        <v>45670</v>
      </c>
      <c r="F24" s="20">
        <v>3</v>
      </c>
      <c r="G24" s="18" t="s">
        <v>1108</v>
      </c>
      <c r="H24" s="65"/>
      <c r="I24" s="18" t="s">
        <v>1121</v>
      </c>
      <c r="J24" s="66" t="s">
        <v>42</v>
      </c>
      <c r="K24" s="66" t="s">
        <v>420</v>
      </c>
      <c r="L24" s="67" t="s">
        <v>1202</v>
      </c>
      <c r="M24" s="68"/>
      <c r="N24" s="68"/>
      <c r="O24" s="69"/>
      <c r="P24" s="134">
        <v>0.3263888888888889</v>
      </c>
      <c r="Q24" s="70"/>
      <c r="R24" s="134">
        <v>0.35000000000000003</v>
      </c>
      <c r="S24" s="70"/>
      <c r="T24" s="134">
        <v>0.37152777777777773</v>
      </c>
      <c r="U24" s="70"/>
      <c r="V24" s="134">
        <v>0.38194444444444442</v>
      </c>
      <c r="W24" s="70"/>
      <c r="X24" s="134">
        <v>0.38263888888888892</v>
      </c>
      <c r="Y24" s="70"/>
      <c r="Z24" s="134">
        <v>0.3888888888888889</v>
      </c>
      <c r="AA24" s="70" t="s">
        <v>1121</v>
      </c>
      <c r="AB24" s="19">
        <v>45670</v>
      </c>
      <c r="AC24" s="20" t="s">
        <v>1108</v>
      </c>
      <c r="AD24" s="19"/>
      <c r="AE24" s="71">
        <f t="shared" si="25"/>
        <v>470</v>
      </c>
      <c r="AF24" s="71">
        <f t="shared" si="26"/>
        <v>550</v>
      </c>
      <c r="AG24" s="71">
        <f t="shared" si="27"/>
        <v>80</v>
      </c>
      <c r="AH24" s="71">
        <f t="shared" si="28"/>
        <v>0</v>
      </c>
      <c r="AI24" s="71">
        <f t="shared" si="29"/>
        <v>70</v>
      </c>
      <c r="AJ24" s="71" t="str">
        <f t="shared" si="30"/>
        <v/>
      </c>
      <c r="AK24" s="71" t="str">
        <f t="shared" si="31"/>
        <v/>
      </c>
      <c r="AL24" s="71">
        <f t="shared" si="32"/>
        <v>70</v>
      </c>
      <c r="AM24" s="71">
        <f t="shared" si="33"/>
        <v>10</v>
      </c>
      <c r="AN24" s="72">
        <f t="shared" si="34"/>
        <v>1.6666666666666718E-2</v>
      </c>
      <c r="AO24" s="73">
        <f t="shared" si="35"/>
        <v>0</v>
      </c>
      <c r="AP24" s="72" t="str">
        <f t="shared" si="36"/>
        <v>No</v>
      </c>
      <c r="AQ24" s="72">
        <f t="shared" si="37"/>
        <v>6.2499999999999778E-3</v>
      </c>
      <c r="AR24" s="72" t="str">
        <f t="shared" si="38"/>
        <v>Yes</v>
      </c>
      <c r="AS24" s="72" t="str">
        <f t="shared" si="39"/>
        <v>No</v>
      </c>
      <c r="AT24" s="72" t="str">
        <f t="shared" si="40"/>
        <v>No</v>
      </c>
      <c r="AU24" s="3"/>
      <c r="AV24" s="20"/>
      <c r="AW24" s="20"/>
      <c r="AX24" s="3"/>
      <c r="AY24" s="20" t="s">
        <v>1137</v>
      </c>
      <c r="AZ24" s="46"/>
      <c r="BA24" s="20"/>
      <c r="BB24" s="46"/>
      <c r="BC24" s="20"/>
      <c r="BD24" s="20"/>
      <c r="BE24" s="20"/>
      <c r="BF24" s="47" t="str">
        <f t="shared" si="41"/>
        <v/>
      </c>
      <c r="BG24" s="3"/>
      <c r="BH24" s="57" t="s">
        <v>318</v>
      </c>
      <c r="BI24" s="57" t="s">
        <v>416</v>
      </c>
      <c r="BJ24" s="45">
        <f>COUNTA($J$2:$J$1288)</f>
        <v>70</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47"/>
        <v>0</v>
      </c>
      <c r="CO24" s="78">
        <f t="shared" si="48"/>
        <v>0</v>
      </c>
      <c r="CP24" s="78">
        <f t="shared" si="49"/>
        <v>0</v>
      </c>
      <c r="CQ24" s="78">
        <f t="shared" si="50"/>
        <v>0</v>
      </c>
      <c r="CR24" s="78">
        <f t="shared" si="51"/>
        <v>0</v>
      </c>
      <c r="CS24" s="78">
        <f t="shared" si="52"/>
        <v>0</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0</v>
      </c>
      <c r="DB24" s="78">
        <f t="shared" si="60"/>
        <v>0</v>
      </c>
      <c r="DC24" s="78">
        <f t="shared" si="61"/>
        <v>0</v>
      </c>
      <c r="DD24" s="78">
        <f t="shared" si="62"/>
        <v>0</v>
      </c>
      <c r="DE24" s="78">
        <f t="shared" si="63"/>
        <v>1</v>
      </c>
      <c r="DF24" s="78">
        <f t="shared" si="64"/>
        <v>1</v>
      </c>
      <c r="DG24" s="78">
        <f t="shared" si="65"/>
        <v>1</v>
      </c>
      <c r="DH24" s="78" t="str">
        <f t="shared" si="66"/>
        <v>1</v>
      </c>
      <c r="DI24" s="79">
        <f>IFERROR(IF(J24="","",VLOOKUP(J24,Lists!$D$3:$E$13,2,FALSE)),1)</f>
        <v>0</v>
      </c>
      <c r="DJ24" s="79">
        <f>IFERROR(IF(K24="","",VLOOKUP(K24,Lists!$F$3:$G$14,2,FALSE)),1)</f>
        <v>0</v>
      </c>
      <c r="DK24" s="79" t="str">
        <f>IFERROR(IF(M24="","",VLOOKUP(M24,Lists!$AA$3:$AB$18,2,FALSE)),1)</f>
        <v/>
      </c>
      <c r="DL24" s="79" t="str">
        <f>IFERROR(IF(N24="","",VLOOKUP(N24,Lists!$AC$3:$AD$13,2,FALSE)),1)</f>
        <v/>
      </c>
    </row>
    <row r="25" spans="1:116" ht="15" customHeight="1" x14ac:dyDescent="0.25">
      <c r="A25" s="20">
        <v>392730</v>
      </c>
      <c r="B25" s="19">
        <v>45670</v>
      </c>
      <c r="C25" s="64">
        <v>0.41666666666666669</v>
      </c>
      <c r="D25" s="64" t="s">
        <v>1119</v>
      </c>
      <c r="E25" s="19">
        <v>45670</v>
      </c>
      <c r="F25" s="20">
        <v>3</v>
      </c>
      <c r="G25" s="18" t="s">
        <v>1108</v>
      </c>
      <c r="H25" s="65"/>
      <c r="I25" s="18" t="s">
        <v>1121</v>
      </c>
      <c r="J25" s="66" t="s">
        <v>42</v>
      </c>
      <c r="K25" s="66" t="s">
        <v>420</v>
      </c>
      <c r="L25" s="67" t="s">
        <v>1145</v>
      </c>
      <c r="M25" s="68"/>
      <c r="N25" s="68"/>
      <c r="O25" s="69"/>
      <c r="P25" s="134">
        <v>0.40972222222222227</v>
      </c>
      <c r="Q25" s="70"/>
      <c r="R25" s="134">
        <v>0.41666666666666669</v>
      </c>
      <c r="S25" s="70"/>
      <c r="T25" s="134">
        <v>0.4375</v>
      </c>
      <c r="U25" s="70"/>
      <c r="V25" s="134">
        <v>0.4513888888888889</v>
      </c>
      <c r="W25" s="70"/>
      <c r="X25" s="134">
        <v>0.45208333333333334</v>
      </c>
      <c r="Y25" s="70"/>
      <c r="Z25" s="134">
        <v>0.45833333333333331</v>
      </c>
      <c r="AA25" s="70" t="s">
        <v>1121</v>
      </c>
      <c r="AB25" s="19">
        <v>45670</v>
      </c>
      <c r="AC25" s="20" t="s">
        <v>1108</v>
      </c>
      <c r="AD25" s="19"/>
      <c r="AE25" s="71">
        <f t="shared" si="25"/>
        <v>590</v>
      </c>
      <c r="AF25" s="71">
        <f t="shared" si="26"/>
        <v>650</v>
      </c>
      <c r="AG25" s="71">
        <f t="shared" si="27"/>
        <v>60</v>
      </c>
      <c r="AH25" s="71">
        <f t="shared" si="28"/>
        <v>60</v>
      </c>
      <c r="AI25" s="71" t="str">
        <f t="shared" si="29"/>
        <v/>
      </c>
      <c r="AJ25" s="71" t="str">
        <f t="shared" si="30"/>
        <v/>
      </c>
      <c r="AK25" s="71" t="str">
        <f t="shared" si="31"/>
        <v/>
      </c>
      <c r="AL25" s="71">
        <f t="shared" si="32"/>
        <v>60</v>
      </c>
      <c r="AM25" s="71">
        <f t="shared" si="33"/>
        <v>0</v>
      </c>
      <c r="AN25" s="72">
        <f t="shared" si="34"/>
        <v>0</v>
      </c>
      <c r="AO25" s="73">
        <f t="shared" si="35"/>
        <v>0</v>
      </c>
      <c r="AP25" s="72" t="str">
        <f t="shared" si="36"/>
        <v>Yes</v>
      </c>
      <c r="AQ25" s="72">
        <f t="shared" si="37"/>
        <v>6.2499999999999778E-3</v>
      </c>
      <c r="AR25" s="72" t="str">
        <f t="shared" si="38"/>
        <v>Yes</v>
      </c>
      <c r="AS25" s="72" t="str">
        <f t="shared" si="39"/>
        <v>No</v>
      </c>
      <c r="AT25" s="72" t="str">
        <f t="shared" si="40"/>
        <v>No</v>
      </c>
      <c r="AU25" s="3"/>
      <c r="AV25" s="20"/>
      <c r="AW25" s="20"/>
      <c r="AX25" s="3"/>
      <c r="AY25" s="20" t="s">
        <v>1130</v>
      </c>
      <c r="AZ25" s="46"/>
      <c r="BA25" s="20"/>
      <c r="BB25" s="46"/>
      <c r="BC25" s="20"/>
      <c r="BD25" s="20"/>
      <c r="BE25" s="20"/>
      <c r="BF25" s="47" t="str">
        <f t="shared" si="41"/>
        <v/>
      </c>
      <c r="BG25" s="3"/>
      <c r="BH25" s="57" t="s">
        <v>319</v>
      </c>
      <c r="BI25" s="57" t="s">
        <v>416</v>
      </c>
      <c r="BJ25" s="45">
        <f>COUNTA($K$2:$K$1288)</f>
        <v>70</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47"/>
        <v>0</v>
      </c>
      <c r="CO25" s="78">
        <f t="shared" si="48"/>
        <v>0</v>
      </c>
      <c r="CP25" s="78">
        <f t="shared" si="49"/>
        <v>0</v>
      </c>
      <c r="CQ25" s="78">
        <f t="shared" si="50"/>
        <v>0</v>
      </c>
      <c r="CR25" s="78">
        <f t="shared" si="51"/>
        <v>0</v>
      </c>
      <c r="CS25" s="78">
        <f t="shared" si="52"/>
        <v>0</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0</v>
      </c>
      <c r="DB25" s="78">
        <f t="shared" si="60"/>
        <v>0</v>
      </c>
      <c r="DC25" s="78">
        <f t="shared" si="61"/>
        <v>0</v>
      </c>
      <c r="DD25" s="78">
        <f t="shared" si="62"/>
        <v>0</v>
      </c>
      <c r="DE25" s="78">
        <f t="shared" si="63"/>
        <v>1</v>
      </c>
      <c r="DF25" s="78">
        <f t="shared" si="64"/>
        <v>1</v>
      </c>
      <c r="DG25" s="78">
        <f t="shared" si="65"/>
        <v>1</v>
      </c>
      <c r="DH25" s="78" t="str">
        <f t="shared" si="66"/>
        <v>1</v>
      </c>
      <c r="DI25" s="79">
        <f>IFERROR(IF(J25="","",VLOOKUP(J25,Lists!$D$3:$E$13,2,FALSE)),1)</f>
        <v>0</v>
      </c>
      <c r="DJ25" s="79">
        <f>IFERROR(IF(K25="","",VLOOKUP(K25,Lists!$F$3:$G$14,2,FALSE)),1)</f>
        <v>0</v>
      </c>
      <c r="DK25" s="79" t="str">
        <f>IFERROR(IF(M25="","",VLOOKUP(M25,Lists!$AA$3:$AB$18,2,FALSE)),1)</f>
        <v/>
      </c>
      <c r="DL25" s="79" t="str">
        <f>IFERROR(IF(N25="","",VLOOKUP(N25,Lists!$AC$3:$AD$13,2,FALSE)),1)</f>
        <v/>
      </c>
    </row>
    <row r="26" spans="1:116" ht="15" customHeight="1" x14ac:dyDescent="0.25">
      <c r="A26" s="20">
        <v>80989</v>
      </c>
      <c r="B26" s="19">
        <v>45670</v>
      </c>
      <c r="C26" s="64">
        <v>0.47916666666666669</v>
      </c>
      <c r="D26" s="64" t="s">
        <v>1119</v>
      </c>
      <c r="E26" s="19">
        <v>45670</v>
      </c>
      <c r="F26" s="20">
        <v>3</v>
      </c>
      <c r="G26" s="18" t="s">
        <v>1108</v>
      </c>
      <c r="H26" s="65"/>
      <c r="I26" s="18" t="s">
        <v>1121</v>
      </c>
      <c r="J26" s="66" t="s">
        <v>42</v>
      </c>
      <c r="K26" s="66" t="s">
        <v>420</v>
      </c>
      <c r="L26" s="67" t="s">
        <v>1203</v>
      </c>
      <c r="M26" s="68"/>
      <c r="N26" s="68"/>
      <c r="O26" s="69"/>
      <c r="P26" s="134">
        <v>0.47222222222222227</v>
      </c>
      <c r="Q26" s="70"/>
      <c r="R26" s="134">
        <v>0.48958333333333331</v>
      </c>
      <c r="S26" s="70"/>
      <c r="T26" s="134">
        <v>0.50694444444444442</v>
      </c>
      <c r="U26" s="70"/>
      <c r="V26" s="134">
        <v>0.52083333333333337</v>
      </c>
      <c r="W26" s="70"/>
      <c r="X26" s="134">
        <v>0.52152777777777781</v>
      </c>
      <c r="Y26" s="70"/>
      <c r="Z26" s="134">
        <v>0.52777777777777779</v>
      </c>
      <c r="AA26" s="70" t="s">
        <v>1121</v>
      </c>
      <c r="AB26" s="19">
        <v>45670</v>
      </c>
      <c r="AC26" s="20" t="s">
        <v>1108</v>
      </c>
      <c r="AD26" s="19"/>
      <c r="AE26" s="71">
        <f t="shared" si="25"/>
        <v>680</v>
      </c>
      <c r="AF26" s="71">
        <f t="shared" si="26"/>
        <v>750</v>
      </c>
      <c r="AG26" s="71">
        <f t="shared" si="27"/>
        <v>70</v>
      </c>
      <c r="AH26" s="71">
        <f t="shared" si="28"/>
        <v>70</v>
      </c>
      <c r="AI26" s="71" t="str">
        <f t="shared" si="29"/>
        <v/>
      </c>
      <c r="AJ26" s="71" t="str">
        <f t="shared" si="30"/>
        <v/>
      </c>
      <c r="AK26" s="71" t="str">
        <f t="shared" si="31"/>
        <v/>
      </c>
      <c r="AL26" s="71">
        <f t="shared" si="32"/>
        <v>70</v>
      </c>
      <c r="AM26" s="71">
        <f t="shared" si="33"/>
        <v>0</v>
      </c>
      <c r="AN26" s="72">
        <f t="shared" si="34"/>
        <v>1.041666666666663E-2</v>
      </c>
      <c r="AO26" s="73">
        <f t="shared" si="35"/>
        <v>0</v>
      </c>
      <c r="AP26" s="72" t="str">
        <f t="shared" si="36"/>
        <v>Yes</v>
      </c>
      <c r="AQ26" s="72">
        <f t="shared" si="37"/>
        <v>6.2499999999999778E-3</v>
      </c>
      <c r="AR26" s="72" t="str">
        <f t="shared" si="38"/>
        <v>Yes</v>
      </c>
      <c r="AS26" s="72" t="str">
        <f t="shared" si="39"/>
        <v>No</v>
      </c>
      <c r="AT26" s="72" t="str">
        <f t="shared" si="40"/>
        <v>No</v>
      </c>
      <c r="AU26" s="3"/>
      <c r="AV26" s="20"/>
      <c r="AW26" s="20"/>
      <c r="AX26" s="3"/>
      <c r="AY26" s="20" t="s">
        <v>1153</v>
      </c>
      <c r="AZ26" s="46"/>
      <c r="BA26" s="20"/>
      <c r="BB26" s="46"/>
      <c r="BC26" s="20"/>
      <c r="BD26" s="20"/>
      <c r="BE26" s="20"/>
      <c r="BF26" s="47" t="str">
        <f t="shared" si="41"/>
        <v/>
      </c>
      <c r="BG26" s="3"/>
      <c r="BH26" s="57" t="s">
        <v>427</v>
      </c>
      <c r="BI26" s="57" t="s">
        <v>416</v>
      </c>
      <c r="BJ26" s="45">
        <f>COUNTIF($K$2:$K$1288,"Other")</f>
        <v>63</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47"/>
        <v>0</v>
      </c>
      <c r="CO26" s="78">
        <f t="shared" si="48"/>
        <v>0</v>
      </c>
      <c r="CP26" s="78">
        <f t="shared" si="49"/>
        <v>0</v>
      </c>
      <c r="CQ26" s="78">
        <f t="shared" si="50"/>
        <v>0</v>
      </c>
      <c r="CR26" s="78">
        <f t="shared" si="51"/>
        <v>0</v>
      </c>
      <c r="CS26" s="78">
        <f t="shared" si="52"/>
        <v>0</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0</v>
      </c>
      <c r="DB26" s="78">
        <f t="shared" si="60"/>
        <v>0</v>
      </c>
      <c r="DC26" s="78">
        <f t="shared" si="61"/>
        <v>0</v>
      </c>
      <c r="DD26" s="78">
        <f t="shared" si="62"/>
        <v>0</v>
      </c>
      <c r="DE26" s="78">
        <f t="shared" si="63"/>
        <v>1</v>
      </c>
      <c r="DF26" s="78">
        <f t="shared" si="64"/>
        <v>1</v>
      </c>
      <c r="DG26" s="78">
        <f t="shared" si="65"/>
        <v>1</v>
      </c>
      <c r="DH26" s="78" t="str">
        <f t="shared" si="66"/>
        <v>1</v>
      </c>
      <c r="DI26" s="79">
        <f>IFERROR(IF(J26="","",VLOOKUP(J26,Lists!$D$3:$E$13,2,FALSE)),1)</f>
        <v>0</v>
      </c>
      <c r="DJ26" s="79">
        <f>IFERROR(IF(K26="","",VLOOKUP(K26,Lists!$F$3:$G$14,2,FALSE)),1)</f>
        <v>0</v>
      </c>
      <c r="DK26" s="79" t="str">
        <f>IFERROR(IF(M26="","",VLOOKUP(M26,Lists!$AA$3:$AB$18,2,FALSE)),1)</f>
        <v/>
      </c>
      <c r="DL26" s="79" t="str">
        <f>IFERROR(IF(N26="","",VLOOKUP(N26,Lists!$AC$3:$AD$13,2,FALSE)),1)</f>
        <v/>
      </c>
    </row>
    <row r="27" spans="1:116" ht="15" customHeight="1" x14ac:dyDescent="0.25">
      <c r="A27" s="20">
        <v>194381</v>
      </c>
      <c r="B27" s="19">
        <v>45670</v>
      </c>
      <c r="C27" s="64">
        <v>0.54166666666666663</v>
      </c>
      <c r="D27" s="64" t="s">
        <v>1119</v>
      </c>
      <c r="E27" s="19">
        <v>45670</v>
      </c>
      <c r="F27" s="20">
        <v>3</v>
      </c>
      <c r="G27" s="18" t="s">
        <v>1108</v>
      </c>
      <c r="H27" s="65"/>
      <c r="I27" s="18" t="s">
        <v>1108</v>
      </c>
      <c r="J27" s="66"/>
      <c r="K27" s="66"/>
      <c r="L27" s="67"/>
      <c r="M27" s="68" t="s">
        <v>42</v>
      </c>
      <c r="N27" s="68" t="s">
        <v>420</v>
      </c>
      <c r="O27" s="69" t="s">
        <v>1125</v>
      </c>
      <c r="P27" s="134">
        <v>0.54166666666666663</v>
      </c>
      <c r="Q27" s="70"/>
      <c r="R27" s="134">
        <v>0.5625</v>
      </c>
      <c r="S27" s="70"/>
      <c r="T27" s="134">
        <v>0.60416666666666663</v>
      </c>
      <c r="U27" s="70"/>
      <c r="V27" s="134">
        <v>0.60763888888888895</v>
      </c>
      <c r="W27" s="70"/>
      <c r="X27" s="134">
        <v>0.60833333333333328</v>
      </c>
      <c r="Y27" s="70"/>
      <c r="Z27" s="134">
        <v>0.61458333333333337</v>
      </c>
      <c r="AA27" s="70" t="s">
        <v>1108</v>
      </c>
      <c r="AB27" s="19"/>
      <c r="AC27" s="20" t="s">
        <v>1108</v>
      </c>
      <c r="AD27" s="19"/>
      <c r="AE27" s="71">
        <f t="shared" si="25"/>
        <v>780</v>
      </c>
      <c r="AF27" s="71">
        <f t="shared" si="26"/>
        <v>875</v>
      </c>
      <c r="AG27" s="71">
        <f t="shared" si="27"/>
        <v>95</v>
      </c>
      <c r="AH27" s="71">
        <f t="shared" si="28"/>
        <v>95</v>
      </c>
      <c r="AI27" s="71" t="str">
        <f t="shared" si="29"/>
        <v/>
      </c>
      <c r="AJ27" s="71" t="str">
        <f t="shared" si="30"/>
        <v/>
      </c>
      <c r="AK27" s="71" t="str">
        <f t="shared" si="31"/>
        <v/>
      </c>
      <c r="AL27" s="71">
        <f t="shared" si="32"/>
        <v>95</v>
      </c>
      <c r="AM27" s="71">
        <f t="shared" si="33"/>
        <v>0</v>
      </c>
      <c r="AN27" s="72">
        <f t="shared" si="34"/>
        <v>2.083333333333337E-2</v>
      </c>
      <c r="AO27" s="73">
        <f t="shared" si="35"/>
        <v>0</v>
      </c>
      <c r="AP27" s="72" t="str">
        <f t="shared" si="36"/>
        <v>No</v>
      </c>
      <c r="AQ27" s="72">
        <f t="shared" si="37"/>
        <v>6.2500000000000888E-3</v>
      </c>
      <c r="AR27" s="72" t="str">
        <f t="shared" si="38"/>
        <v/>
      </c>
      <c r="AS27" s="72" t="str">
        <f t="shared" si="39"/>
        <v/>
      </c>
      <c r="AT27" s="72" t="str">
        <f t="shared" si="40"/>
        <v/>
      </c>
      <c r="AU27" s="3"/>
      <c r="AV27" s="20"/>
      <c r="AW27" s="20"/>
      <c r="AX27" s="3"/>
      <c r="AY27" s="20" t="s">
        <v>1154</v>
      </c>
      <c r="AZ27" s="46"/>
      <c r="BA27" s="20"/>
      <c r="BB27" s="46"/>
      <c r="BC27" s="20"/>
      <c r="BD27" s="20"/>
      <c r="BE27" s="20"/>
      <c r="BF27" s="47" t="str">
        <f t="shared" si="41"/>
        <v/>
      </c>
      <c r="BG27" s="3"/>
      <c r="BH27" s="57" t="s">
        <v>428</v>
      </c>
      <c r="BI27" s="57" t="s">
        <v>416</v>
      </c>
      <c r="BJ27" s="45">
        <f>COUNTA($L$2:$L$1288)</f>
        <v>63</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47"/>
        <v>0</v>
      </c>
      <c r="CO27" s="78">
        <f t="shared" si="48"/>
        <v>0</v>
      </c>
      <c r="CP27" s="78">
        <f t="shared" si="49"/>
        <v>0</v>
      </c>
      <c r="CQ27" s="78">
        <f t="shared" si="50"/>
        <v>0</v>
      </c>
      <c r="CR27" s="78">
        <f t="shared" si="51"/>
        <v>0</v>
      </c>
      <c r="CS27" s="78">
        <f t="shared" si="52"/>
        <v>0</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0</v>
      </c>
      <c r="DB27" s="78">
        <f t="shared" si="60"/>
        <v>1</v>
      </c>
      <c r="DC27" s="78">
        <f t="shared" si="61"/>
        <v>0</v>
      </c>
      <c r="DD27" s="78">
        <f t="shared" si="62"/>
        <v>0</v>
      </c>
      <c r="DE27" s="78">
        <f t="shared" si="63"/>
        <v>1</v>
      </c>
      <c r="DF27" s="78">
        <f t="shared" si="64"/>
        <v>1</v>
      </c>
      <c r="DG27" s="78" t="str">
        <f t="shared" si="65"/>
        <v>1</v>
      </c>
      <c r="DH27" s="78" t="str">
        <f t="shared" si="66"/>
        <v>1</v>
      </c>
      <c r="DI27" s="79" t="str">
        <f>IFERROR(IF(J27="","",VLOOKUP(J27,Lists!$D$3:$E$13,2,FALSE)),1)</f>
        <v/>
      </c>
      <c r="DJ27" s="79" t="str">
        <f>IFERROR(IF(K27="","",VLOOKUP(K27,Lists!$F$3:$G$14,2,FALSE)),1)</f>
        <v/>
      </c>
      <c r="DK27" s="79">
        <f>IFERROR(IF(M27="","",VLOOKUP(M27,Lists!$AA$3:$AB$18,2,FALSE)),1)</f>
        <v>0</v>
      </c>
      <c r="DL27" s="79">
        <f>IFERROR(IF(N27="","",VLOOKUP(N27,Lists!$AC$3:$AD$13,2,FALSE)),1)</f>
        <v>0</v>
      </c>
    </row>
    <row r="28" spans="1:116" ht="15" customHeight="1" x14ac:dyDescent="0.25">
      <c r="A28" s="20">
        <v>413924</v>
      </c>
      <c r="B28" s="19">
        <v>45670</v>
      </c>
      <c r="C28" s="64">
        <v>0.625</v>
      </c>
      <c r="D28" s="64" t="s">
        <v>1119</v>
      </c>
      <c r="E28" s="19">
        <v>45670</v>
      </c>
      <c r="F28" s="20">
        <v>3</v>
      </c>
      <c r="G28" s="18" t="s">
        <v>1108</v>
      </c>
      <c r="H28" s="65"/>
      <c r="I28" s="18" t="s">
        <v>1121</v>
      </c>
      <c r="J28" s="66" t="s">
        <v>42</v>
      </c>
      <c r="K28" s="66" t="s">
        <v>420</v>
      </c>
      <c r="L28" s="67" t="s">
        <v>1145</v>
      </c>
      <c r="M28" s="68"/>
      <c r="N28" s="68"/>
      <c r="O28" s="69"/>
      <c r="P28" s="134">
        <v>0.61805555555555558</v>
      </c>
      <c r="Q28" s="70"/>
      <c r="R28" s="134">
        <v>0.625</v>
      </c>
      <c r="S28" s="70"/>
      <c r="T28" s="134">
        <v>0.63194444444444442</v>
      </c>
      <c r="U28" s="70"/>
      <c r="V28" s="134">
        <v>0.63888888888888895</v>
      </c>
      <c r="W28" s="70"/>
      <c r="X28" s="134">
        <v>0.63958333333333328</v>
      </c>
      <c r="Y28" s="70"/>
      <c r="Z28" s="134">
        <v>0.64583333333333337</v>
      </c>
      <c r="AA28" s="70" t="s">
        <v>1121</v>
      </c>
      <c r="AB28" s="19">
        <v>45670</v>
      </c>
      <c r="AC28" s="20" t="s">
        <v>1108</v>
      </c>
      <c r="AD28" s="19"/>
      <c r="AE28" s="71">
        <f t="shared" si="25"/>
        <v>890</v>
      </c>
      <c r="AF28" s="71">
        <f t="shared" si="26"/>
        <v>920</v>
      </c>
      <c r="AG28" s="71">
        <f t="shared" si="27"/>
        <v>30</v>
      </c>
      <c r="AH28" s="71">
        <f t="shared" si="28"/>
        <v>30</v>
      </c>
      <c r="AI28" s="71" t="str">
        <f t="shared" si="29"/>
        <v/>
      </c>
      <c r="AJ28" s="71" t="str">
        <f t="shared" si="30"/>
        <v/>
      </c>
      <c r="AK28" s="71" t="str">
        <f t="shared" si="31"/>
        <v/>
      </c>
      <c r="AL28" s="71">
        <f t="shared" si="32"/>
        <v>30</v>
      </c>
      <c r="AM28" s="71">
        <f t="shared" si="33"/>
        <v>0</v>
      </c>
      <c r="AN28" s="72">
        <f t="shared" si="34"/>
        <v>0</v>
      </c>
      <c r="AO28" s="73">
        <f t="shared" si="35"/>
        <v>0</v>
      </c>
      <c r="AP28" s="72" t="str">
        <f t="shared" si="36"/>
        <v>Yes</v>
      </c>
      <c r="AQ28" s="72">
        <f t="shared" si="37"/>
        <v>6.2500000000000888E-3</v>
      </c>
      <c r="AR28" s="72" t="str">
        <f t="shared" si="38"/>
        <v>Yes</v>
      </c>
      <c r="AS28" s="72" t="str">
        <f t="shared" si="39"/>
        <v>No</v>
      </c>
      <c r="AT28" s="72" t="str">
        <f t="shared" si="40"/>
        <v>No</v>
      </c>
      <c r="AU28" s="3"/>
      <c r="AV28" s="20"/>
      <c r="AW28" s="20"/>
      <c r="AX28" s="3"/>
      <c r="AY28" s="20" t="s">
        <v>1155</v>
      </c>
      <c r="AZ28" s="46"/>
      <c r="BA28" s="20"/>
      <c r="BB28" s="46"/>
      <c r="BC28" s="20"/>
      <c r="BD28" s="20"/>
      <c r="BE28" s="20"/>
      <c r="BF28" s="47" t="str">
        <f t="shared" si="41"/>
        <v/>
      </c>
      <c r="BG28" s="3"/>
      <c r="BH28" s="57" t="s">
        <v>321</v>
      </c>
      <c r="BI28" s="57" t="s">
        <v>416</v>
      </c>
      <c r="BJ28" s="45">
        <f>COUNTA($M$2:$M$1288)</f>
        <v>64</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47"/>
        <v>0</v>
      </c>
      <c r="CO28" s="78">
        <f t="shared" si="48"/>
        <v>0</v>
      </c>
      <c r="CP28" s="78">
        <f t="shared" si="49"/>
        <v>0</v>
      </c>
      <c r="CQ28" s="78">
        <f t="shared" si="50"/>
        <v>0</v>
      </c>
      <c r="CR28" s="78">
        <f t="shared" si="51"/>
        <v>0</v>
      </c>
      <c r="CS28" s="78">
        <f t="shared" si="52"/>
        <v>0</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0</v>
      </c>
      <c r="DC28" s="78">
        <f t="shared" si="61"/>
        <v>0</v>
      </c>
      <c r="DD28" s="78">
        <f t="shared" si="62"/>
        <v>0</v>
      </c>
      <c r="DE28" s="78">
        <f t="shared" si="63"/>
        <v>1</v>
      </c>
      <c r="DF28" s="78">
        <f t="shared" si="64"/>
        <v>1</v>
      </c>
      <c r="DG28" s="78">
        <f t="shared" si="65"/>
        <v>1</v>
      </c>
      <c r="DH28" s="78" t="str">
        <f t="shared" si="66"/>
        <v>1</v>
      </c>
      <c r="DI28" s="79">
        <f>IFERROR(IF(J28="","",VLOOKUP(J28,Lists!$D$3:$E$13,2,FALSE)),1)</f>
        <v>0</v>
      </c>
      <c r="DJ28" s="79">
        <f>IFERROR(IF(K28="","",VLOOKUP(K28,Lists!$F$3:$G$14,2,FALSE)),1)</f>
        <v>0</v>
      </c>
      <c r="DK28" s="79" t="str">
        <f>IFERROR(IF(M28="","",VLOOKUP(M28,Lists!$AA$3:$AB$18,2,FALSE)),1)</f>
        <v/>
      </c>
      <c r="DL28" s="79" t="str">
        <f>IFERROR(IF(N28="","",VLOOKUP(N28,Lists!$AC$3:$AD$13,2,FALSE)),1)</f>
        <v/>
      </c>
    </row>
    <row r="29" spans="1:116" ht="15" customHeight="1" x14ac:dyDescent="0.25">
      <c r="A29" s="20">
        <v>415606</v>
      </c>
      <c r="B29" s="19">
        <v>45670</v>
      </c>
      <c r="C29" s="64">
        <v>0.64583333333333337</v>
      </c>
      <c r="D29" s="64" t="s">
        <v>1119</v>
      </c>
      <c r="E29" s="19">
        <v>45670</v>
      </c>
      <c r="F29" s="20">
        <v>3</v>
      </c>
      <c r="G29" s="18" t="s">
        <v>1108</v>
      </c>
      <c r="H29" s="65"/>
      <c r="I29" s="18" t="s">
        <v>1121</v>
      </c>
      <c r="J29" s="66" t="s">
        <v>42</v>
      </c>
      <c r="K29" s="66" t="s">
        <v>420</v>
      </c>
      <c r="L29" s="67" t="s">
        <v>1145</v>
      </c>
      <c r="M29" s="68"/>
      <c r="N29" s="68"/>
      <c r="O29" s="69"/>
      <c r="P29" s="134">
        <v>0.64652777777777781</v>
      </c>
      <c r="Q29" s="70"/>
      <c r="R29" s="134">
        <v>0.65208333333333335</v>
      </c>
      <c r="S29" s="70"/>
      <c r="T29" s="134">
        <v>0.65902777777777777</v>
      </c>
      <c r="U29" s="70"/>
      <c r="V29" s="134">
        <v>0.66666666666666663</v>
      </c>
      <c r="W29" s="70"/>
      <c r="X29" s="134">
        <v>0.66736111111111107</v>
      </c>
      <c r="Y29" s="70"/>
      <c r="Z29" s="134">
        <v>0.67361111111111116</v>
      </c>
      <c r="AA29" s="70" t="s">
        <v>1121</v>
      </c>
      <c r="AB29" s="19">
        <v>45670</v>
      </c>
      <c r="AC29" s="20" t="s">
        <v>1108</v>
      </c>
      <c r="AD29" s="19"/>
      <c r="AE29" s="71">
        <f t="shared" si="25"/>
        <v>931</v>
      </c>
      <c r="AF29" s="71">
        <f t="shared" si="26"/>
        <v>960</v>
      </c>
      <c r="AG29" s="71">
        <f t="shared" si="27"/>
        <v>29</v>
      </c>
      <c r="AH29" s="71">
        <f t="shared" si="28"/>
        <v>29</v>
      </c>
      <c r="AI29" s="71" t="str">
        <f t="shared" si="29"/>
        <v/>
      </c>
      <c r="AJ29" s="71" t="str">
        <f t="shared" si="30"/>
        <v/>
      </c>
      <c r="AK29" s="71" t="str">
        <f t="shared" si="31"/>
        <v/>
      </c>
      <c r="AL29" s="71">
        <f t="shared" si="32"/>
        <v>29</v>
      </c>
      <c r="AM29" s="71">
        <f t="shared" si="33"/>
        <v>0</v>
      </c>
      <c r="AN29" s="72">
        <f t="shared" si="34"/>
        <v>6.2499999999999778E-3</v>
      </c>
      <c r="AO29" s="73">
        <f t="shared" si="35"/>
        <v>0</v>
      </c>
      <c r="AP29" s="72" t="str">
        <f t="shared" si="36"/>
        <v>Yes</v>
      </c>
      <c r="AQ29" s="72">
        <f t="shared" si="37"/>
        <v>6.2500000000000888E-3</v>
      </c>
      <c r="AR29" s="72" t="str">
        <f t="shared" si="38"/>
        <v>Yes</v>
      </c>
      <c r="AS29" s="72" t="str">
        <f t="shared" si="39"/>
        <v>No</v>
      </c>
      <c r="AT29" s="72" t="str">
        <f t="shared" si="40"/>
        <v>No</v>
      </c>
      <c r="AU29" s="3"/>
      <c r="AV29" s="37" t="s">
        <v>429</v>
      </c>
      <c r="AW29" s="73">
        <f>COUNTA(AW2:AW28)-COUNTIF(AW2:AW28,"Emergency")</f>
        <v>4</v>
      </c>
      <c r="AX29" s="3"/>
      <c r="AY29" s="20" t="s">
        <v>1156</v>
      </c>
      <c r="AZ29" s="46"/>
      <c r="BA29" s="20"/>
      <c r="BB29" s="46"/>
      <c r="BC29" s="20"/>
      <c r="BD29" s="20"/>
      <c r="BE29" s="20"/>
      <c r="BF29" s="47" t="str">
        <f>IFERROR(IF(OR(ISBLANK(AZ29),ISBLANK(BB29)),"",BB29-AZ29),"")</f>
        <v/>
      </c>
      <c r="BG29" s="3"/>
      <c r="BH29" s="57" t="s">
        <v>322</v>
      </c>
      <c r="BI29" s="57" t="s">
        <v>416</v>
      </c>
      <c r="BJ29" s="45">
        <f>COUNTA($N$2:$N$1288)</f>
        <v>64</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47"/>
        <v>0</v>
      </c>
      <c r="CO29" s="78">
        <f t="shared" si="48"/>
        <v>0</v>
      </c>
      <c r="CP29" s="78">
        <f t="shared" si="49"/>
        <v>0</v>
      </c>
      <c r="CQ29" s="78">
        <f t="shared" si="50"/>
        <v>0</v>
      </c>
      <c r="CR29" s="78">
        <f t="shared" si="51"/>
        <v>0</v>
      </c>
      <c r="CS29" s="78">
        <f t="shared" si="52"/>
        <v>0</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0</v>
      </c>
      <c r="DB29" s="78">
        <f t="shared" si="60"/>
        <v>0</v>
      </c>
      <c r="DC29" s="78">
        <f t="shared" si="61"/>
        <v>0</v>
      </c>
      <c r="DD29" s="78">
        <f t="shared" si="62"/>
        <v>0</v>
      </c>
      <c r="DE29" s="78">
        <f t="shared" si="63"/>
        <v>1</v>
      </c>
      <c r="DF29" s="78">
        <f t="shared" si="64"/>
        <v>1</v>
      </c>
      <c r="DG29" s="78">
        <f t="shared" si="65"/>
        <v>1</v>
      </c>
      <c r="DH29" s="78" t="str">
        <f t="shared" si="66"/>
        <v>1</v>
      </c>
      <c r="DI29" s="79">
        <f>IFERROR(IF(J29="","",VLOOKUP(J29,Lists!$D$3:$E$13,2,FALSE)),1)</f>
        <v>0</v>
      </c>
      <c r="DJ29" s="79">
        <f>IFERROR(IF(K29="","",VLOOKUP(K29,Lists!$F$3:$G$14,2,FALSE)),1)</f>
        <v>0</v>
      </c>
      <c r="DK29" s="79" t="str">
        <f>IFERROR(IF(M29="","",VLOOKUP(M29,Lists!$AA$3:$AB$18,2,FALSE)),1)</f>
        <v/>
      </c>
      <c r="DL29" s="79" t="str">
        <f>IFERROR(IF(N29="","",VLOOKUP(N29,Lists!$AC$3:$AD$13,2,FALSE)),1)</f>
        <v/>
      </c>
    </row>
    <row r="30" spans="1:116" ht="15" customHeight="1" x14ac:dyDescent="0.25">
      <c r="A30" s="20">
        <v>411027</v>
      </c>
      <c r="B30" s="19">
        <v>45670</v>
      </c>
      <c r="C30" s="64">
        <v>0.33333333333333331</v>
      </c>
      <c r="D30" s="64" t="s">
        <v>1120</v>
      </c>
      <c r="E30" s="19">
        <v>45670</v>
      </c>
      <c r="F30" s="20">
        <v>7</v>
      </c>
      <c r="G30" s="18" t="s">
        <v>1108</v>
      </c>
      <c r="H30" s="65"/>
      <c r="I30" s="18" t="s">
        <v>1121</v>
      </c>
      <c r="J30" s="66" t="s">
        <v>55</v>
      </c>
      <c r="K30" s="66" t="s">
        <v>417</v>
      </c>
      <c r="L30" s="67"/>
      <c r="M30" s="68"/>
      <c r="N30" s="68"/>
      <c r="O30" s="69"/>
      <c r="P30" s="134">
        <v>0.32847222222222222</v>
      </c>
      <c r="Q30" s="70"/>
      <c r="R30" s="134">
        <v>0.35902777777777778</v>
      </c>
      <c r="S30" s="70"/>
      <c r="T30" s="134">
        <v>0.38750000000000001</v>
      </c>
      <c r="U30" s="70"/>
      <c r="V30" s="134">
        <v>0.40277777777777773</v>
      </c>
      <c r="W30" s="70"/>
      <c r="X30" s="134">
        <v>0.40347222222222223</v>
      </c>
      <c r="Y30" s="70"/>
      <c r="Z30" s="134">
        <v>0.40972222222222227</v>
      </c>
      <c r="AA30" s="70" t="s">
        <v>1121</v>
      </c>
      <c r="AB30" s="19">
        <v>45670</v>
      </c>
      <c r="AC30" s="20" t="s">
        <v>1108</v>
      </c>
      <c r="AD30" s="19"/>
      <c r="AE30" s="71">
        <f t="shared" si="25"/>
        <v>473</v>
      </c>
      <c r="AF30" s="71">
        <f t="shared" si="26"/>
        <v>580</v>
      </c>
      <c r="AG30" s="71">
        <f t="shared" si="27"/>
        <v>107</v>
      </c>
      <c r="AH30" s="71">
        <f t="shared" si="28"/>
        <v>0</v>
      </c>
      <c r="AI30" s="71">
        <f t="shared" si="29"/>
        <v>100</v>
      </c>
      <c r="AJ30" s="71" t="str">
        <f t="shared" si="30"/>
        <v/>
      </c>
      <c r="AK30" s="71" t="str">
        <f t="shared" si="31"/>
        <v/>
      </c>
      <c r="AL30" s="71">
        <f t="shared" si="32"/>
        <v>100</v>
      </c>
      <c r="AM30" s="71">
        <f t="shared" si="33"/>
        <v>7</v>
      </c>
      <c r="AN30" s="72">
        <f t="shared" si="34"/>
        <v>2.5694444444444464E-2</v>
      </c>
      <c r="AO30" s="73">
        <f t="shared" si="35"/>
        <v>0</v>
      </c>
      <c r="AP30" s="72" t="str">
        <f t="shared" si="36"/>
        <v>No</v>
      </c>
      <c r="AQ30" s="72">
        <f t="shared" si="37"/>
        <v>6.2500000000000333E-3</v>
      </c>
      <c r="AR30" s="72" t="str">
        <f t="shared" si="38"/>
        <v>Yes</v>
      </c>
      <c r="AS30" s="72" t="str">
        <f t="shared" si="39"/>
        <v>No</v>
      </c>
      <c r="AT30" s="72" t="str">
        <f t="shared" si="40"/>
        <v>No</v>
      </c>
      <c r="AU30" s="3"/>
      <c r="AV30" s="37" t="s">
        <v>430</v>
      </c>
      <c r="AW30" s="73">
        <f>COUNTIF(AW2:AW28,"Emergency")</f>
        <v>3</v>
      </c>
      <c r="AX30" s="3"/>
      <c r="AY30" s="20" t="s">
        <v>1126</v>
      </c>
      <c r="AZ30" s="46"/>
      <c r="BA30" s="20"/>
      <c r="BB30" s="46"/>
      <c r="BC30" s="20"/>
      <c r="BD30" s="20"/>
      <c r="BE30" s="20"/>
      <c r="BF30" s="47" t="str">
        <f t="shared" ref="BF30:BF55" si="67">IFERROR(IF(OR(ISBLANK(AZ30),ISBLANK(BB30)),"",BB30-AZ30),"")</f>
        <v/>
      </c>
      <c r="BG30" s="3"/>
      <c r="BH30" s="57" t="s">
        <v>431</v>
      </c>
      <c r="BI30" s="57" t="s">
        <v>416</v>
      </c>
      <c r="BJ30" s="45">
        <f>COUNTIF($N$2:$N$1288,"Other")</f>
        <v>61</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47"/>
        <v>0</v>
      </c>
      <c r="CO30" s="78">
        <f t="shared" si="48"/>
        <v>0</v>
      </c>
      <c r="CP30" s="78">
        <f t="shared" si="49"/>
        <v>0</v>
      </c>
      <c r="CQ30" s="78">
        <f t="shared" si="50"/>
        <v>0</v>
      </c>
      <c r="CR30" s="78">
        <f t="shared" si="51"/>
        <v>0</v>
      </c>
      <c r="CS30" s="78">
        <f t="shared" si="52"/>
        <v>0</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0</v>
      </c>
      <c r="DB30" s="78">
        <f t="shared" si="60"/>
        <v>1</v>
      </c>
      <c r="DC30" s="78">
        <f t="shared" si="61"/>
        <v>0</v>
      </c>
      <c r="DD30" s="78">
        <f t="shared" si="62"/>
        <v>0</v>
      </c>
      <c r="DE30" s="78">
        <f t="shared" si="63"/>
        <v>1</v>
      </c>
      <c r="DF30" s="78">
        <f t="shared" si="64"/>
        <v>1</v>
      </c>
      <c r="DG30" s="78">
        <f t="shared" si="65"/>
        <v>1</v>
      </c>
      <c r="DH30" s="78" t="str">
        <f t="shared" si="66"/>
        <v>1</v>
      </c>
      <c r="DI30" s="79">
        <f>IFERROR(IF(J30="","",VLOOKUP(J30,Lists!$D$3:$E$13,2,FALSE)),1)</f>
        <v>0</v>
      </c>
      <c r="DJ30" s="79">
        <f>IFERROR(IF(K30="","",VLOOKUP(K30,Lists!$F$3:$G$14,2,FALSE)),1)</f>
        <v>0</v>
      </c>
      <c r="DK30" s="79" t="str">
        <f>IFERROR(IF(M30="","",VLOOKUP(M30,Lists!$AA$3:$AB$18,2,FALSE)),1)</f>
        <v/>
      </c>
      <c r="DL30" s="79" t="str">
        <f>IFERROR(IF(N30="","",VLOOKUP(N30,Lists!$AC$3:$AD$13,2,FALSE)),1)</f>
        <v/>
      </c>
    </row>
    <row r="31" spans="1:116" ht="15" customHeight="1" x14ac:dyDescent="0.25">
      <c r="A31" s="20">
        <v>399225</v>
      </c>
      <c r="B31" s="19">
        <v>45670</v>
      </c>
      <c r="C31" s="64">
        <v>0.41666666666666669</v>
      </c>
      <c r="D31" s="64" t="s">
        <v>1120</v>
      </c>
      <c r="E31" s="19">
        <v>45670</v>
      </c>
      <c r="F31" s="20">
        <v>7</v>
      </c>
      <c r="G31" s="18" t="s">
        <v>1108</v>
      </c>
      <c r="H31" s="65"/>
      <c r="I31" s="18" t="s">
        <v>1121</v>
      </c>
      <c r="J31" s="66" t="s">
        <v>55</v>
      </c>
      <c r="K31" s="66" t="s">
        <v>417</v>
      </c>
      <c r="L31" s="67"/>
      <c r="M31" s="68"/>
      <c r="N31" s="68"/>
      <c r="O31" s="69"/>
      <c r="P31" s="134">
        <v>0.41875000000000001</v>
      </c>
      <c r="Q31" s="70"/>
      <c r="R31" s="134">
        <v>0.43958333333333338</v>
      </c>
      <c r="S31" s="70"/>
      <c r="T31" s="134">
        <v>0.46527777777777773</v>
      </c>
      <c r="U31" s="70"/>
      <c r="V31" s="134">
        <v>0.47847222222222219</v>
      </c>
      <c r="W31" s="70"/>
      <c r="X31" s="134">
        <v>0.47916666666666669</v>
      </c>
      <c r="Y31" s="70"/>
      <c r="Z31" s="134">
        <v>0.4861111111111111</v>
      </c>
      <c r="AA31" s="70" t="s">
        <v>1121</v>
      </c>
      <c r="AB31" s="19">
        <v>45670</v>
      </c>
      <c r="AC31" s="20" t="s">
        <v>1108</v>
      </c>
      <c r="AD31" s="19"/>
      <c r="AE31" s="71">
        <f t="shared" si="25"/>
        <v>603</v>
      </c>
      <c r="AF31" s="71">
        <f t="shared" si="26"/>
        <v>689</v>
      </c>
      <c r="AG31" s="71">
        <f t="shared" si="27"/>
        <v>86</v>
      </c>
      <c r="AH31" s="71">
        <f t="shared" si="28"/>
        <v>86</v>
      </c>
      <c r="AI31" s="71" t="str">
        <f t="shared" si="29"/>
        <v/>
      </c>
      <c r="AJ31" s="71" t="str">
        <f t="shared" si="30"/>
        <v/>
      </c>
      <c r="AK31" s="71" t="str">
        <f t="shared" si="31"/>
        <v/>
      </c>
      <c r="AL31" s="71">
        <f t="shared" si="32"/>
        <v>86</v>
      </c>
      <c r="AM31" s="71">
        <f t="shared" si="33"/>
        <v>0</v>
      </c>
      <c r="AN31" s="72">
        <f t="shared" si="34"/>
        <v>2.2916666666666696E-2</v>
      </c>
      <c r="AO31" s="73">
        <f t="shared" si="35"/>
        <v>0</v>
      </c>
      <c r="AP31" s="72" t="str">
        <f t="shared" si="36"/>
        <v>No</v>
      </c>
      <c r="AQ31" s="72">
        <f t="shared" si="37"/>
        <v>6.9444444444444198E-3</v>
      </c>
      <c r="AR31" s="72" t="str">
        <f t="shared" si="38"/>
        <v>Yes</v>
      </c>
      <c r="AS31" s="72" t="str">
        <f t="shared" si="39"/>
        <v>No</v>
      </c>
      <c r="AT31" s="72" t="str">
        <f t="shared" si="40"/>
        <v>No</v>
      </c>
      <c r="AU31" s="3"/>
      <c r="AV31" s="3"/>
      <c r="AW31" s="48" t="s">
        <v>432</v>
      </c>
      <c r="AX31" s="3"/>
      <c r="AY31" s="20" t="s">
        <v>1157</v>
      </c>
      <c r="AZ31" s="46"/>
      <c r="BA31" s="20"/>
      <c r="BB31" s="46"/>
      <c r="BC31" s="20"/>
      <c r="BD31" s="20"/>
      <c r="BE31" s="20"/>
      <c r="BF31" s="47" t="str">
        <f t="shared" si="67"/>
        <v/>
      </c>
      <c r="BG31" s="3"/>
      <c r="BH31" s="57" t="s">
        <v>433</v>
      </c>
      <c r="BI31" s="57" t="s">
        <v>416</v>
      </c>
      <c r="BJ31" s="45">
        <f>COUNTA($O$2:$O$1288)</f>
        <v>61</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47"/>
        <v>0</v>
      </c>
      <c r="CO31" s="78">
        <f t="shared" si="48"/>
        <v>0</v>
      </c>
      <c r="CP31" s="78">
        <f t="shared" si="49"/>
        <v>0</v>
      </c>
      <c r="CQ31" s="78">
        <f t="shared" si="50"/>
        <v>0</v>
      </c>
      <c r="CR31" s="78">
        <f t="shared" si="51"/>
        <v>0</v>
      </c>
      <c r="CS31" s="78">
        <f t="shared" si="52"/>
        <v>0</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0</v>
      </c>
      <c r="DB31" s="78">
        <f t="shared" si="60"/>
        <v>0</v>
      </c>
      <c r="DC31" s="78">
        <f t="shared" si="61"/>
        <v>0</v>
      </c>
      <c r="DD31" s="78">
        <f t="shared" si="62"/>
        <v>0</v>
      </c>
      <c r="DE31" s="78">
        <f t="shared" si="63"/>
        <v>1</v>
      </c>
      <c r="DF31" s="78">
        <f t="shared" si="64"/>
        <v>1</v>
      </c>
      <c r="DG31" s="78">
        <f t="shared" si="65"/>
        <v>1</v>
      </c>
      <c r="DH31" s="78" t="str">
        <f t="shared" si="66"/>
        <v>1</v>
      </c>
      <c r="DI31" s="79">
        <f>IFERROR(IF(J31="","",VLOOKUP(J31,Lists!$D$3:$E$13,2,FALSE)),1)</f>
        <v>0</v>
      </c>
      <c r="DJ31" s="79">
        <f>IFERROR(IF(K31="","",VLOOKUP(K31,Lists!$F$3:$G$14,2,FALSE)),1)</f>
        <v>0</v>
      </c>
      <c r="DK31" s="79" t="str">
        <f>IFERROR(IF(M31="","",VLOOKUP(M31,Lists!$AA$3:$AB$18,2,FALSE)),1)</f>
        <v/>
      </c>
      <c r="DL31" s="79" t="str">
        <f>IFERROR(IF(N31="","",VLOOKUP(N31,Lists!$AC$3:$AD$13,2,FALSE)),1)</f>
        <v/>
      </c>
    </row>
    <row r="32" spans="1:116" ht="15" customHeight="1" x14ac:dyDescent="0.25">
      <c r="A32" s="20">
        <v>53463</v>
      </c>
      <c r="B32" s="19">
        <v>45670</v>
      </c>
      <c r="C32" s="64">
        <v>0.5</v>
      </c>
      <c r="D32" s="64" t="s">
        <v>1147</v>
      </c>
      <c r="E32" s="19">
        <v>45670</v>
      </c>
      <c r="F32" s="20">
        <v>7</v>
      </c>
      <c r="G32" s="18" t="s">
        <v>1108</v>
      </c>
      <c r="H32" s="65"/>
      <c r="I32" s="18" t="s">
        <v>1108</v>
      </c>
      <c r="J32" s="66"/>
      <c r="K32" s="66"/>
      <c r="L32" s="67"/>
      <c r="M32" s="68" t="s">
        <v>27</v>
      </c>
      <c r="N32" s="68" t="s">
        <v>420</v>
      </c>
      <c r="O32" s="69" t="s">
        <v>1204</v>
      </c>
      <c r="P32" s="134">
        <v>0.50208333333333333</v>
      </c>
      <c r="Q32" s="70"/>
      <c r="R32" s="134">
        <v>0.52083333333333337</v>
      </c>
      <c r="S32" s="70"/>
      <c r="T32" s="134">
        <v>0.55555555555555558</v>
      </c>
      <c r="U32" s="70"/>
      <c r="V32" s="134">
        <v>0.57638888888888895</v>
      </c>
      <c r="W32" s="70"/>
      <c r="X32" s="134">
        <v>0.57708333333333328</v>
      </c>
      <c r="Y32" s="70"/>
      <c r="Z32" s="134">
        <v>0.58333333333333337</v>
      </c>
      <c r="AA32" s="70" t="s">
        <v>1121</v>
      </c>
      <c r="AB32" s="19">
        <v>45670</v>
      </c>
      <c r="AC32" s="20" t="s">
        <v>1108</v>
      </c>
      <c r="AD32" s="19"/>
      <c r="AE32" s="71">
        <f t="shared" si="25"/>
        <v>723</v>
      </c>
      <c r="AF32" s="71">
        <f t="shared" si="26"/>
        <v>830</v>
      </c>
      <c r="AG32" s="71">
        <f t="shared" si="27"/>
        <v>107</v>
      </c>
      <c r="AH32" s="71">
        <f t="shared" si="28"/>
        <v>107</v>
      </c>
      <c r="AI32" s="71" t="str">
        <f t="shared" si="29"/>
        <v/>
      </c>
      <c r="AJ32" s="71" t="str">
        <f t="shared" si="30"/>
        <v/>
      </c>
      <c r="AK32" s="71" t="str">
        <f t="shared" si="31"/>
        <v/>
      </c>
      <c r="AL32" s="71">
        <f t="shared" si="32"/>
        <v>107</v>
      </c>
      <c r="AM32" s="71">
        <f t="shared" si="33"/>
        <v>0</v>
      </c>
      <c r="AN32" s="72">
        <f t="shared" si="34"/>
        <v>2.083333333333337E-2</v>
      </c>
      <c r="AO32" s="73">
        <f t="shared" si="35"/>
        <v>0</v>
      </c>
      <c r="AP32" s="72" t="str">
        <f t="shared" si="36"/>
        <v>No</v>
      </c>
      <c r="AQ32" s="72">
        <f t="shared" si="37"/>
        <v>6.2500000000000888E-3</v>
      </c>
      <c r="AR32" s="72" t="str">
        <f t="shared" si="38"/>
        <v/>
      </c>
      <c r="AS32" s="72" t="str">
        <f t="shared" si="39"/>
        <v/>
      </c>
      <c r="AT32" s="72" t="str">
        <f t="shared" si="40"/>
        <v/>
      </c>
      <c r="AU32" s="3"/>
      <c r="AV32" s="3"/>
      <c r="AW32" s="48" t="s">
        <v>434</v>
      </c>
      <c r="AX32" s="3"/>
      <c r="AY32" s="20" t="s">
        <v>1158</v>
      </c>
      <c r="AZ32" s="46"/>
      <c r="BA32" s="20"/>
      <c r="BB32" s="46"/>
      <c r="BC32" s="20"/>
      <c r="BD32" s="20"/>
      <c r="BE32" s="20"/>
      <c r="BF32" s="47" t="str">
        <f t="shared" si="67"/>
        <v/>
      </c>
      <c r="BG32" s="3"/>
      <c r="BH32" s="57" t="s">
        <v>435</v>
      </c>
      <c r="BI32" s="57" t="s">
        <v>416</v>
      </c>
      <c r="BJ32" s="45">
        <f>COUNTA($P$2:$P$1288)</f>
        <v>134</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47"/>
        <v>0</v>
      </c>
      <c r="CO32" s="78">
        <f t="shared" si="48"/>
        <v>0</v>
      </c>
      <c r="CP32" s="78">
        <f t="shared" si="49"/>
        <v>0</v>
      </c>
      <c r="CQ32" s="78">
        <f t="shared" si="50"/>
        <v>0</v>
      </c>
      <c r="CR32" s="78">
        <f t="shared" si="51"/>
        <v>0</v>
      </c>
      <c r="CS32" s="78">
        <f t="shared" si="52"/>
        <v>0</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0</v>
      </c>
      <c r="DB32" s="78">
        <f t="shared" si="60"/>
        <v>0</v>
      </c>
      <c r="DC32" s="78">
        <f t="shared" si="61"/>
        <v>0</v>
      </c>
      <c r="DD32" s="78">
        <f t="shared" si="62"/>
        <v>0</v>
      </c>
      <c r="DE32" s="78">
        <f t="shared" si="63"/>
        <v>1</v>
      </c>
      <c r="DF32" s="78">
        <f t="shared" si="64"/>
        <v>1</v>
      </c>
      <c r="DG32" s="78">
        <f t="shared" si="65"/>
        <v>1</v>
      </c>
      <c r="DH32" s="78" t="str">
        <f t="shared" si="66"/>
        <v>1</v>
      </c>
      <c r="DI32" s="79" t="str">
        <f>IFERROR(IF(J32="","",VLOOKUP(J32,Lists!$D$3:$E$13,2,FALSE)),1)</f>
        <v/>
      </c>
      <c r="DJ32" s="79" t="str">
        <f>IFERROR(IF(K32="","",VLOOKUP(K32,Lists!$F$3:$G$14,2,FALSE)),1)</f>
        <v/>
      </c>
      <c r="DK32" s="79">
        <f>IFERROR(IF(M32="","",VLOOKUP(M32,Lists!$AA$3:$AB$18,2,FALSE)),1)</f>
        <v>0</v>
      </c>
      <c r="DL32" s="79">
        <f>IFERROR(IF(N32="","",VLOOKUP(N32,Lists!$AC$3:$AD$13,2,FALSE)),1)</f>
        <v>0</v>
      </c>
    </row>
    <row r="33" spans="1:116" ht="15" customHeight="1" x14ac:dyDescent="0.25">
      <c r="A33" s="20">
        <v>422787</v>
      </c>
      <c r="B33" s="19">
        <v>45670</v>
      </c>
      <c r="C33" s="64">
        <v>0.58333333333333337</v>
      </c>
      <c r="D33" s="64" t="s">
        <v>1136</v>
      </c>
      <c r="E33" s="19">
        <v>45665</v>
      </c>
      <c r="F33" s="20">
        <v>7</v>
      </c>
      <c r="G33" s="18" t="s">
        <v>1108</v>
      </c>
      <c r="H33" s="65"/>
      <c r="I33" s="18" t="s">
        <v>1108</v>
      </c>
      <c r="J33" s="66"/>
      <c r="K33" s="66"/>
      <c r="L33" s="67"/>
      <c r="M33" s="68" t="s">
        <v>29</v>
      </c>
      <c r="N33" s="68" t="s">
        <v>420</v>
      </c>
      <c r="O33" s="69" t="s">
        <v>1205</v>
      </c>
      <c r="P33" s="134">
        <v>0.58819444444444446</v>
      </c>
      <c r="Q33" s="70"/>
      <c r="R33" s="134">
        <v>0.60416666666666663</v>
      </c>
      <c r="S33" s="70"/>
      <c r="T33" s="134">
        <v>0.64583333333333337</v>
      </c>
      <c r="U33" s="70"/>
      <c r="V33" s="134">
        <v>0.65972222222222221</v>
      </c>
      <c r="W33" s="70"/>
      <c r="X33" s="134">
        <v>0.66041666666666665</v>
      </c>
      <c r="Y33" s="70"/>
      <c r="Z33" s="134">
        <v>0.66666666666666663</v>
      </c>
      <c r="AA33" s="70" t="s">
        <v>1121</v>
      </c>
      <c r="AB33" s="19">
        <v>45671</v>
      </c>
      <c r="AC33" s="20" t="s">
        <v>1108</v>
      </c>
      <c r="AD33" s="19"/>
      <c r="AE33" s="71">
        <f t="shared" si="25"/>
        <v>847</v>
      </c>
      <c r="AF33" s="71">
        <f t="shared" si="26"/>
        <v>950</v>
      </c>
      <c r="AG33" s="71">
        <f t="shared" si="27"/>
        <v>103</v>
      </c>
      <c r="AH33" s="71">
        <f t="shared" si="28"/>
        <v>103</v>
      </c>
      <c r="AI33" s="71" t="str">
        <f t="shared" si="29"/>
        <v/>
      </c>
      <c r="AJ33" s="71" t="str">
        <f t="shared" si="30"/>
        <v/>
      </c>
      <c r="AK33" s="71" t="str">
        <f t="shared" si="31"/>
        <v/>
      </c>
      <c r="AL33" s="71">
        <f t="shared" si="32"/>
        <v>103</v>
      </c>
      <c r="AM33" s="71">
        <f t="shared" si="33"/>
        <v>0</v>
      </c>
      <c r="AN33" s="72">
        <f t="shared" si="34"/>
        <v>2.0833333333333259E-2</v>
      </c>
      <c r="AO33" s="73">
        <f t="shared" si="35"/>
        <v>5</v>
      </c>
      <c r="AP33" s="72" t="str">
        <f t="shared" si="36"/>
        <v>No</v>
      </c>
      <c r="AQ33" s="72">
        <f t="shared" si="37"/>
        <v>6.2499999999999778E-3</v>
      </c>
      <c r="AR33" s="72" t="str">
        <f t="shared" si="38"/>
        <v/>
      </c>
      <c r="AS33" s="72" t="str">
        <f t="shared" si="39"/>
        <v/>
      </c>
      <c r="AT33" s="72" t="str">
        <f t="shared" si="40"/>
        <v/>
      </c>
      <c r="AU33" s="3"/>
      <c r="AV33" s="3"/>
      <c r="AW33" s="48" t="s">
        <v>436</v>
      </c>
      <c r="AX33" s="3"/>
      <c r="AY33" s="20" t="s">
        <v>1159</v>
      </c>
      <c r="AZ33" s="46"/>
      <c r="BA33" s="20"/>
      <c r="BB33" s="46"/>
      <c r="BC33" s="20"/>
      <c r="BD33" s="20"/>
      <c r="BE33" s="20"/>
      <c r="BF33" s="47" t="str">
        <f t="shared" si="67"/>
        <v/>
      </c>
      <c r="BG33" s="3"/>
      <c r="BH33" s="57" t="s">
        <v>437</v>
      </c>
      <c r="BI33" s="57" t="s">
        <v>416</v>
      </c>
      <c r="BJ33" s="45">
        <f>COUNTA($R$2:$R$1288)</f>
        <v>134</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47"/>
        <v>0</v>
      </c>
      <c r="CO33" s="78">
        <f t="shared" si="48"/>
        <v>0</v>
      </c>
      <c r="CP33" s="78">
        <f t="shared" si="49"/>
        <v>0</v>
      </c>
      <c r="CQ33" s="78">
        <f t="shared" si="50"/>
        <v>0</v>
      </c>
      <c r="CR33" s="78">
        <f t="shared" si="51"/>
        <v>0</v>
      </c>
      <c r="CS33" s="78">
        <f t="shared" si="52"/>
        <v>0</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0</v>
      </c>
      <c r="DC33" s="78">
        <f t="shared" si="61"/>
        <v>0</v>
      </c>
      <c r="DD33" s="78">
        <f t="shared" si="62"/>
        <v>0</v>
      </c>
      <c r="DE33" s="78">
        <f t="shared" si="63"/>
        <v>1</v>
      </c>
      <c r="DF33" s="78">
        <f t="shared" si="64"/>
        <v>1</v>
      </c>
      <c r="DG33" s="78">
        <f t="shared" si="65"/>
        <v>1</v>
      </c>
      <c r="DH33" s="78" t="str">
        <f t="shared" si="66"/>
        <v>1</v>
      </c>
      <c r="DI33" s="79" t="str">
        <f>IFERROR(IF(J33="","",VLOOKUP(J33,Lists!$D$3:$E$13,2,FALSE)),1)</f>
        <v/>
      </c>
      <c r="DJ33" s="79" t="str">
        <f>IFERROR(IF(K33="","",VLOOKUP(K33,Lists!$F$3:$G$14,2,FALSE)),1)</f>
        <v/>
      </c>
      <c r="DK33" s="79">
        <f>IFERROR(IF(M33="","",VLOOKUP(M33,Lists!$AA$3:$AB$18,2,FALSE)),1)</f>
        <v>0</v>
      </c>
      <c r="DL33" s="79">
        <f>IFERROR(IF(N33="","",VLOOKUP(N33,Lists!$AC$3:$AD$13,2,FALSE)),1)</f>
        <v>0</v>
      </c>
    </row>
    <row r="34" spans="1:116" ht="15" customHeight="1" x14ac:dyDescent="0.25">
      <c r="A34" s="20">
        <v>89937</v>
      </c>
      <c r="B34" s="19">
        <v>45670</v>
      </c>
      <c r="C34" s="64">
        <v>0.375</v>
      </c>
      <c r="D34" s="64" t="s">
        <v>1126</v>
      </c>
      <c r="E34" s="19">
        <v>45668</v>
      </c>
      <c r="F34" s="20">
        <v>4</v>
      </c>
      <c r="G34" s="18" t="s">
        <v>1108</v>
      </c>
      <c r="H34" s="65"/>
      <c r="I34" s="18" t="s">
        <v>1108</v>
      </c>
      <c r="J34" s="66"/>
      <c r="K34" s="66"/>
      <c r="L34" s="67"/>
      <c r="M34" s="68" t="s">
        <v>48</v>
      </c>
      <c r="N34" s="68" t="s">
        <v>420</v>
      </c>
      <c r="O34" s="69" t="s">
        <v>1206</v>
      </c>
      <c r="P34" s="134">
        <v>0.38680555555555557</v>
      </c>
      <c r="Q34" s="70"/>
      <c r="R34" s="134">
        <v>0.4236111111111111</v>
      </c>
      <c r="S34" s="70"/>
      <c r="T34" s="134">
        <v>0.46180555555555558</v>
      </c>
      <c r="U34" s="70"/>
      <c r="V34" s="134">
        <v>0.47222222222222227</v>
      </c>
      <c r="W34" s="70"/>
      <c r="X34" s="134">
        <v>0.47291666666666665</v>
      </c>
      <c r="Y34" s="70"/>
      <c r="Z34" s="134">
        <v>0.47916666666666669</v>
      </c>
      <c r="AA34" s="70" t="s">
        <v>1108</v>
      </c>
      <c r="AB34" s="19"/>
      <c r="AC34" s="20" t="s">
        <v>1108</v>
      </c>
      <c r="AD34" s="19"/>
      <c r="AE34" s="71">
        <f t="shared" si="25"/>
        <v>557</v>
      </c>
      <c r="AF34" s="71">
        <f t="shared" si="26"/>
        <v>680</v>
      </c>
      <c r="AG34" s="71">
        <f t="shared" si="27"/>
        <v>123</v>
      </c>
      <c r="AH34" s="71">
        <f t="shared" si="28"/>
        <v>123</v>
      </c>
      <c r="AI34" s="71" t="str">
        <f t="shared" si="29"/>
        <v/>
      </c>
      <c r="AJ34" s="71" t="str">
        <f t="shared" si="30"/>
        <v/>
      </c>
      <c r="AK34" s="71" t="str">
        <f t="shared" si="31"/>
        <v/>
      </c>
      <c r="AL34" s="71">
        <f t="shared" si="32"/>
        <v>123</v>
      </c>
      <c r="AM34" s="71">
        <f t="shared" si="33"/>
        <v>0</v>
      </c>
      <c r="AN34" s="72">
        <f t="shared" si="34"/>
        <v>4.8611111111111105E-2</v>
      </c>
      <c r="AO34" s="73">
        <f t="shared" si="35"/>
        <v>2</v>
      </c>
      <c r="AP34" s="72" t="str">
        <f t="shared" si="36"/>
        <v>No</v>
      </c>
      <c r="AQ34" s="72">
        <f t="shared" si="37"/>
        <v>6.2500000000000333E-3</v>
      </c>
      <c r="AR34" s="72" t="str">
        <f t="shared" si="38"/>
        <v/>
      </c>
      <c r="AS34" s="72" t="str">
        <f t="shared" si="39"/>
        <v/>
      </c>
      <c r="AT34" s="72" t="str">
        <f t="shared" si="40"/>
        <v/>
      </c>
      <c r="AU34" s="3"/>
      <c r="AV34" s="3"/>
      <c r="AW34" s="48" t="s">
        <v>438</v>
      </c>
      <c r="AX34" s="3"/>
      <c r="AY34" s="20" t="s">
        <v>1160</v>
      </c>
      <c r="AZ34" s="46"/>
      <c r="BA34" s="20"/>
      <c r="BB34" s="46"/>
      <c r="BC34" s="20"/>
      <c r="BD34" s="20"/>
      <c r="BE34" s="20"/>
      <c r="BF34" s="47" t="str">
        <f t="shared" si="67"/>
        <v/>
      </c>
      <c r="BG34" s="3"/>
      <c r="BH34" s="57" t="s">
        <v>439</v>
      </c>
      <c r="BI34" s="57" t="s">
        <v>416</v>
      </c>
      <c r="BJ34" s="45">
        <f>COUNTA($T$2:$T$1288)</f>
        <v>134</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47"/>
        <v>0</v>
      </c>
      <c r="CO34" s="78">
        <f t="shared" si="48"/>
        <v>0</v>
      </c>
      <c r="CP34" s="78">
        <f t="shared" si="49"/>
        <v>0</v>
      </c>
      <c r="CQ34" s="78">
        <f t="shared" si="50"/>
        <v>0</v>
      </c>
      <c r="CR34" s="78">
        <f t="shared" si="51"/>
        <v>0</v>
      </c>
      <c r="CS34" s="78">
        <f t="shared" si="52"/>
        <v>0</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0</v>
      </c>
      <c r="DB34" s="78">
        <f t="shared" si="60"/>
        <v>0</v>
      </c>
      <c r="DC34" s="78">
        <f t="shared" si="61"/>
        <v>0</v>
      </c>
      <c r="DD34" s="78">
        <f t="shared" si="62"/>
        <v>0</v>
      </c>
      <c r="DE34" s="78">
        <f t="shared" si="63"/>
        <v>1</v>
      </c>
      <c r="DF34" s="78">
        <f t="shared" si="64"/>
        <v>1</v>
      </c>
      <c r="DG34" s="78" t="str">
        <f t="shared" si="65"/>
        <v>1</v>
      </c>
      <c r="DH34" s="78" t="str">
        <f t="shared" si="66"/>
        <v>1</v>
      </c>
      <c r="DI34" s="79" t="str">
        <f>IFERROR(IF(J34="","",VLOOKUP(J34,Lists!$D$3:$E$13,2,FALSE)),1)</f>
        <v/>
      </c>
      <c r="DJ34" s="79" t="str">
        <f>IFERROR(IF(K34="","",VLOOKUP(K34,Lists!$F$3:$G$14,2,FALSE)),1)</f>
        <v/>
      </c>
      <c r="DK34" s="79">
        <f>IFERROR(IF(M34="","",VLOOKUP(M34,Lists!$AA$3:$AB$18,2,FALSE)),1)</f>
        <v>0</v>
      </c>
      <c r="DL34" s="79">
        <f>IFERROR(IF(N34="","",VLOOKUP(N34,Lists!$AC$3:$AD$13,2,FALSE)),1)</f>
        <v>0</v>
      </c>
    </row>
    <row r="35" spans="1:116" ht="15" customHeight="1" x14ac:dyDescent="0.25">
      <c r="A35" s="20">
        <v>423187</v>
      </c>
      <c r="B35" s="19">
        <v>45670</v>
      </c>
      <c r="C35" s="64">
        <v>0.5</v>
      </c>
      <c r="D35" s="64" t="s">
        <v>1132</v>
      </c>
      <c r="E35" s="19">
        <v>45668</v>
      </c>
      <c r="F35" s="20">
        <v>4</v>
      </c>
      <c r="G35" s="18" t="s">
        <v>1108</v>
      </c>
      <c r="H35" s="65"/>
      <c r="I35" s="18" t="s">
        <v>1108</v>
      </c>
      <c r="J35" s="66"/>
      <c r="K35" s="66"/>
      <c r="L35" s="67"/>
      <c r="M35" s="68" t="s">
        <v>39</v>
      </c>
      <c r="N35" s="68" t="s">
        <v>420</v>
      </c>
      <c r="O35" s="69" t="s">
        <v>1133</v>
      </c>
      <c r="P35" s="134">
        <v>0.5</v>
      </c>
      <c r="Q35" s="70"/>
      <c r="R35" s="134">
        <v>0.51388888888888895</v>
      </c>
      <c r="S35" s="70"/>
      <c r="T35" s="134">
        <v>0.54861111111111105</v>
      </c>
      <c r="U35" s="70"/>
      <c r="V35" s="134">
        <v>0.55555555555555558</v>
      </c>
      <c r="W35" s="70"/>
      <c r="X35" s="134">
        <v>0.55625000000000002</v>
      </c>
      <c r="Y35" s="70"/>
      <c r="Z35" s="134">
        <v>0.5625</v>
      </c>
      <c r="AA35" s="70" t="s">
        <v>1108</v>
      </c>
      <c r="AB35" s="19"/>
      <c r="AC35" s="20" t="s">
        <v>1108</v>
      </c>
      <c r="AD35" s="19"/>
      <c r="AE35" s="71">
        <f t="shared" si="25"/>
        <v>720</v>
      </c>
      <c r="AF35" s="71">
        <f t="shared" si="26"/>
        <v>800</v>
      </c>
      <c r="AG35" s="71">
        <f t="shared" si="27"/>
        <v>80</v>
      </c>
      <c r="AH35" s="71">
        <f t="shared" si="28"/>
        <v>80</v>
      </c>
      <c r="AI35" s="71" t="str">
        <f t="shared" si="29"/>
        <v/>
      </c>
      <c r="AJ35" s="71" t="str">
        <f t="shared" si="30"/>
        <v/>
      </c>
      <c r="AK35" s="71" t="str">
        <f t="shared" si="31"/>
        <v/>
      </c>
      <c r="AL35" s="71">
        <f t="shared" si="32"/>
        <v>80</v>
      </c>
      <c r="AM35" s="71">
        <f t="shared" si="33"/>
        <v>0</v>
      </c>
      <c r="AN35" s="72">
        <f t="shared" si="34"/>
        <v>1.3888888888888951E-2</v>
      </c>
      <c r="AO35" s="73">
        <f t="shared" si="35"/>
        <v>2</v>
      </c>
      <c r="AP35" s="72" t="str">
        <f t="shared" si="36"/>
        <v>No</v>
      </c>
      <c r="AQ35" s="72">
        <f t="shared" si="37"/>
        <v>6.2499999999999778E-3</v>
      </c>
      <c r="AR35" s="72" t="str">
        <f t="shared" si="38"/>
        <v/>
      </c>
      <c r="AS35" s="72" t="str">
        <f t="shared" si="39"/>
        <v/>
      </c>
      <c r="AT35" s="72" t="str">
        <f t="shared" si="40"/>
        <v/>
      </c>
      <c r="AU35" s="3"/>
      <c r="AV35" s="3"/>
      <c r="AW35" s="48" t="s">
        <v>440</v>
      </c>
      <c r="AX35" s="3"/>
      <c r="AY35" s="20" t="s">
        <v>1161</v>
      </c>
      <c r="AZ35" s="46"/>
      <c r="BA35" s="20"/>
      <c r="BB35" s="46"/>
      <c r="BC35" s="20"/>
      <c r="BD35" s="20"/>
      <c r="BE35" s="20"/>
      <c r="BF35" s="47" t="str">
        <f t="shared" si="67"/>
        <v/>
      </c>
      <c r="BG35" s="3"/>
      <c r="BH35" s="57" t="s">
        <v>441</v>
      </c>
      <c r="BI35" s="57" t="s">
        <v>416</v>
      </c>
      <c r="BJ35" s="45">
        <f>COUNTA($V$2:$V$1288)</f>
        <v>134</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47"/>
        <v>0</v>
      </c>
      <c r="CO35" s="78">
        <f t="shared" si="48"/>
        <v>0</v>
      </c>
      <c r="CP35" s="78">
        <f t="shared" si="49"/>
        <v>0</v>
      </c>
      <c r="CQ35" s="78">
        <f t="shared" si="50"/>
        <v>0</v>
      </c>
      <c r="CR35" s="78">
        <f t="shared" si="51"/>
        <v>0</v>
      </c>
      <c r="CS35" s="78">
        <f t="shared" si="52"/>
        <v>0</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0</v>
      </c>
      <c r="DB35" s="78">
        <f t="shared" si="60"/>
        <v>1</v>
      </c>
      <c r="DC35" s="78">
        <f t="shared" si="61"/>
        <v>0</v>
      </c>
      <c r="DD35" s="78">
        <f t="shared" si="62"/>
        <v>0</v>
      </c>
      <c r="DE35" s="78">
        <f t="shared" si="63"/>
        <v>1</v>
      </c>
      <c r="DF35" s="78">
        <f t="shared" si="64"/>
        <v>1</v>
      </c>
      <c r="DG35" s="78" t="str">
        <f t="shared" si="65"/>
        <v>1</v>
      </c>
      <c r="DH35" s="78" t="str">
        <f t="shared" si="66"/>
        <v>1</v>
      </c>
      <c r="DI35" s="79" t="str">
        <f>IFERROR(IF(J35="","",VLOOKUP(J35,Lists!$D$3:$E$13,2,FALSE)),1)</f>
        <v/>
      </c>
      <c r="DJ35" s="79" t="str">
        <f>IFERROR(IF(K35="","",VLOOKUP(K35,Lists!$F$3:$G$14,2,FALSE)),1)</f>
        <v/>
      </c>
      <c r="DK35" s="79">
        <f>IFERROR(IF(M35="","",VLOOKUP(M35,Lists!$AA$3:$AB$18,2,FALSE)),1)</f>
        <v>0</v>
      </c>
      <c r="DL35" s="79">
        <f>IFERROR(IF(N35="","",VLOOKUP(N35,Lists!$AC$3:$AD$13,2,FALSE)),1)</f>
        <v>0</v>
      </c>
    </row>
    <row r="36" spans="1:116" ht="15" customHeight="1" x14ac:dyDescent="0.25">
      <c r="A36" s="20">
        <v>423511</v>
      </c>
      <c r="B36" s="19">
        <v>45670</v>
      </c>
      <c r="C36" s="64">
        <v>0.58333333333333337</v>
      </c>
      <c r="D36" s="64" t="s">
        <v>1128</v>
      </c>
      <c r="E36" s="19">
        <v>45670</v>
      </c>
      <c r="F36" s="20">
        <v>4</v>
      </c>
      <c r="G36" s="18" t="s">
        <v>1108</v>
      </c>
      <c r="H36" s="65"/>
      <c r="I36" s="18" t="s">
        <v>1108</v>
      </c>
      <c r="J36" s="66"/>
      <c r="K36" s="66"/>
      <c r="L36" s="67"/>
      <c r="M36" s="68" t="s">
        <v>39</v>
      </c>
      <c r="N36" s="68" t="s">
        <v>420</v>
      </c>
      <c r="O36" s="69" t="s">
        <v>1207</v>
      </c>
      <c r="P36" s="134">
        <v>0.58333333333333337</v>
      </c>
      <c r="Q36" s="70"/>
      <c r="R36" s="134">
        <v>0.60416666666666663</v>
      </c>
      <c r="S36" s="70"/>
      <c r="T36" s="134">
        <v>0.64583333333333337</v>
      </c>
      <c r="U36" s="70"/>
      <c r="V36" s="134">
        <v>0.65972222222222221</v>
      </c>
      <c r="W36" s="70"/>
      <c r="X36" s="134">
        <v>0.66041666666666665</v>
      </c>
      <c r="Y36" s="70"/>
      <c r="Z36" s="134">
        <v>0.66666666666666663</v>
      </c>
      <c r="AA36" s="70" t="s">
        <v>1108</v>
      </c>
      <c r="AB36" s="19"/>
      <c r="AC36" s="20" t="s">
        <v>1108</v>
      </c>
      <c r="AD36" s="19"/>
      <c r="AE36" s="71">
        <f t="shared" si="25"/>
        <v>840</v>
      </c>
      <c r="AF36" s="71">
        <f t="shared" si="26"/>
        <v>950</v>
      </c>
      <c r="AG36" s="71">
        <f t="shared" si="27"/>
        <v>110</v>
      </c>
      <c r="AH36" s="71">
        <f t="shared" si="28"/>
        <v>110</v>
      </c>
      <c r="AI36" s="71" t="str">
        <f t="shared" si="29"/>
        <v/>
      </c>
      <c r="AJ36" s="71" t="str">
        <f t="shared" si="30"/>
        <v/>
      </c>
      <c r="AK36" s="71" t="str">
        <f t="shared" si="31"/>
        <v/>
      </c>
      <c r="AL36" s="71">
        <f t="shared" si="32"/>
        <v>110</v>
      </c>
      <c r="AM36" s="71">
        <f t="shared" si="33"/>
        <v>0</v>
      </c>
      <c r="AN36" s="72">
        <f t="shared" si="34"/>
        <v>2.0833333333333259E-2</v>
      </c>
      <c r="AO36" s="73">
        <f t="shared" si="35"/>
        <v>0</v>
      </c>
      <c r="AP36" s="72" t="str">
        <f t="shared" si="36"/>
        <v>No</v>
      </c>
      <c r="AQ36" s="72">
        <f t="shared" si="37"/>
        <v>6.2499999999999778E-3</v>
      </c>
      <c r="AR36" s="72" t="str">
        <f t="shared" si="38"/>
        <v/>
      </c>
      <c r="AS36" s="72" t="str">
        <f t="shared" si="39"/>
        <v/>
      </c>
      <c r="AT36" s="72" t="str">
        <f t="shared" si="40"/>
        <v/>
      </c>
      <c r="AU36" s="3"/>
      <c r="AV36" s="3"/>
      <c r="AW36" s="48" t="s">
        <v>442</v>
      </c>
      <c r="AX36" s="3"/>
      <c r="AY36" s="20" t="s">
        <v>1162</v>
      </c>
      <c r="AZ36" s="46"/>
      <c r="BA36" s="20"/>
      <c r="BB36" s="46"/>
      <c r="BC36" s="20"/>
      <c r="BD36" s="20"/>
      <c r="BE36" s="20"/>
      <c r="BF36" s="47" t="str">
        <f t="shared" si="67"/>
        <v/>
      </c>
      <c r="BG36" s="3"/>
      <c r="BH36" s="57" t="s">
        <v>443</v>
      </c>
      <c r="BI36" s="57" t="s">
        <v>416</v>
      </c>
      <c r="BJ36" s="45">
        <f>COUNTA($X$2:$X$1288)</f>
        <v>134</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47"/>
        <v>0</v>
      </c>
      <c r="CO36" s="78">
        <f t="shared" si="48"/>
        <v>0</v>
      </c>
      <c r="CP36" s="78">
        <f t="shared" si="49"/>
        <v>0</v>
      </c>
      <c r="CQ36" s="78">
        <f t="shared" si="50"/>
        <v>0</v>
      </c>
      <c r="CR36" s="78">
        <f t="shared" si="51"/>
        <v>0</v>
      </c>
      <c r="CS36" s="78">
        <f t="shared" si="52"/>
        <v>0</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0</v>
      </c>
      <c r="DC36" s="78">
        <f t="shared" si="61"/>
        <v>0</v>
      </c>
      <c r="DD36" s="78">
        <f t="shared" si="62"/>
        <v>0</v>
      </c>
      <c r="DE36" s="78">
        <f t="shared" si="63"/>
        <v>1</v>
      </c>
      <c r="DF36" s="78">
        <f t="shared" si="64"/>
        <v>1</v>
      </c>
      <c r="DG36" s="78" t="str">
        <f t="shared" si="65"/>
        <v>1</v>
      </c>
      <c r="DH36" s="78" t="str">
        <f t="shared" si="66"/>
        <v>1</v>
      </c>
      <c r="DI36" s="79" t="str">
        <f>IFERROR(IF(J36="","",VLOOKUP(J36,Lists!$D$3:$E$13,2,FALSE)),1)</f>
        <v/>
      </c>
      <c r="DJ36" s="79" t="str">
        <f>IFERROR(IF(K36="","",VLOOKUP(K36,Lists!$F$3:$G$14,2,FALSE)),1)</f>
        <v/>
      </c>
      <c r="DK36" s="79">
        <f>IFERROR(IF(M36="","",VLOOKUP(M36,Lists!$AA$3:$AB$18,2,FALSE)),1)</f>
        <v>0</v>
      </c>
      <c r="DL36" s="79">
        <f>IFERROR(IF(N36="","",VLOOKUP(N36,Lists!$AC$3:$AD$13,2,FALSE)),1)</f>
        <v>0</v>
      </c>
    </row>
    <row r="37" spans="1:116" ht="15" customHeight="1" x14ac:dyDescent="0.25">
      <c r="A37" s="20">
        <v>423158</v>
      </c>
      <c r="B37" s="19">
        <v>45670</v>
      </c>
      <c r="C37" s="64">
        <v>0.33333333333333331</v>
      </c>
      <c r="D37" s="64" t="s">
        <v>1115</v>
      </c>
      <c r="E37" s="19">
        <v>45667</v>
      </c>
      <c r="F37" s="20">
        <v>5</v>
      </c>
      <c r="G37" s="18" t="s">
        <v>1108</v>
      </c>
      <c r="H37" s="65"/>
      <c r="I37" s="18" t="s">
        <v>1108</v>
      </c>
      <c r="J37" s="66"/>
      <c r="K37" s="66"/>
      <c r="L37" s="67"/>
      <c r="M37" s="68" t="s">
        <v>39</v>
      </c>
      <c r="N37" s="68" t="s">
        <v>420</v>
      </c>
      <c r="O37" s="69" t="s">
        <v>1116</v>
      </c>
      <c r="P37" s="134">
        <v>0.33194444444444443</v>
      </c>
      <c r="Q37" s="70"/>
      <c r="R37" s="134">
        <v>0.35902777777777778</v>
      </c>
      <c r="S37" s="70"/>
      <c r="T37" s="134">
        <v>0.45833333333333331</v>
      </c>
      <c r="U37" s="70"/>
      <c r="V37" s="134">
        <v>0.47222222222222227</v>
      </c>
      <c r="W37" s="70"/>
      <c r="X37" s="134">
        <v>0.47291666666666665</v>
      </c>
      <c r="Y37" s="70"/>
      <c r="Z37" s="134">
        <v>0.47916666666666669</v>
      </c>
      <c r="AA37" s="70" t="s">
        <v>1108</v>
      </c>
      <c r="AB37" s="19"/>
      <c r="AC37" s="20" t="s">
        <v>1108</v>
      </c>
      <c r="AD37" s="19"/>
      <c r="AE37" s="71">
        <f t="shared" si="25"/>
        <v>478</v>
      </c>
      <c r="AF37" s="71">
        <f t="shared" si="26"/>
        <v>680</v>
      </c>
      <c r="AG37" s="71">
        <f t="shared" si="27"/>
        <v>202</v>
      </c>
      <c r="AH37" s="71">
        <f t="shared" si="28"/>
        <v>0</v>
      </c>
      <c r="AI37" s="71">
        <f t="shared" si="29"/>
        <v>200</v>
      </c>
      <c r="AJ37" s="71" t="str">
        <f t="shared" si="30"/>
        <v/>
      </c>
      <c r="AK37" s="71" t="str">
        <f t="shared" si="31"/>
        <v/>
      </c>
      <c r="AL37" s="71">
        <f t="shared" si="32"/>
        <v>200</v>
      </c>
      <c r="AM37" s="71">
        <f t="shared" si="33"/>
        <v>2</v>
      </c>
      <c r="AN37" s="72">
        <f t="shared" si="34"/>
        <v>2.5694444444444464E-2</v>
      </c>
      <c r="AO37" s="73">
        <f t="shared" si="35"/>
        <v>3</v>
      </c>
      <c r="AP37" s="72" t="str">
        <f t="shared" si="36"/>
        <v>No</v>
      </c>
      <c r="AQ37" s="72">
        <f t="shared" si="37"/>
        <v>6.2500000000000333E-3</v>
      </c>
      <c r="AR37" s="72" t="str">
        <f t="shared" si="38"/>
        <v/>
      </c>
      <c r="AS37" s="72" t="str">
        <f t="shared" si="39"/>
        <v/>
      </c>
      <c r="AT37" s="72" t="str">
        <f t="shared" si="40"/>
        <v/>
      </c>
      <c r="AU37" s="3"/>
      <c r="AV37" s="3"/>
      <c r="AW37" s="3"/>
      <c r="AX37" s="3"/>
      <c r="AY37" s="20" t="s">
        <v>1163</v>
      </c>
      <c r="AZ37" s="46"/>
      <c r="BA37" s="20"/>
      <c r="BB37" s="46"/>
      <c r="BC37" s="20"/>
      <c r="BD37" s="20"/>
      <c r="BE37" s="20"/>
      <c r="BF37" s="47" t="str">
        <f t="shared" si="67"/>
        <v/>
      </c>
      <c r="BG37" s="3"/>
      <c r="BH37" s="57" t="s">
        <v>444</v>
      </c>
      <c r="BI37" s="57" t="s">
        <v>416</v>
      </c>
      <c r="BJ37" s="45">
        <f>COUNTA($Z$2:$Z$1288)</f>
        <v>134</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47"/>
        <v>0</v>
      </c>
      <c r="CO37" s="78">
        <f t="shared" si="48"/>
        <v>0</v>
      </c>
      <c r="CP37" s="78">
        <f t="shared" si="49"/>
        <v>0</v>
      </c>
      <c r="CQ37" s="78">
        <f t="shared" si="50"/>
        <v>0</v>
      </c>
      <c r="CR37" s="78">
        <f t="shared" si="51"/>
        <v>0</v>
      </c>
      <c r="CS37" s="78">
        <f t="shared" si="52"/>
        <v>0</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f t="shared" si="63"/>
        <v>1</v>
      </c>
      <c r="DF37" s="78">
        <f t="shared" si="64"/>
        <v>1</v>
      </c>
      <c r="DG37" s="78" t="str">
        <f t="shared" si="65"/>
        <v>1</v>
      </c>
      <c r="DH37" s="78" t="str">
        <f t="shared" si="66"/>
        <v>1</v>
      </c>
      <c r="DI37" s="79" t="str">
        <f>IFERROR(IF(J37="","",VLOOKUP(J37,Lists!$D$3:$E$13,2,FALSE)),1)</f>
        <v/>
      </c>
      <c r="DJ37" s="79" t="str">
        <f>IFERROR(IF(K37="","",VLOOKUP(K37,Lists!$F$3:$G$14,2,FALSE)),1)</f>
        <v/>
      </c>
      <c r="DK37" s="79">
        <f>IFERROR(IF(M37="","",VLOOKUP(M37,Lists!$AA$3:$AB$18,2,FALSE)),1)</f>
        <v>0</v>
      </c>
      <c r="DL37" s="79">
        <f>IFERROR(IF(N37="","",VLOOKUP(N37,Lists!$AC$3:$AD$13,2,FALSE)),1)</f>
        <v>0</v>
      </c>
    </row>
    <row r="38" spans="1:116" ht="15" customHeight="1" x14ac:dyDescent="0.25">
      <c r="A38" s="20">
        <v>187834</v>
      </c>
      <c r="B38" s="19">
        <v>45670</v>
      </c>
      <c r="C38" s="64">
        <v>0.5</v>
      </c>
      <c r="D38" s="64" t="s">
        <v>1127</v>
      </c>
      <c r="E38" s="19">
        <v>45668</v>
      </c>
      <c r="F38" s="20">
        <v>5</v>
      </c>
      <c r="G38" s="18" t="s">
        <v>1108</v>
      </c>
      <c r="H38" s="65"/>
      <c r="I38" s="18" t="s">
        <v>1108</v>
      </c>
      <c r="J38" s="66"/>
      <c r="K38" s="66"/>
      <c r="L38" s="67"/>
      <c r="M38" s="68" t="s">
        <v>39</v>
      </c>
      <c r="N38" s="68" t="s">
        <v>420</v>
      </c>
      <c r="O38" s="69" t="s">
        <v>1193</v>
      </c>
      <c r="P38" s="134">
        <v>0.5</v>
      </c>
      <c r="Q38" s="70"/>
      <c r="R38" s="134">
        <v>0.54166666666666663</v>
      </c>
      <c r="S38" s="70"/>
      <c r="T38" s="134">
        <v>0.66666666666666663</v>
      </c>
      <c r="U38" s="70"/>
      <c r="V38" s="134">
        <v>0.67708333333333337</v>
      </c>
      <c r="W38" s="70"/>
      <c r="X38" s="134">
        <v>0.6777777777777777</v>
      </c>
      <c r="Y38" s="70"/>
      <c r="Z38" s="134">
        <v>0.68402777777777779</v>
      </c>
      <c r="AA38" s="70" t="s">
        <v>1108</v>
      </c>
      <c r="AB38" s="19"/>
      <c r="AC38" s="20" t="s">
        <v>1108</v>
      </c>
      <c r="AD38" s="19"/>
      <c r="AE38" s="71">
        <f t="shared" si="25"/>
        <v>720</v>
      </c>
      <c r="AF38" s="71">
        <f t="shared" si="26"/>
        <v>975</v>
      </c>
      <c r="AG38" s="71">
        <f t="shared" si="27"/>
        <v>255</v>
      </c>
      <c r="AH38" s="71" t="str">
        <f t="shared" si="28"/>
        <v/>
      </c>
      <c r="AI38" s="71" t="str">
        <f t="shared" si="29"/>
        <v/>
      </c>
      <c r="AJ38" s="71">
        <f t="shared" si="30"/>
        <v>240</v>
      </c>
      <c r="AK38" s="71" t="str">
        <f t="shared" si="31"/>
        <v/>
      </c>
      <c r="AL38" s="71">
        <f t="shared" si="32"/>
        <v>240</v>
      </c>
      <c r="AM38" s="71">
        <f t="shared" si="33"/>
        <v>15</v>
      </c>
      <c r="AN38" s="72">
        <f t="shared" si="34"/>
        <v>4.166666666666663E-2</v>
      </c>
      <c r="AO38" s="73">
        <f t="shared" si="35"/>
        <v>2</v>
      </c>
      <c r="AP38" s="72" t="str">
        <f t="shared" si="36"/>
        <v>No</v>
      </c>
      <c r="AQ38" s="72">
        <f t="shared" si="37"/>
        <v>6.2500000000000888E-3</v>
      </c>
      <c r="AR38" s="72" t="str">
        <f t="shared" si="38"/>
        <v/>
      </c>
      <c r="AS38" s="72" t="str">
        <f t="shared" si="39"/>
        <v/>
      </c>
      <c r="AT38" s="72" t="str">
        <f t="shared" si="40"/>
        <v/>
      </c>
      <c r="AU38" s="3"/>
      <c r="AV38" s="3"/>
      <c r="AW38" s="3"/>
      <c r="AX38" s="3"/>
      <c r="AY38" s="20" t="s">
        <v>1164</v>
      </c>
      <c r="AZ38" s="46"/>
      <c r="BA38" s="20"/>
      <c r="BB38" s="46"/>
      <c r="BC38" s="20"/>
      <c r="BD38" s="20"/>
      <c r="BE38" s="20"/>
      <c r="BF38" s="47" t="str">
        <f t="shared" si="67"/>
        <v/>
      </c>
      <c r="BG38" s="3"/>
      <c r="BH38" s="57" t="s">
        <v>445</v>
      </c>
      <c r="BI38" s="57" t="s">
        <v>416</v>
      </c>
      <c r="BJ38" s="45">
        <f>COUNTIF($AA$2:$AA$1288,"Yes")</f>
        <v>91</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47"/>
        <v>0</v>
      </c>
      <c r="CO38" s="78">
        <f t="shared" si="48"/>
        <v>0</v>
      </c>
      <c r="CP38" s="78">
        <f t="shared" si="49"/>
        <v>0</v>
      </c>
      <c r="CQ38" s="78">
        <f t="shared" si="50"/>
        <v>0</v>
      </c>
      <c r="CR38" s="78">
        <f t="shared" si="51"/>
        <v>0</v>
      </c>
      <c r="CS38" s="78">
        <f t="shared" si="52"/>
        <v>0</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0</v>
      </c>
      <c r="DC38" s="78">
        <f t="shared" si="61"/>
        <v>0</v>
      </c>
      <c r="DD38" s="78">
        <f t="shared" si="62"/>
        <v>0</v>
      </c>
      <c r="DE38" s="78">
        <f t="shared" si="63"/>
        <v>1</v>
      </c>
      <c r="DF38" s="78">
        <f t="shared" si="64"/>
        <v>1</v>
      </c>
      <c r="DG38" s="78" t="str">
        <f t="shared" si="65"/>
        <v>1</v>
      </c>
      <c r="DH38" s="78" t="str">
        <f t="shared" si="66"/>
        <v>1</v>
      </c>
      <c r="DI38" s="79" t="str">
        <f>IFERROR(IF(J38="","",VLOOKUP(J38,Lists!$D$3:$E$13,2,FALSE)),1)</f>
        <v/>
      </c>
      <c r="DJ38" s="79" t="str">
        <f>IFERROR(IF(K38="","",VLOOKUP(K38,Lists!$F$3:$G$14,2,FALSE)),1)</f>
        <v/>
      </c>
      <c r="DK38" s="79">
        <f>IFERROR(IF(M38="","",VLOOKUP(M38,Lists!$AA$3:$AB$18,2,FALSE)),1)</f>
        <v>0</v>
      </c>
      <c r="DL38" s="79">
        <f>IFERROR(IF(N38="","",VLOOKUP(N38,Lists!$AC$3:$AD$13,2,FALSE)),1)</f>
        <v>0</v>
      </c>
    </row>
    <row r="39" spans="1:116" ht="15" customHeight="1" x14ac:dyDescent="0.25">
      <c r="A39" s="20">
        <v>66953</v>
      </c>
      <c r="B39" s="19">
        <v>45670</v>
      </c>
      <c r="C39" s="64">
        <v>0.33333333333333331</v>
      </c>
      <c r="D39" s="64" t="s">
        <v>1154</v>
      </c>
      <c r="E39" s="19">
        <v>45658</v>
      </c>
      <c r="F39" s="20">
        <v>1</v>
      </c>
      <c r="G39" s="18" t="s">
        <v>1108</v>
      </c>
      <c r="H39" s="65"/>
      <c r="I39" s="18" t="s">
        <v>1108</v>
      </c>
      <c r="J39" s="66"/>
      <c r="K39" s="66"/>
      <c r="L39" s="67"/>
      <c r="M39" s="68" t="s">
        <v>33</v>
      </c>
      <c r="N39" s="68" t="s">
        <v>420</v>
      </c>
      <c r="O39" s="69" t="s">
        <v>1208</v>
      </c>
      <c r="P39" s="134">
        <v>0.33263888888888887</v>
      </c>
      <c r="Q39" s="70"/>
      <c r="R39" s="134">
        <v>0.36041666666666666</v>
      </c>
      <c r="S39" s="70"/>
      <c r="T39" s="134">
        <v>0.65555555555555556</v>
      </c>
      <c r="U39" s="70"/>
      <c r="V39" s="134">
        <v>0.72569444444444453</v>
      </c>
      <c r="W39" s="70"/>
      <c r="X39" s="134">
        <v>0.72638888888888886</v>
      </c>
      <c r="Y39" s="70"/>
      <c r="Z39" s="134">
        <v>0.73263888888888884</v>
      </c>
      <c r="AA39" s="70" t="s">
        <v>1108</v>
      </c>
      <c r="AB39" s="19"/>
      <c r="AC39" s="20" t="s">
        <v>1108</v>
      </c>
      <c r="AD39" s="19"/>
      <c r="AE39" s="71">
        <f t="shared" si="25"/>
        <v>479</v>
      </c>
      <c r="AF39" s="71">
        <f t="shared" si="26"/>
        <v>1045</v>
      </c>
      <c r="AG39" s="71">
        <f t="shared" si="27"/>
        <v>566</v>
      </c>
      <c r="AH39" s="71">
        <f t="shared" si="28"/>
        <v>0</v>
      </c>
      <c r="AI39" s="71">
        <f t="shared" si="29"/>
        <v>480</v>
      </c>
      <c r="AJ39" s="71" t="str">
        <f t="shared" si="30"/>
        <v/>
      </c>
      <c r="AK39" s="71" t="str">
        <f t="shared" si="31"/>
        <v/>
      </c>
      <c r="AL39" s="71">
        <f t="shared" si="32"/>
        <v>480</v>
      </c>
      <c r="AM39" s="71">
        <f t="shared" si="33"/>
        <v>86</v>
      </c>
      <c r="AN39" s="72">
        <f t="shared" si="34"/>
        <v>2.7083333333333348E-2</v>
      </c>
      <c r="AO39" s="73">
        <f t="shared" si="35"/>
        <v>12</v>
      </c>
      <c r="AP39" s="72" t="str">
        <f t="shared" si="36"/>
        <v>No</v>
      </c>
      <c r="AQ39" s="72">
        <f t="shared" si="37"/>
        <v>6.2499999999999778E-3</v>
      </c>
      <c r="AR39" s="72" t="str">
        <f t="shared" si="38"/>
        <v/>
      </c>
      <c r="AS39" s="72" t="str">
        <f t="shared" si="39"/>
        <v/>
      </c>
      <c r="AT39" s="72" t="str">
        <f t="shared" si="40"/>
        <v/>
      </c>
      <c r="AU39" s="3"/>
      <c r="AV39" s="3"/>
      <c r="AW39" s="3"/>
      <c r="AX39" s="3"/>
      <c r="AY39" s="20" t="s">
        <v>1165</v>
      </c>
      <c r="AZ39" s="46"/>
      <c r="BA39" s="20"/>
      <c r="BB39" s="46"/>
      <c r="BC39" s="20"/>
      <c r="BD39" s="20"/>
      <c r="BE39" s="20"/>
      <c r="BF39" s="47" t="str">
        <f t="shared" si="67"/>
        <v/>
      </c>
      <c r="BG39" s="3"/>
      <c r="BH39" s="57" t="s">
        <v>446</v>
      </c>
      <c r="BI39" s="57" t="s">
        <v>416</v>
      </c>
      <c r="BJ39" s="45">
        <f>COUNTIF($AA$2:$AA$1288,"No")</f>
        <v>43</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47"/>
        <v>0</v>
      </c>
      <c r="CO39" s="78">
        <f t="shared" si="48"/>
        <v>0</v>
      </c>
      <c r="CP39" s="78">
        <f t="shared" si="49"/>
        <v>0</v>
      </c>
      <c r="CQ39" s="78">
        <f t="shared" si="50"/>
        <v>0</v>
      </c>
      <c r="CR39" s="78">
        <f t="shared" si="51"/>
        <v>0</v>
      </c>
      <c r="CS39" s="78">
        <f t="shared" si="52"/>
        <v>0</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0</v>
      </c>
      <c r="DC39" s="78">
        <f t="shared" si="61"/>
        <v>0</v>
      </c>
      <c r="DD39" s="78">
        <f t="shared" si="62"/>
        <v>0</v>
      </c>
      <c r="DE39" s="78">
        <f t="shared" si="63"/>
        <v>1</v>
      </c>
      <c r="DF39" s="78">
        <f t="shared" si="64"/>
        <v>1</v>
      </c>
      <c r="DG39" s="78" t="str">
        <f t="shared" si="65"/>
        <v>1</v>
      </c>
      <c r="DH39" s="78" t="str">
        <f t="shared" si="66"/>
        <v>1</v>
      </c>
      <c r="DI39" s="79" t="str">
        <f>IFERROR(IF(J39="","",VLOOKUP(J39,Lists!$D$3:$E$13,2,FALSE)),1)</f>
        <v/>
      </c>
      <c r="DJ39" s="79" t="str">
        <f>IFERROR(IF(K39="","",VLOOKUP(K39,Lists!$F$3:$G$14,2,FALSE)),1)</f>
        <v/>
      </c>
      <c r="DK39" s="79">
        <f>IFERROR(IF(M39="","",VLOOKUP(M39,Lists!$AA$3:$AB$18,2,FALSE)),1)</f>
        <v>0</v>
      </c>
      <c r="DL39" s="79">
        <f>IFERROR(IF(N39="","",VLOOKUP(N39,Lists!$AC$3:$AD$13,2,FALSE)),1)</f>
        <v>0</v>
      </c>
    </row>
    <row r="40" spans="1:116" ht="15" customHeight="1" x14ac:dyDescent="0.25">
      <c r="A40" s="20">
        <v>421494</v>
      </c>
      <c r="B40" s="19">
        <v>45670</v>
      </c>
      <c r="C40" s="64">
        <v>0.33333333333333331</v>
      </c>
      <c r="D40" s="64" t="s">
        <v>1119</v>
      </c>
      <c r="E40" s="19">
        <v>45670</v>
      </c>
      <c r="F40" s="20">
        <v>2</v>
      </c>
      <c r="G40" s="18" t="s">
        <v>1108</v>
      </c>
      <c r="H40" s="65"/>
      <c r="I40" s="18" t="s">
        <v>1121</v>
      </c>
      <c r="J40" s="66" t="s">
        <v>42</v>
      </c>
      <c r="K40" s="66" t="s">
        <v>420</v>
      </c>
      <c r="L40" s="67" t="s">
        <v>488</v>
      </c>
      <c r="M40" s="68"/>
      <c r="N40" s="68"/>
      <c r="O40" s="69"/>
      <c r="P40" s="134">
        <v>0.32916666666666666</v>
      </c>
      <c r="Q40" s="70"/>
      <c r="R40" s="134">
        <v>0.3520833333333333</v>
      </c>
      <c r="S40" s="70"/>
      <c r="T40" s="134">
        <v>0.3611111111111111</v>
      </c>
      <c r="U40" s="70"/>
      <c r="V40" s="134">
        <v>0.36458333333333331</v>
      </c>
      <c r="W40" s="70"/>
      <c r="X40" s="134">
        <v>0.36527777777777781</v>
      </c>
      <c r="Y40" s="70"/>
      <c r="Z40" s="134">
        <v>0.37152777777777773</v>
      </c>
      <c r="AA40" s="70" t="s">
        <v>1121</v>
      </c>
      <c r="AB40" s="19">
        <v>45670</v>
      </c>
      <c r="AC40" s="20" t="s">
        <v>1108</v>
      </c>
      <c r="AD40" s="19"/>
      <c r="AE40" s="71">
        <f t="shared" si="25"/>
        <v>474</v>
      </c>
      <c r="AF40" s="71">
        <f t="shared" si="26"/>
        <v>525</v>
      </c>
      <c r="AG40" s="71">
        <f t="shared" si="27"/>
        <v>51</v>
      </c>
      <c r="AH40" s="71">
        <f t="shared" si="28"/>
        <v>0</v>
      </c>
      <c r="AI40" s="71">
        <f t="shared" si="29"/>
        <v>45</v>
      </c>
      <c r="AJ40" s="71" t="str">
        <f t="shared" si="30"/>
        <v/>
      </c>
      <c r="AK40" s="71" t="str">
        <f t="shared" si="31"/>
        <v/>
      </c>
      <c r="AL40" s="71">
        <f t="shared" si="32"/>
        <v>45</v>
      </c>
      <c r="AM40" s="71">
        <f t="shared" si="33"/>
        <v>6</v>
      </c>
      <c r="AN40" s="72">
        <f t="shared" si="34"/>
        <v>1.8749999999999989E-2</v>
      </c>
      <c r="AO40" s="73">
        <f t="shared" si="35"/>
        <v>0</v>
      </c>
      <c r="AP40" s="72" t="str">
        <f t="shared" si="36"/>
        <v>No</v>
      </c>
      <c r="AQ40" s="72">
        <f t="shared" si="37"/>
        <v>6.2499999999999223E-3</v>
      </c>
      <c r="AR40" s="72" t="str">
        <f t="shared" si="38"/>
        <v>Yes</v>
      </c>
      <c r="AS40" s="72" t="str">
        <f t="shared" si="39"/>
        <v>No</v>
      </c>
      <c r="AT40" s="72" t="str">
        <f t="shared" si="40"/>
        <v>No</v>
      </c>
      <c r="AU40" s="3"/>
      <c r="AV40" s="3"/>
      <c r="AW40" s="3"/>
      <c r="AX40" s="3"/>
      <c r="AY40" s="20" t="s">
        <v>1166</v>
      </c>
      <c r="AZ40" s="46"/>
      <c r="BA40" s="20"/>
      <c r="BB40" s="46"/>
      <c r="BC40" s="20"/>
      <c r="BD40" s="20"/>
      <c r="BE40" s="20"/>
      <c r="BF40" s="47" t="str">
        <f t="shared" si="67"/>
        <v/>
      </c>
      <c r="BG40" s="3"/>
      <c r="BH40" s="57" t="s">
        <v>447</v>
      </c>
      <c r="BI40" s="57" t="s">
        <v>416</v>
      </c>
      <c r="BJ40" s="45">
        <f>SUM(BJ38:BJ39)</f>
        <v>134</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47"/>
        <v>0</v>
      </c>
      <c r="CO40" s="78">
        <f t="shared" si="48"/>
        <v>0</v>
      </c>
      <c r="CP40" s="78">
        <f t="shared" si="49"/>
        <v>0</v>
      </c>
      <c r="CQ40" s="78">
        <f t="shared" si="50"/>
        <v>0</v>
      </c>
      <c r="CR40" s="78">
        <f t="shared" si="51"/>
        <v>0</v>
      </c>
      <c r="CS40" s="78">
        <f t="shared" si="52"/>
        <v>0</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0</v>
      </c>
      <c r="DC40" s="78">
        <f t="shared" si="61"/>
        <v>0</v>
      </c>
      <c r="DD40" s="78">
        <f t="shared" si="62"/>
        <v>0</v>
      </c>
      <c r="DE40" s="78">
        <f t="shared" si="63"/>
        <v>1</v>
      </c>
      <c r="DF40" s="78">
        <f t="shared" si="64"/>
        <v>1</v>
      </c>
      <c r="DG40" s="78">
        <f t="shared" si="65"/>
        <v>1</v>
      </c>
      <c r="DH40" s="78" t="str">
        <f t="shared" si="66"/>
        <v>1</v>
      </c>
      <c r="DI40" s="79">
        <f>IFERROR(IF(J40="","",VLOOKUP(J40,Lists!$D$3:$E$13,2,FALSE)),1)</f>
        <v>0</v>
      </c>
      <c r="DJ40" s="79">
        <f>IFERROR(IF(K40="","",VLOOKUP(K40,Lists!$F$3:$G$14,2,FALSE)),1)</f>
        <v>0</v>
      </c>
      <c r="DK40" s="79" t="str">
        <f>IFERROR(IF(M40="","",VLOOKUP(M40,Lists!$AA$3:$AB$18,2,FALSE)),1)</f>
        <v/>
      </c>
      <c r="DL40" s="79" t="str">
        <f>IFERROR(IF(N40="","",VLOOKUP(N40,Lists!$AC$3:$AD$13,2,FALSE)),1)</f>
        <v/>
      </c>
    </row>
    <row r="41" spans="1:116" ht="15" customHeight="1" x14ac:dyDescent="0.25">
      <c r="A41" s="20">
        <v>418363</v>
      </c>
      <c r="B41" s="19">
        <v>45670</v>
      </c>
      <c r="C41" s="64">
        <v>0.375</v>
      </c>
      <c r="D41" s="64" t="s">
        <v>1119</v>
      </c>
      <c r="E41" s="19">
        <v>45670</v>
      </c>
      <c r="F41" s="20">
        <v>2</v>
      </c>
      <c r="G41" s="18" t="s">
        <v>1108</v>
      </c>
      <c r="H41" s="65"/>
      <c r="I41" s="18" t="s">
        <v>1121</v>
      </c>
      <c r="J41" s="66" t="s">
        <v>42</v>
      </c>
      <c r="K41" s="66" t="s">
        <v>420</v>
      </c>
      <c r="L41" s="67" t="s">
        <v>488</v>
      </c>
      <c r="M41" s="68"/>
      <c r="N41" s="68"/>
      <c r="O41" s="69"/>
      <c r="P41" s="134">
        <v>0.375</v>
      </c>
      <c r="Q41" s="70"/>
      <c r="R41" s="134">
        <v>0.38541666666666669</v>
      </c>
      <c r="S41" s="70"/>
      <c r="T41" s="134">
        <v>0.39583333333333331</v>
      </c>
      <c r="U41" s="70"/>
      <c r="V41" s="134">
        <v>0.40277777777777773</v>
      </c>
      <c r="W41" s="70"/>
      <c r="X41" s="134">
        <v>0.40347222222222223</v>
      </c>
      <c r="Y41" s="70"/>
      <c r="Z41" s="134">
        <v>0.40972222222222227</v>
      </c>
      <c r="AA41" s="70" t="s">
        <v>1121</v>
      </c>
      <c r="AB41" s="19">
        <v>45670</v>
      </c>
      <c r="AC41" s="20" t="s">
        <v>1108</v>
      </c>
      <c r="AD41" s="19"/>
      <c r="AE41" s="71">
        <f t="shared" si="25"/>
        <v>540</v>
      </c>
      <c r="AF41" s="71">
        <f t="shared" si="26"/>
        <v>580</v>
      </c>
      <c r="AG41" s="71">
        <f t="shared" si="27"/>
        <v>40</v>
      </c>
      <c r="AH41" s="71">
        <f t="shared" si="28"/>
        <v>40</v>
      </c>
      <c r="AI41" s="71" t="str">
        <f t="shared" si="29"/>
        <v/>
      </c>
      <c r="AJ41" s="71" t="str">
        <f t="shared" si="30"/>
        <v/>
      </c>
      <c r="AK41" s="71" t="str">
        <f t="shared" si="31"/>
        <v/>
      </c>
      <c r="AL41" s="71">
        <f t="shared" si="32"/>
        <v>40</v>
      </c>
      <c r="AM41" s="71">
        <f t="shared" si="33"/>
        <v>0</v>
      </c>
      <c r="AN41" s="72">
        <f t="shared" si="34"/>
        <v>1.0416666666666685E-2</v>
      </c>
      <c r="AO41" s="73">
        <f t="shared" si="35"/>
        <v>0</v>
      </c>
      <c r="AP41" s="72" t="str">
        <f t="shared" si="36"/>
        <v>Yes</v>
      </c>
      <c r="AQ41" s="72">
        <f t="shared" si="37"/>
        <v>6.2500000000000333E-3</v>
      </c>
      <c r="AR41" s="72" t="str">
        <f t="shared" si="38"/>
        <v>Yes</v>
      </c>
      <c r="AS41" s="72" t="str">
        <f t="shared" si="39"/>
        <v>No</v>
      </c>
      <c r="AT41" s="72" t="str">
        <f t="shared" si="40"/>
        <v>No</v>
      </c>
      <c r="AU41" s="3"/>
      <c r="AV41" s="3"/>
      <c r="AW41" s="3"/>
      <c r="AX41" s="3"/>
      <c r="AY41" s="20" t="s">
        <v>1167</v>
      </c>
      <c r="AZ41" s="46"/>
      <c r="BA41" s="20"/>
      <c r="BB41" s="46"/>
      <c r="BC41" s="20"/>
      <c r="BD41" s="20"/>
      <c r="BE41" s="20"/>
      <c r="BF41" s="47" t="str">
        <f t="shared" si="67"/>
        <v/>
      </c>
      <c r="BG41" s="3"/>
      <c r="BH41" s="57" t="s">
        <v>448</v>
      </c>
      <c r="BI41" s="57" t="s">
        <v>416</v>
      </c>
      <c r="BJ41" s="45">
        <f>COUNTA($AB$2:$AB$1288)</f>
        <v>91</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47"/>
        <v>0</v>
      </c>
      <c r="CO41" s="78">
        <f t="shared" si="48"/>
        <v>0</v>
      </c>
      <c r="CP41" s="78">
        <f t="shared" si="49"/>
        <v>0</v>
      </c>
      <c r="CQ41" s="78">
        <f t="shared" si="50"/>
        <v>0</v>
      </c>
      <c r="CR41" s="78">
        <f t="shared" si="51"/>
        <v>0</v>
      </c>
      <c r="CS41" s="78">
        <f t="shared" si="52"/>
        <v>0</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f t="shared" si="63"/>
        <v>1</v>
      </c>
      <c r="DF41" s="78">
        <f t="shared" si="64"/>
        <v>1</v>
      </c>
      <c r="DG41" s="78">
        <f t="shared" si="65"/>
        <v>1</v>
      </c>
      <c r="DH41" s="78" t="str">
        <f t="shared" si="66"/>
        <v>1</v>
      </c>
      <c r="DI41" s="79">
        <f>IFERROR(IF(J41="","",VLOOKUP(J41,Lists!$D$3:$E$13,2,FALSE)),1)</f>
        <v>0</v>
      </c>
      <c r="DJ41" s="79">
        <f>IFERROR(IF(K41="","",VLOOKUP(K41,Lists!$F$3:$G$14,2,FALSE)),1)</f>
        <v>0</v>
      </c>
      <c r="DK41" s="79" t="str">
        <f>IFERROR(IF(M41="","",VLOOKUP(M41,Lists!$AA$3:$AB$18,2,FALSE)),1)</f>
        <v/>
      </c>
      <c r="DL41" s="79" t="str">
        <f>IFERROR(IF(N41="","",VLOOKUP(N41,Lists!$AC$3:$AD$13,2,FALSE)),1)</f>
        <v/>
      </c>
    </row>
    <row r="42" spans="1:116" ht="15" customHeight="1" x14ac:dyDescent="0.25">
      <c r="A42" s="20">
        <v>182994</v>
      </c>
      <c r="B42" s="19">
        <v>45670</v>
      </c>
      <c r="C42" s="64">
        <v>0.41666666666666669</v>
      </c>
      <c r="D42" s="64" t="s">
        <v>1138</v>
      </c>
      <c r="E42" s="19">
        <v>45670</v>
      </c>
      <c r="F42" s="20">
        <v>2</v>
      </c>
      <c r="G42" s="18" t="s">
        <v>1108</v>
      </c>
      <c r="H42" s="65"/>
      <c r="I42" s="18" t="s">
        <v>1121</v>
      </c>
      <c r="J42" s="66" t="s">
        <v>56</v>
      </c>
      <c r="K42" s="66" t="s">
        <v>420</v>
      </c>
      <c r="L42" s="67" t="s">
        <v>475</v>
      </c>
      <c r="M42" s="68"/>
      <c r="N42" s="68"/>
      <c r="O42" s="69"/>
      <c r="P42" s="134">
        <v>0.41666666666666669</v>
      </c>
      <c r="Q42" s="70"/>
      <c r="R42" s="134">
        <v>0.4284722222222222</v>
      </c>
      <c r="S42" s="70"/>
      <c r="T42" s="134">
        <v>0.48958333333333331</v>
      </c>
      <c r="U42" s="70"/>
      <c r="V42" s="134">
        <v>0.5</v>
      </c>
      <c r="W42" s="70"/>
      <c r="X42" s="134">
        <v>0.50069444444444444</v>
      </c>
      <c r="Y42" s="70"/>
      <c r="Z42" s="134">
        <v>0.50694444444444442</v>
      </c>
      <c r="AA42" s="70" t="s">
        <v>1121</v>
      </c>
      <c r="AB42" s="19">
        <v>45670</v>
      </c>
      <c r="AC42" s="20" t="s">
        <v>1108</v>
      </c>
      <c r="AD42" s="19"/>
      <c r="AE42" s="71">
        <f t="shared" si="25"/>
        <v>600</v>
      </c>
      <c r="AF42" s="71">
        <f t="shared" si="26"/>
        <v>720</v>
      </c>
      <c r="AG42" s="71">
        <f t="shared" si="27"/>
        <v>120</v>
      </c>
      <c r="AH42" s="71">
        <f t="shared" si="28"/>
        <v>120</v>
      </c>
      <c r="AI42" s="71" t="str">
        <f t="shared" si="29"/>
        <v/>
      </c>
      <c r="AJ42" s="71" t="str">
        <f t="shared" si="30"/>
        <v/>
      </c>
      <c r="AK42" s="71" t="str">
        <f t="shared" si="31"/>
        <v/>
      </c>
      <c r="AL42" s="71">
        <f t="shared" si="32"/>
        <v>120</v>
      </c>
      <c r="AM42" s="71">
        <f t="shared" si="33"/>
        <v>0</v>
      </c>
      <c r="AN42" s="72">
        <f t="shared" si="34"/>
        <v>1.1805555555555514E-2</v>
      </c>
      <c r="AO42" s="73">
        <f t="shared" si="35"/>
        <v>0</v>
      </c>
      <c r="AP42" s="72" t="str">
        <f t="shared" si="36"/>
        <v>No</v>
      </c>
      <c r="AQ42" s="72">
        <f t="shared" si="37"/>
        <v>6.2499999999999778E-3</v>
      </c>
      <c r="AR42" s="72" t="str">
        <f t="shared" si="38"/>
        <v>Yes</v>
      </c>
      <c r="AS42" s="72" t="str">
        <f t="shared" si="39"/>
        <v>No</v>
      </c>
      <c r="AT42" s="72" t="str">
        <f t="shared" si="40"/>
        <v>No</v>
      </c>
      <c r="AU42" s="3"/>
      <c r="AV42" s="3"/>
      <c r="AW42" s="3"/>
      <c r="AX42" s="3"/>
      <c r="AY42" s="20" t="s">
        <v>1168</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47"/>
        <v>0</v>
      </c>
      <c r="CO42" s="78">
        <f t="shared" si="48"/>
        <v>0</v>
      </c>
      <c r="CP42" s="78">
        <f t="shared" si="49"/>
        <v>0</v>
      </c>
      <c r="CQ42" s="78">
        <f t="shared" si="50"/>
        <v>0</v>
      </c>
      <c r="CR42" s="78">
        <f t="shared" si="51"/>
        <v>0</v>
      </c>
      <c r="CS42" s="78">
        <f t="shared" si="52"/>
        <v>0</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0</v>
      </c>
      <c r="DC42" s="78">
        <f t="shared" si="61"/>
        <v>0</v>
      </c>
      <c r="DD42" s="78">
        <f t="shared" si="62"/>
        <v>0</v>
      </c>
      <c r="DE42" s="78">
        <f t="shared" si="63"/>
        <v>1</v>
      </c>
      <c r="DF42" s="78">
        <f t="shared" si="64"/>
        <v>1</v>
      </c>
      <c r="DG42" s="78">
        <f t="shared" si="65"/>
        <v>1</v>
      </c>
      <c r="DH42" s="78" t="str">
        <f t="shared" si="66"/>
        <v>1</v>
      </c>
      <c r="DI42" s="79">
        <f>IFERROR(IF(J42="","",VLOOKUP(J42,Lists!$D$3:$E$13,2,FALSE)),1)</f>
        <v>0</v>
      </c>
      <c r="DJ42" s="79">
        <f>IFERROR(IF(K42="","",VLOOKUP(K42,Lists!$F$3:$G$14,2,FALSE)),1)</f>
        <v>0</v>
      </c>
      <c r="DK42" s="79" t="str">
        <f>IFERROR(IF(M42="","",VLOOKUP(M42,Lists!$AA$3:$AB$18,2,FALSE)),1)</f>
        <v/>
      </c>
      <c r="DL42" s="79" t="str">
        <f>IFERROR(IF(N42="","",VLOOKUP(N42,Lists!$AC$3:$AD$13,2,FALSE)),1)</f>
        <v/>
      </c>
    </row>
    <row r="43" spans="1:116" ht="15" customHeight="1" x14ac:dyDescent="0.25">
      <c r="A43" s="20">
        <v>2628</v>
      </c>
      <c r="B43" s="19">
        <v>45670</v>
      </c>
      <c r="C43" s="64">
        <v>0.52083333333333337</v>
      </c>
      <c r="D43" s="64" t="s">
        <v>1130</v>
      </c>
      <c r="E43" s="19">
        <v>45670</v>
      </c>
      <c r="F43" s="20">
        <v>2</v>
      </c>
      <c r="G43" s="18" t="s">
        <v>1108</v>
      </c>
      <c r="H43" s="65"/>
      <c r="I43" s="18" t="s">
        <v>1121</v>
      </c>
      <c r="J43" s="66" t="s">
        <v>33</v>
      </c>
      <c r="K43" s="66" t="s">
        <v>420</v>
      </c>
      <c r="L43" s="67" t="s">
        <v>1131</v>
      </c>
      <c r="M43" s="68"/>
      <c r="N43" s="68"/>
      <c r="O43" s="69"/>
      <c r="P43" s="134">
        <v>0.51388888888888895</v>
      </c>
      <c r="Q43" s="70"/>
      <c r="R43" s="134">
        <v>0.52083333333333337</v>
      </c>
      <c r="S43" s="70"/>
      <c r="T43" s="134">
        <v>0.53472222222222221</v>
      </c>
      <c r="U43" s="70"/>
      <c r="V43" s="134">
        <v>0.54166666666666663</v>
      </c>
      <c r="W43" s="70"/>
      <c r="X43" s="134">
        <v>0.54236111111111118</v>
      </c>
      <c r="Y43" s="70"/>
      <c r="Z43" s="134">
        <v>0.54861111111111105</v>
      </c>
      <c r="AA43" s="70" t="s">
        <v>1121</v>
      </c>
      <c r="AB43" s="19">
        <v>45670</v>
      </c>
      <c r="AC43" s="20" t="s">
        <v>1108</v>
      </c>
      <c r="AD43" s="19"/>
      <c r="AE43" s="71">
        <f t="shared" si="25"/>
        <v>740</v>
      </c>
      <c r="AF43" s="71">
        <f t="shared" si="26"/>
        <v>780</v>
      </c>
      <c r="AG43" s="71">
        <f t="shared" si="27"/>
        <v>40</v>
      </c>
      <c r="AH43" s="71">
        <f t="shared" si="28"/>
        <v>40</v>
      </c>
      <c r="AI43" s="71" t="str">
        <f t="shared" si="29"/>
        <v/>
      </c>
      <c r="AJ43" s="71" t="str">
        <f t="shared" si="30"/>
        <v/>
      </c>
      <c r="AK43" s="71" t="str">
        <f t="shared" si="31"/>
        <v/>
      </c>
      <c r="AL43" s="71">
        <f t="shared" si="32"/>
        <v>40</v>
      </c>
      <c r="AM43" s="71">
        <f t="shared" si="33"/>
        <v>0</v>
      </c>
      <c r="AN43" s="72">
        <f t="shared" si="34"/>
        <v>0</v>
      </c>
      <c r="AO43" s="73">
        <f t="shared" si="35"/>
        <v>0</v>
      </c>
      <c r="AP43" s="72" t="str">
        <f t="shared" si="36"/>
        <v>Yes</v>
      </c>
      <c r="AQ43" s="72">
        <f t="shared" si="37"/>
        <v>6.2499999999998668E-3</v>
      </c>
      <c r="AR43" s="72" t="str">
        <f t="shared" si="38"/>
        <v>Yes</v>
      </c>
      <c r="AS43" s="72" t="str">
        <f t="shared" si="39"/>
        <v>No</v>
      </c>
      <c r="AT43" s="72" t="str">
        <f t="shared" si="40"/>
        <v>No</v>
      </c>
      <c r="AU43" s="3"/>
      <c r="AV43" s="3"/>
      <c r="AW43" s="3"/>
      <c r="AX43" s="3"/>
      <c r="AY43" s="20" t="s">
        <v>1122</v>
      </c>
      <c r="AZ43" s="46"/>
      <c r="BA43" s="20"/>
      <c r="BB43" s="46"/>
      <c r="BC43" s="20"/>
      <c r="BD43" s="20"/>
      <c r="BE43" s="20"/>
      <c r="BF43" s="47" t="str">
        <f t="shared" si="67"/>
        <v/>
      </c>
      <c r="BG43" s="3"/>
      <c r="BH43" s="82" t="s">
        <v>450</v>
      </c>
      <c r="BI43" s="57" t="s">
        <v>416</v>
      </c>
      <c r="BJ43" s="45">
        <f>COUNTIF($AC$2:$AC$1288,"No")</f>
        <v>134</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47"/>
        <v>0</v>
      </c>
      <c r="CO43" s="78">
        <f t="shared" si="48"/>
        <v>0</v>
      </c>
      <c r="CP43" s="78">
        <f t="shared" si="49"/>
        <v>0</v>
      </c>
      <c r="CQ43" s="78">
        <f t="shared" si="50"/>
        <v>0</v>
      </c>
      <c r="CR43" s="78">
        <f t="shared" si="51"/>
        <v>0</v>
      </c>
      <c r="CS43" s="78">
        <f t="shared" si="52"/>
        <v>0</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1</v>
      </c>
      <c r="DC43" s="78">
        <f t="shared" si="61"/>
        <v>0</v>
      </c>
      <c r="DD43" s="78">
        <f t="shared" si="62"/>
        <v>0</v>
      </c>
      <c r="DE43" s="78">
        <f t="shared" si="63"/>
        <v>1</v>
      </c>
      <c r="DF43" s="78">
        <f t="shared" si="64"/>
        <v>1</v>
      </c>
      <c r="DG43" s="78">
        <f t="shared" si="65"/>
        <v>1</v>
      </c>
      <c r="DH43" s="78" t="str">
        <f t="shared" si="66"/>
        <v>1</v>
      </c>
      <c r="DI43" s="79">
        <f>IFERROR(IF(J43="","",VLOOKUP(J43,Lists!$D$3:$E$13,2,FALSE)),1)</f>
        <v>0</v>
      </c>
      <c r="DJ43" s="79">
        <f>IFERROR(IF(K43="","",VLOOKUP(K43,Lists!$F$3:$G$14,2,FALSE)),1)</f>
        <v>0</v>
      </c>
      <c r="DK43" s="79" t="str">
        <f>IFERROR(IF(M43="","",VLOOKUP(M43,Lists!$AA$3:$AB$18,2,FALSE)),1)</f>
        <v/>
      </c>
      <c r="DL43" s="79" t="str">
        <f>IFERROR(IF(N43="","",VLOOKUP(N43,Lists!$AC$3:$AD$13,2,FALSE)),1)</f>
        <v/>
      </c>
    </row>
    <row r="44" spans="1:116" ht="15" customHeight="1" x14ac:dyDescent="0.25">
      <c r="A44" s="20">
        <v>57052</v>
      </c>
      <c r="B44" s="19">
        <v>45670</v>
      </c>
      <c r="C44" s="64" t="s">
        <v>1201</v>
      </c>
      <c r="D44" s="64" t="s">
        <v>1130</v>
      </c>
      <c r="E44" s="19">
        <v>45670</v>
      </c>
      <c r="F44" s="20">
        <v>2</v>
      </c>
      <c r="G44" s="18" t="s">
        <v>1108</v>
      </c>
      <c r="H44" s="65"/>
      <c r="I44" s="18" t="s">
        <v>1121</v>
      </c>
      <c r="J44" s="66" t="s">
        <v>33</v>
      </c>
      <c r="K44" s="66" t="s">
        <v>420</v>
      </c>
      <c r="L44" s="67" t="s">
        <v>1131</v>
      </c>
      <c r="M44" s="68"/>
      <c r="N44" s="68"/>
      <c r="O44" s="69"/>
      <c r="P44" s="134">
        <v>0.55555555555555558</v>
      </c>
      <c r="Q44" s="70"/>
      <c r="R44" s="134">
        <v>0.56944444444444442</v>
      </c>
      <c r="S44" s="70"/>
      <c r="T44" s="134">
        <v>0.59027777777777779</v>
      </c>
      <c r="U44" s="70"/>
      <c r="V44" s="134">
        <v>0.59722222222222221</v>
      </c>
      <c r="W44" s="70"/>
      <c r="X44" s="134">
        <v>0.59791666666666665</v>
      </c>
      <c r="Y44" s="70"/>
      <c r="Z44" s="134">
        <v>0.60416666666666663</v>
      </c>
      <c r="AA44" s="70" t="s">
        <v>1121</v>
      </c>
      <c r="AB44" s="19">
        <v>45670</v>
      </c>
      <c r="AC44" s="20" t="s">
        <v>1108</v>
      </c>
      <c r="AD44" s="19"/>
      <c r="AE44" s="71">
        <f t="shared" si="25"/>
        <v>800</v>
      </c>
      <c r="AF44" s="71">
        <f t="shared" si="26"/>
        <v>860</v>
      </c>
      <c r="AG44" s="71">
        <f t="shared" si="27"/>
        <v>60</v>
      </c>
      <c r="AH44" s="71">
        <f t="shared" si="28"/>
        <v>60</v>
      </c>
      <c r="AI44" s="71" t="str">
        <f t="shared" si="29"/>
        <v/>
      </c>
      <c r="AJ44" s="71" t="str">
        <f t="shared" si="30"/>
        <v/>
      </c>
      <c r="AK44" s="71" t="str">
        <f t="shared" si="31"/>
        <v/>
      </c>
      <c r="AL44" s="71">
        <f t="shared" si="32"/>
        <v>60</v>
      </c>
      <c r="AM44" s="71">
        <f t="shared" si="33"/>
        <v>0</v>
      </c>
      <c r="AN44" s="72" t="e">
        <f t="shared" si="34"/>
        <v>#VALUE!</v>
      </c>
      <c r="AO44" s="73">
        <f t="shared" si="35"/>
        <v>0</v>
      </c>
      <c r="AP44" s="72" t="e">
        <f t="shared" si="36"/>
        <v>#VALUE!</v>
      </c>
      <c r="AQ44" s="72">
        <f t="shared" si="37"/>
        <v>6.2499999999999778E-3</v>
      </c>
      <c r="AR44" s="72" t="str">
        <f t="shared" si="38"/>
        <v>Yes</v>
      </c>
      <c r="AS44" s="72" t="str">
        <f t="shared" si="39"/>
        <v>No</v>
      </c>
      <c r="AT44" s="72" t="str">
        <f t="shared" si="40"/>
        <v>No</v>
      </c>
      <c r="AU44" s="3"/>
      <c r="AV44" s="3"/>
      <c r="AW44" s="3"/>
      <c r="AX44" s="3"/>
      <c r="AY44" s="20" t="s">
        <v>1169</v>
      </c>
      <c r="AZ44" s="46"/>
      <c r="BA44" s="20"/>
      <c r="BB44" s="46"/>
      <c r="BC44" s="20"/>
      <c r="BD44" s="20"/>
      <c r="BE44" s="20"/>
      <c r="BF44" s="47" t="str">
        <f t="shared" si="67"/>
        <v/>
      </c>
      <c r="BG44" s="3"/>
      <c r="BH44" s="82" t="s">
        <v>451</v>
      </c>
      <c r="BI44" s="57" t="s">
        <v>416</v>
      </c>
      <c r="BJ44" s="45">
        <f>SUM(BJ42:BJ43)</f>
        <v>134</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47"/>
        <v>0</v>
      </c>
      <c r="CO44" s="78">
        <f t="shared" si="48"/>
        <v>0</v>
      </c>
      <c r="CP44" s="78">
        <f t="shared" si="49"/>
        <v>0</v>
      </c>
      <c r="CQ44" s="78">
        <f t="shared" si="50"/>
        <v>0</v>
      </c>
      <c r="CR44" s="78">
        <f t="shared" si="51"/>
        <v>0</v>
      </c>
      <c r="CS44" s="78">
        <f t="shared" si="52"/>
        <v>0</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1</v>
      </c>
      <c r="DC44" s="78">
        <f t="shared" si="61"/>
        <v>0</v>
      </c>
      <c r="DD44" s="78">
        <f t="shared" si="62"/>
        <v>0</v>
      </c>
      <c r="DE44" s="78">
        <f t="shared" si="63"/>
        <v>1</v>
      </c>
      <c r="DF44" s="78">
        <f t="shared" si="64"/>
        <v>1</v>
      </c>
      <c r="DG44" s="78">
        <f t="shared" si="65"/>
        <v>1</v>
      </c>
      <c r="DH44" s="78" t="str">
        <f t="shared" si="66"/>
        <v>1</v>
      </c>
      <c r="DI44" s="79">
        <f>IFERROR(IF(J44="","",VLOOKUP(J44,Lists!$D$3:$E$13,2,FALSE)),1)</f>
        <v>0</v>
      </c>
      <c r="DJ44" s="79">
        <f>IFERROR(IF(K44="","",VLOOKUP(K44,Lists!$F$3:$G$14,2,FALSE)),1)</f>
        <v>0</v>
      </c>
      <c r="DK44" s="79" t="str">
        <f>IFERROR(IF(M44="","",VLOOKUP(M44,Lists!$AA$3:$AB$18,2,FALSE)),1)</f>
        <v/>
      </c>
      <c r="DL44" s="79" t="str">
        <f>IFERROR(IF(N44="","",VLOOKUP(N44,Lists!$AC$3:$AD$13,2,FALSE)),1)</f>
        <v/>
      </c>
    </row>
    <row r="45" spans="1:116" ht="15" customHeight="1" x14ac:dyDescent="0.25">
      <c r="A45" s="20">
        <v>336351</v>
      </c>
      <c r="B45" s="19">
        <v>45670</v>
      </c>
      <c r="C45" s="64">
        <v>0.625</v>
      </c>
      <c r="D45" s="64" t="s">
        <v>1130</v>
      </c>
      <c r="E45" s="19">
        <v>45670</v>
      </c>
      <c r="F45" s="20">
        <v>2</v>
      </c>
      <c r="G45" s="18" t="s">
        <v>1108</v>
      </c>
      <c r="H45" s="65"/>
      <c r="I45" s="18" t="s">
        <v>1121</v>
      </c>
      <c r="J45" s="66" t="s">
        <v>33</v>
      </c>
      <c r="K45" s="66" t="s">
        <v>420</v>
      </c>
      <c r="L45" s="67" t="s">
        <v>1131</v>
      </c>
      <c r="M45" s="68"/>
      <c r="N45" s="68"/>
      <c r="O45" s="69"/>
      <c r="P45" s="134">
        <v>0.625</v>
      </c>
      <c r="Q45" s="70"/>
      <c r="R45" s="134">
        <v>0.63194444444444442</v>
      </c>
      <c r="S45" s="70"/>
      <c r="T45" s="134">
        <v>0.65277777777777779</v>
      </c>
      <c r="U45" s="70"/>
      <c r="V45" s="134">
        <v>0.65972222222222221</v>
      </c>
      <c r="W45" s="70"/>
      <c r="X45" s="134">
        <v>0.66041666666666665</v>
      </c>
      <c r="Y45" s="70"/>
      <c r="Z45" s="134">
        <v>0.66666666666666663</v>
      </c>
      <c r="AA45" s="70" t="s">
        <v>1121</v>
      </c>
      <c r="AB45" s="19">
        <v>45670</v>
      </c>
      <c r="AC45" s="20" t="s">
        <v>1108</v>
      </c>
      <c r="AD45" s="19"/>
      <c r="AE45" s="71">
        <f t="shared" si="25"/>
        <v>900</v>
      </c>
      <c r="AF45" s="71">
        <f t="shared" si="26"/>
        <v>950</v>
      </c>
      <c r="AG45" s="71">
        <f t="shared" si="27"/>
        <v>50</v>
      </c>
      <c r="AH45" s="71">
        <f t="shared" si="28"/>
        <v>50</v>
      </c>
      <c r="AI45" s="71" t="str">
        <f t="shared" si="29"/>
        <v/>
      </c>
      <c r="AJ45" s="71" t="str">
        <f t="shared" si="30"/>
        <v/>
      </c>
      <c r="AK45" s="71" t="str">
        <f t="shared" si="31"/>
        <v/>
      </c>
      <c r="AL45" s="71">
        <f t="shared" si="32"/>
        <v>50</v>
      </c>
      <c r="AM45" s="71">
        <f t="shared" si="33"/>
        <v>0</v>
      </c>
      <c r="AN45" s="72">
        <f t="shared" si="34"/>
        <v>6.9444444444444198E-3</v>
      </c>
      <c r="AO45" s="73">
        <f t="shared" si="35"/>
        <v>0</v>
      </c>
      <c r="AP45" s="72" t="str">
        <f t="shared" si="36"/>
        <v>Yes</v>
      </c>
      <c r="AQ45" s="72">
        <f t="shared" si="37"/>
        <v>6.2499999999999778E-3</v>
      </c>
      <c r="AR45" s="72" t="str">
        <f t="shared" si="38"/>
        <v>Yes</v>
      </c>
      <c r="AS45" s="72" t="str">
        <f t="shared" si="39"/>
        <v>No</v>
      </c>
      <c r="AT45" s="72" t="str">
        <f t="shared" si="40"/>
        <v>No</v>
      </c>
      <c r="AU45" s="3"/>
      <c r="AV45" s="3"/>
      <c r="AW45" s="3"/>
      <c r="AX45" s="3"/>
      <c r="AY45" s="20" t="s">
        <v>1170</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47"/>
        <v>0</v>
      </c>
      <c r="CO45" s="78">
        <f t="shared" si="48"/>
        <v>0</v>
      </c>
      <c r="CP45" s="78">
        <f t="shared" si="49"/>
        <v>0</v>
      </c>
      <c r="CQ45" s="78">
        <f t="shared" si="50"/>
        <v>0</v>
      </c>
      <c r="CR45" s="78">
        <f t="shared" si="51"/>
        <v>0</v>
      </c>
      <c r="CS45" s="78">
        <f t="shared" si="52"/>
        <v>0</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1</v>
      </c>
      <c r="DC45" s="78">
        <f t="shared" si="61"/>
        <v>0</v>
      </c>
      <c r="DD45" s="78">
        <f t="shared" si="62"/>
        <v>0</v>
      </c>
      <c r="DE45" s="78">
        <f t="shared" si="63"/>
        <v>1</v>
      </c>
      <c r="DF45" s="78">
        <f t="shared" si="64"/>
        <v>1</v>
      </c>
      <c r="DG45" s="78">
        <f t="shared" si="65"/>
        <v>1</v>
      </c>
      <c r="DH45" s="78" t="str">
        <f t="shared" si="66"/>
        <v>1</v>
      </c>
      <c r="DI45" s="79">
        <f>IFERROR(IF(J45="","",VLOOKUP(J45,Lists!$D$3:$E$13,2,FALSE)),1)</f>
        <v>0</v>
      </c>
      <c r="DJ45" s="79">
        <f>IFERROR(IF(K45="","",VLOOKUP(K45,Lists!$F$3:$G$14,2,FALSE)),1)</f>
        <v>0</v>
      </c>
      <c r="DK45" s="79" t="str">
        <f>IFERROR(IF(M45="","",VLOOKUP(M45,Lists!$AA$3:$AB$18,2,FALSE)),1)</f>
        <v/>
      </c>
      <c r="DL45" s="79" t="str">
        <f>IFERROR(IF(N45="","",VLOOKUP(N45,Lists!$AC$3:$AD$13,2,FALSE)),1)</f>
        <v/>
      </c>
    </row>
    <row r="46" spans="1:116" ht="15" customHeight="1" x14ac:dyDescent="0.25">
      <c r="A46" s="20">
        <v>10701</v>
      </c>
      <c r="B46" s="19">
        <v>45670</v>
      </c>
      <c r="C46" s="64">
        <v>0.33333333333333331</v>
      </c>
      <c r="D46" s="64" t="s">
        <v>1128</v>
      </c>
      <c r="E46" s="19">
        <v>45670</v>
      </c>
      <c r="F46" s="20">
        <v>13</v>
      </c>
      <c r="G46" s="18" t="s">
        <v>1108</v>
      </c>
      <c r="H46" s="65"/>
      <c r="I46" s="18" t="s">
        <v>1121</v>
      </c>
      <c r="J46" s="66" t="s">
        <v>39</v>
      </c>
      <c r="K46" s="66" t="s">
        <v>420</v>
      </c>
      <c r="L46" s="67" t="s">
        <v>1209</v>
      </c>
      <c r="M46" s="68"/>
      <c r="N46" s="68"/>
      <c r="O46" s="69"/>
      <c r="P46" s="134">
        <v>0.32708333333333334</v>
      </c>
      <c r="Q46" s="70"/>
      <c r="R46" s="134">
        <v>0.36805555555555558</v>
      </c>
      <c r="S46" s="70"/>
      <c r="T46" s="134">
        <v>0.46249999999999997</v>
      </c>
      <c r="U46" s="70"/>
      <c r="V46" s="134">
        <v>0.46875</v>
      </c>
      <c r="W46" s="70"/>
      <c r="X46" s="134">
        <v>0.4694444444444445</v>
      </c>
      <c r="Y46" s="70"/>
      <c r="Z46" s="134">
        <v>0.47569444444444442</v>
      </c>
      <c r="AA46" s="70" t="s">
        <v>1121</v>
      </c>
      <c r="AB46" s="19">
        <v>45670</v>
      </c>
      <c r="AC46" s="20" t="s">
        <v>1108</v>
      </c>
      <c r="AD46" s="19"/>
      <c r="AE46" s="71">
        <f t="shared" si="25"/>
        <v>471</v>
      </c>
      <c r="AF46" s="71">
        <f t="shared" si="26"/>
        <v>675</v>
      </c>
      <c r="AG46" s="71">
        <f t="shared" si="27"/>
        <v>204</v>
      </c>
      <c r="AH46" s="71">
        <f t="shared" si="28"/>
        <v>0</v>
      </c>
      <c r="AI46" s="71">
        <f t="shared" si="29"/>
        <v>195</v>
      </c>
      <c r="AJ46" s="71" t="str">
        <f t="shared" si="30"/>
        <v/>
      </c>
      <c r="AK46" s="71" t="str">
        <f t="shared" si="31"/>
        <v/>
      </c>
      <c r="AL46" s="71">
        <f t="shared" si="32"/>
        <v>195</v>
      </c>
      <c r="AM46" s="71">
        <f t="shared" si="33"/>
        <v>9</v>
      </c>
      <c r="AN46" s="72">
        <f t="shared" si="34"/>
        <v>3.4722222222222265E-2</v>
      </c>
      <c r="AO46" s="73">
        <f t="shared" si="35"/>
        <v>0</v>
      </c>
      <c r="AP46" s="72" t="str">
        <f t="shared" si="36"/>
        <v>No</v>
      </c>
      <c r="AQ46" s="72">
        <f t="shared" si="37"/>
        <v>6.2499999999999223E-3</v>
      </c>
      <c r="AR46" s="72" t="str">
        <f t="shared" si="38"/>
        <v>Yes</v>
      </c>
      <c r="AS46" s="72" t="str">
        <f t="shared" si="39"/>
        <v>No</v>
      </c>
      <c r="AT46" s="72" t="str">
        <f t="shared" si="40"/>
        <v>No</v>
      </c>
      <c r="AU46" s="3"/>
      <c r="AV46" s="3"/>
      <c r="AW46" s="3"/>
      <c r="AX46" s="3"/>
      <c r="AY46" s="20" t="s">
        <v>1120</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47"/>
        <v>0</v>
      </c>
      <c r="CO46" s="78">
        <f t="shared" si="48"/>
        <v>0</v>
      </c>
      <c r="CP46" s="78">
        <f t="shared" si="49"/>
        <v>0</v>
      </c>
      <c r="CQ46" s="78">
        <f t="shared" si="50"/>
        <v>0</v>
      </c>
      <c r="CR46" s="78">
        <f t="shared" si="51"/>
        <v>0</v>
      </c>
      <c r="CS46" s="78">
        <f t="shared" si="52"/>
        <v>0</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0</v>
      </c>
      <c r="DC46" s="78">
        <f t="shared" si="61"/>
        <v>0</v>
      </c>
      <c r="DD46" s="78">
        <f t="shared" si="62"/>
        <v>0</v>
      </c>
      <c r="DE46" s="78">
        <f t="shared" si="63"/>
        <v>1</v>
      </c>
      <c r="DF46" s="78">
        <f t="shared" si="64"/>
        <v>1</v>
      </c>
      <c r="DG46" s="78">
        <f t="shared" si="65"/>
        <v>1</v>
      </c>
      <c r="DH46" s="78" t="str">
        <f t="shared" si="66"/>
        <v>1</v>
      </c>
      <c r="DI46" s="79">
        <f>IFERROR(IF(J46="","",VLOOKUP(J46,Lists!$D$3:$E$13,2,FALSE)),1)</f>
        <v>0</v>
      </c>
      <c r="DJ46" s="79">
        <f>IFERROR(IF(K46="","",VLOOKUP(K46,Lists!$F$3:$G$14,2,FALSE)),1)</f>
        <v>0</v>
      </c>
      <c r="DK46" s="79" t="str">
        <f>IFERROR(IF(M46="","",VLOOKUP(M46,Lists!$AA$3:$AB$18,2,FALSE)),1)</f>
        <v/>
      </c>
      <c r="DL46" s="79" t="str">
        <f>IFERROR(IF(N46="","",VLOOKUP(N46,Lists!$AC$3:$AD$13,2,FALSE)),1)</f>
        <v/>
      </c>
    </row>
    <row r="47" spans="1:116" ht="15" customHeight="1" x14ac:dyDescent="0.25">
      <c r="A47" s="20">
        <v>132086</v>
      </c>
      <c r="B47" s="19">
        <v>45670</v>
      </c>
      <c r="C47" s="64">
        <v>0.5</v>
      </c>
      <c r="D47" s="64" t="s">
        <v>1128</v>
      </c>
      <c r="E47" s="19">
        <v>45670</v>
      </c>
      <c r="F47" s="20">
        <v>13</v>
      </c>
      <c r="G47" s="18" t="s">
        <v>1108</v>
      </c>
      <c r="H47" s="65"/>
      <c r="I47" s="18" t="s">
        <v>1121</v>
      </c>
      <c r="J47" s="66" t="s">
        <v>39</v>
      </c>
      <c r="K47" s="66" t="s">
        <v>420</v>
      </c>
      <c r="L47" s="67" t="s">
        <v>1210</v>
      </c>
      <c r="M47" s="68"/>
      <c r="N47" s="68"/>
      <c r="O47" s="69"/>
      <c r="P47" s="134">
        <v>0.4909722222222222</v>
      </c>
      <c r="Q47" s="70"/>
      <c r="R47" s="134">
        <v>0.52083333333333337</v>
      </c>
      <c r="S47" s="70"/>
      <c r="T47" s="134">
        <v>0.58333333333333337</v>
      </c>
      <c r="U47" s="70"/>
      <c r="V47" s="134">
        <v>0.59375</v>
      </c>
      <c r="W47" s="70"/>
      <c r="X47" s="134">
        <v>0.59444444444444444</v>
      </c>
      <c r="Y47" s="70"/>
      <c r="Z47" s="134">
        <v>0.60069444444444442</v>
      </c>
      <c r="AA47" s="70" t="s">
        <v>1121</v>
      </c>
      <c r="AB47" s="19">
        <v>45670</v>
      </c>
      <c r="AC47" s="20" t="s">
        <v>1108</v>
      </c>
      <c r="AD47" s="19"/>
      <c r="AE47" s="71">
        <f t="shared" si="25"/>
        <v>707</v>
      </c>
      <c r="AF47" s="71">
        <f t="shared" si="26"/>
        <v>855</v>
      </c>
      <c r="AG47" s="71">
        <f t="shared" si="27"/>
        <v>148</v>
      </c>
      <c r="AH47" s="71">
        <f t="shared" si="28"/>
        <v>148</v>
      </c>
      <c r="AI47" s="71" t="str">
        <f t="shared" si="29"/>
        <v/>
      </c>
      <c r="AJ47" s="71" t="str">
        <f t="shared" si="30"/>
        <v/>
      </c>
      <c r="AK47" s="71" t="str">
        <f t="shared" si="31"/>
        <v/>
      </c>
      <c r="AL47" s="71">
        <f t="shared" si="32"/>
        <v>148</v>
      </c>
      <c r="AM47" s="71">
        <f t="shared" si="33"/>
        <v>0</v>
      </c>
      <c r="AN47" s="72">
        <f t="shared" si="34"/>
        <v>2.083333333333337E-2</v>
      </c>
      <c r="AO47" s="73">
        <f t="shared" si="35"/>
        <v>0</v>
      </c>
      <c r="AP47" s="72" t="str">
        <f t="shared" si="36"/>
        <v>No</v>
      </c>
      <c r="AQ47" s="72">
        <f t="shared" si="37"/>
        <v>6.2499999999999778E-3</v>
      </c>
      <c r="AR47" s="72" t="str">
        <f t="shared" si="38"/>
        <v>Yes</v>
      </c>
      <c r="AS47" s="72" t="str">
        <f t="shared" si="39"/>
        <v>No</v>
      </c>
      <c r="AT47" s="72" t="str">
        <f t="shared" si="40"/>
        <v>No</v>
      </c>
      <c r="AU47" s="3"/>
      <c r="AV47" s="3"/>
      <c r="AW47" s="3"/>
      <c r="AX47" s="3"/>
      <c r="AY47" s="20" t="s">
        <v>1171</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47"/>
        <v>0</v>
      </c>
      <c r="CO47" s="78">
        <f t="shared" si="48"/>
        <v>0</v>
      </c>
      <c r="CP47" s="78">
        <f t="shared" si="49"/>
        <v>0</v>
      </c>
      <c r="CQ47" s="78">
        <f t="shared" si="50"/>
        <v>0</v>
      </c>
      <c r="CR47" s="78">
        <f t="shared" si="51"/>
        <v>0</v>
      </c>
      <c r="CS47" s="78">
        <f t="shared" si="52"/>
        <v>0</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0</v>
      </c>
      <c r="DC47" s="78">
        <f t="shared" si="61"/>
        <v>0</v>
      </c>
      <c r="DD47" s="78">
        <f t="shared" si="62"/>
        <v>0</v>
      </c>
      <c r="DE47" s="78">
        <f t="shared" si="63"/>
        <v>1</v>
      </c>
      <c r="DF47" s="78">
        <f t="shared" si="64"/>
        <v>1</v>
      </c>
      <c r="DG47" s="78">
        <f t="shared" si="65"/>
        <v>1</v>
      </c>
      <c r="DH47" s="78" t="str">
        <f t="shared" si="66"/>
        <v>1</v>
      </c>
      <c r="DI47" s="79">
        <f>IFERROR(IF(J47="","",VLOOKUP(J47,Lists!$D$3:$E$13,2,FALSE)),1)</f>
        <v>0</v>
      </c>
      <c r="DJ47" s="79">
        <f>IFERROR(IF(K47="","",VLOOKUP(K47,Lists!$F$3:$G$14,2,FALSE)),1)</f>
        <v>0</v>
      </c>
      <c r="DK47" s="79" t="str">
        <f>IFERROR(IF(M47="","",VLOOKUP(M47,Lists!$AA$3:$AB$18,2,FALSE)),1)</f>
        <v/>
      </c>
      <c r="DL47" s="79" t="str">
        <f>IFERROR(IF(N47="","",VLOOKUP(N47,Lists!$AC$3:$AD$13,2,FALSE)),1)</f>
        <v/>
      </c>
    </row>
    <row r="48" spans="1:116" ht="15" customHeight="1" x14ac:dyDescent="0.25">
      <c r="A48" s="20">
        <v>64020</v>
      </c>
      <c r="B48" s="19">
        <v>45670</v>
      </c>
      <c r="C48" s="64">
        <v>0.60416666666666663</v>
      </c>
      <c r="D48" s="64" t="s">
        <v>1128</v>
      </c>
      <c r="E48" s="19">
        <v>45670</v>
      </c>
      <c r="F48" s="20">
        <v>13</v>
      </c>
      <c r="G48" s="18" t="s">
        <v>1108</v>
      </c>
      <c r="H48" s="65"/>
      <c r="I48" s="18" t="s">
        <v>1121</v>
      </c>
      <c r="J48" s="66" t="s">
        <v>39</v>
      </c>
      <c r="K48" s="66" t="s">
        <v>420</v>
      </c>
      <c r="L48" s="67" t="s">
        <v>1210</v>
      </c>
      <c r="M48" s="68"/>
      <c r="N48" s="68"/>
      <c r="O48" s="69"/>
      <c r="P48" s="134">
        <v>0.60416666666666663</v>
      </c>
      <c r="Q48" s="70"/>
      <c r="R48" s="134">
        <v>0.61805555555555558</v>
      </c>
      <c r="S48" s="70"/>
      <c r="T48" s="134">
        <v>0.65486111111111112</v>
      </c>
      <c r="U48" s="70"/>
      <c r="V48" s="134">
        <v>0.67083333333333339</v>
      </c>
      <c r="W48" s="70"/>
      <c r="X48" s="134">
        <v>0.67152777777777783</v>
      </c>
      <c r="Y48" s="70"/>
      <c r="Z48" s="134">
        <v>0.68055555555555547</v>
      </c>
      <c r="AA48" s="70" t="s">
        <v>1121</v>
      </c>
      <c r="AB48" s="19">
        <v>45670</v>
      </c>
      <c r="AC48" s="20" t="s">
        <v>1108</v>
      </c>
      <c r="AD48" s="19"/>
      <c r="AE48" s="71">
        <f t="shared" si="25"/>
        <v>870</v>
      </c>
      <c r="AF48" s="71">
        <f t="shared" si="26"/>
        <v>966</v>
      </c>
      <c r="AG48" s="71">
        <f t="shared" si="27"/>
        <v>96</v>
      </c>
      <c r="AH48" s="71" t="str">
        <f t="shared" si="28"/>
        <v/>
      </c>
      <c r="AI48" s="71" t="str">
        <f t="shared" si="29"/>
        <v/>
      </c>
      <c r="AJ48" s="71">
        <f t="shared" si="30"/>
        <v>90</v>
      </c>
      <c r="AK48" s="71" t="str">
        <f t="shared" si="31"/>
        <v/>
      </c>
      <c r="AL48" s="71">
        <f t="shared" si="32"/>
        <v>90</v>
      </c>
      <c r="AM48" s="71">
        <f t="shared" si="33"/>
        <v>6</v>
      </c>
      <c r="AN48" s="72">
        <f t="shared" si="34"/>
        <v>1.3888888888888951E-2</v>
      </c>
      <c r="AO48" s="73">
        <f t="shared" si="35"/>
        <v>0</v>
      </c>
      <c r="AP48" s="72" t="str">
        <f t="shared" si="36"/>
        <v>No</v>
      </c>
      <c r="AQ48" s="72">
        <f t="shared" si="37"/>
        <v>9.0277777777776347E-3</v>
      </c>
      <c r="AR48" s="72" t="str">
        <f t="shared" si="38"/>
        <v>Yes</v>
      </c>
      <c r="AS48" s="72" t="str">
        <f t="shared" si="39"/>
        <v>No</v>
      </c>
      <c r="AT48" s="72" t="str">
        <f t="shared" si="40"/>
        <v>No</v>
      </c>
      <c r="AU48" s="3"/>
      <c r="AV48" s="3"/>
      <c r="AW48" s="3"/>
      <c r="AX48" s="3"/>
      <c r="AY48" s="20" t="s">
        <v>1129</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47"/>
        <v>0</v>
      </c>
      <c r="CO48" s="78">
        <f t="shared" si="48"/>
        <v>0</v>
      </c>
      <c r="CP48" s="78">
        <f t="shared" si="49"/>
        <v>0</v>
      </c>
      <c r="CQ48" s="78">
        <f t="shared" si="50"/>
        <v>0</v>
      </c>
      <c r="CR48" s="78">
        <f t="shared" si="51"/>
        <v>0</v>
      </c>
      <c r="CS48" s="78">
        <f t="shared" si="52"/>
        <v>0</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0</v>
      </c>
      <c r="DC48" s="78">
        <f t="shared" si="61"/>
        <v>0</v>
      </c>
      <c r="DD48" s="78">
        <f t="shared" si="62"/>
        <v>0</v>
      </c>
      <c r="DE48" s="78">
        <f t="shared" si="63"/>
        <v>1</v>
      </c>
      <c r="DF48" s="78">
        <f t="shared" si="64"/>
        <v>1</v>
      </c>
      <c r="DG48" s="78">
        <f t="shared" si="65"/>
        <v>1</v>
      </c>
      <c r="DH48" s="78" t="str">
        <f t="shared" si="66"/>
        <v>1</v>
      </c>
      <c r="DI48" s="79">
        <f>IFERROR(IF(J48="","",VLOOKUP(J48,Lists!$D$3:$E$13,2,FALSE)),1)</f>
        <v>0</v>
      </c>
      <c r="DJ48" s="79">
        <f>IFERROR(IF(K48="","",VLOOKUP(K48,Lists!$F$3:$G$14,2,FALSE)),1)</f>
        <v>0</v>
      </c>
      <c r="DK48" s="79" t="str">
        <f>IFERROR(IF(M48="","",VLOOKUP(M48,Lists!$AA$3:$AB$18,2,FALSE)),1)</f>
        <v/>
      </c>
      <c r="DL48" s="79" t="str">
        <f>IFERROR(IF(N48="","",VLOOKUP(N48,Lists!$AC$3:$AD$13,2,FALSE)),1)</f>
        <v/>
      </c>
    </row>
    <row r="49" spans="1:116" ht="15" customHeight="1" x14ac:dyDescent="0.25">
      <c r="A49" s="20">
        <v>180680</v>
      </c>
      <c r="B49" s="19">
        <v>45671</v>
      </c>
      <c r="C49" s="64">
        <v>0.33333333333333331</v>
      </c>
      <c r="D49" s="64" t="s">
        <v>1110</v>
      </c>
      <c r="E49" s="19">
        <v>45669</v>
      </c>
      <c r="F49" s="20">
        <v>3</v>
      </c>
      <c r="G49" s="18" t="s">
        <v>1108</v>
      </c>
      <c r="H49" s="65"/>
      <c r="I49" s="18" t="s">
        <v>1108</v>
      </c>
      <c r="J49" s="66"/>
      <c r="K49" s="66"/>
      <c r="L49" s="67"/>
      <c r="M49" s="68" t="s">
        <v>35</v>
      </c>
      <c r="N49" s="68" t="s">
        <v>420</v>
      </c>
      <c r="O49" s="69" t="s">
        <v>1225</v>
      </c>
      <c r="P49" s="134">
        <v>0.32847222222222222</v>
      </c>
      <c r="Q49" s="70"/>
      <c r="R49" s="134">
        <v>0.35902777777777778</v>
      </c>
      <c r="S49" s="70"/>
      <c r="T49" s="134">
        <v>0.41666666666666669</v>
      </c>
      <c r="U49" s="70"/>
      <c r="V49" s="134">
        <v>0.42430555555555555</v>
      </c>
      <c r="W49" s="70"/>
      <c r="X49" s="134">
        <v>0.42499999999999999</v>
      </c>
      <c r="Y49" s="70"/>
      <c r="Z49" s="134">
        <v>0.4375</v>
      </c>
      <c r="AA49" s="70" t="s">
        <v>1108</v>
      </c>
      <c r="AB49" s="19"/>
      <c r="AC49" s="20" t="s">
        <v>1108</v>
      </c>
      <c r="AD49" s="19"/>
      <c r="AE49" s="71">
        <f t="shared" si="25"/>
        <v>473</v>
      </c>
      <c r="AF49" s="71">
        <f t="shared" si="26"/>
        <v>611</v>
      </c>
      <c r="AG49" s="71">
        <f t="shared" si="27"/>
        <v>138</v>
      </c>
      <c r="AH49" s="71">
        <f t="shared" si="28"/>
        <v>0</v>
      </c>
      <c r="AI49" s="71">
        <f t="shared" si="29"/>
        <v>131</v>
      </c>
      <c r="AJ49" s="71" t="str">
        <f t="shared" si="30"/>
        <v/>
      </c>
      <c r="AK49" s="71" t="str">
        <f t="shared" si="31"/>
        <v/>
      </c>
      <c r="AL49" s="71">
        <f t="shared" si="32"/>
        <v>131</v>
      </c>
      <c r="AM49" s="71">
        <f t="shared" si="33"/>
        <v>7</v>
      </c>
      <c r="AN49" s="72">
        <f t="shared" si="34"/>
        <v>2.5694444444444464E-2</v>
      </c>
      <c r="AO49" s="73">
        <f t="shared" si="35"/>
        <v>2</v>
      </c>
      <c r="AP49" s="72" t="str">
        <f t="shared" si="36"/>
        <v>No</v>
      </c>
      <c r="AQ49" s="72">
        <f t="shared" si="37"/>
        <v>1.2500000000000011E-2</v>
      </c>
      <c r="AR49" s="72" t="str">
        <f t="shared" si="38"/>
        <v/>
      </c>
      <c r="AS49" s="72" t="str">
        <f t="shared" si="39"/>
        <v/>
      </c>
      <c r="AT49" s="72" t="str">
        <f t="shared" si="40"/>
        <v/>
      </c>
      <c r="AU49" s="3"/>
      <c r="AV49" s="3"/>
      <c r="AW49" s="3"/>
      <c r="AX49" s="3"/>
      <c r="AY49" s="20" t="s">
        <v>1138</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47"/>
        <v>0</v>
      </c>
      <c r="CO49" s="78">
        <f t="shared" si="48"/>
        <v>0</v>
      </c>
      <c r="CP49" s="78">
        <f t="shared" si="49"/>
        <v>0</v>
      </c>
      <c r="CQ49" s="78">
        <f t="shared" si="50"/>
        <v>0</v>
      </c>
      <c r="CR49" s="78">
        <f t="shared" si="51"/>
        <v>0</v>
      </c>
      <c r="CS49" s="78">
        <f t="shared" si="52"/>
        <v>0</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0</v>
      </c>
      <c r="DB49" s="78">
        <f t="shared" si="60"/>
        <v>1</v>
      </c>
      <c r="DC49" s="78">
        <f t="shared" si="61"/>
        <v>0</v>
      </c>
      <c r="DD49" s="78">
        <f t="shared" si="62"/>
        <v>0</v>
      </c>
      <c r="DE49" s="78">
        <f t="shared" si="63"/>
        <v>1</v>
      </c>
      <c r="DF49" s="78">
        <f t="shared" si="64"/>
        <v>1</v>
      </c>
      <c r="DG49" s="78" t="str">
        <f t="shared" si="65"/>
        <v>1</v>
      </c>
      <c r="DH49" s="78" t="str">
        <f t="shared" si="66"/>
        <v>1</v>
      </c>
      <c r="DI49" s="79" t="str">
        <f>IFERROR(IF(J49="","",VLOOKUP(J49,Lists!$D$3:$E$13,2,FALSE)),1)</f>
        <v/>
      </c>
      <c r="DJ49" s="79" t="str">
        <f>IFERROR(IF(K49="","",VLOOKUP(K49,Lists!$F$3:$G$14,2,FALSE)),1)</f>
        <v/>
      </c>
      <c r="DK49" s="79">
        <f>IFERROR(IF(M49="","",VLOOKUP(M49,Lists!$AA$3:$AB$18,2,FALSE)),1)</f>
        <v>0</v>
      </c>
      <c r="DL49" s="79">
        <f>IFERROR(IF(N49="","",VLOOKUP(N49,Lists!$AC$3:$AD$13,2,FALSE)),1)</f>
        <v>0</v>
      </c>
    </row>
    <row r="50" spans="1:116" ht="15" customHeight="1" x14ac:dyDescent="0.2">
      <c r="A50" s="20">
        <v>378137</v>
      </c>
      <c r="B50" s="19">
        <v>45671</v>
      </c>
      <c r="C50" s="64">
        <v>0.45833333333333331</v>
      </c>
      <c r="D50" s="64" t="s">
        <v>1136</v>
      </c>
      <c r="E50" s="19">
        <v>45671</v>
      </c>
      <c r="F50" s="20">
        <v>3</v>
      </c>
      <c r="G50" s="18" t="s">
        <v>1108</v>
      </c>
      <c r="H50" s="65"/>
      <c r="I50" s="18" t="s">
        <v>1121</v>
      </c>
      <c r="J50" s="66" t="s">
        <v>29</v>
      </c>
      <c r="K50" s="66" t="s">
        <v>420</v>
      </c>
      <c r="L50" s="67" t="s">
        <v>474</v>
      </c>
      <c r="M50" s="68"/>
      <c r="N50" s="68"/>
      <c r="O50" s="69"/>
      <c r="P50" s="134">
        <v>0.4548611111111111</v>
      </c>
      <c r="Q50" s="70"/>
      <c r="R50" s="134">
        <v>0.47569444444444442</v>
      </c>
      <c r="S50" s="70"/>
      <c r="T50" s="134">
        <v>0.5</v>
      </c>
      <c r="U50" s="70"/>
      <c r="V50" s="134">
        <v>0.50347222222222221</v>
      </c>
      <c r="W50" s="70"/>
      <c r="X50" s="134">
        <v>0.50416666666666665</v>
      </c>
      <c r="Y50" s="70"/>
      <c r="Z50" s="134">
        <v>0.51041666666666663</v>
      </c>
      <c r="AA50" s="70" t="s">
        <v>1121</v>
      </c>
      <c r="AB50" s="19">
        <v>45671</v>
      </c>
      <c r="AC50" s="20" t="s">
        <v>1108</v>
      </c>
      <c r="AD50" s="19"/>
      <c r="AE50" s="71">
        <f t="shared" si="25"/>
        <v>655</v>
      </c>
      <c r="AF50" s="71">
        <f t="shared" si="26"/>
        <v>725</v>
      </c>
      <c r="AG50" s="71">
        <f t="shared" si="27"/>
        <v>70</v>
      </c>
      <c r="AH50" s="71">
        <f t="shared" si="28"/>
        <v>70</v>
      </c>
      <c r="AI50" s="71" t="str">
        <f t="shared" si="29"/>
        <v/>
      </c>
      <c r="AJ50" s="71" t="str">
        <f t="shared" si="30"/>
        <v/>
      </c>
      <c r="AK50" s="71" t="str">
        <f t="shared" si="31"/>
        <v/>
      </c>
      <c r="AL50" s="71">
        <f t="shared" si="32"/>
        <v>70</v>
      </c>
      <c r="AM50" s="71">
        <f t="shared" si="33"/>
        <v>0</v>
      </c>
      <c r="AN50" s="72">
        <f t="shared" si="34"/>
        <v>1.7361111111111105E-2</v>
      </c>
      <c r="AO50" s="73">
        <f t="shared" si="35"/>
        <v>0</v>
      </c>
      <c r="AP50" s="72" t="str">
        <f t="shared" si="36"/>
        <v>No</v>
      </c>
      <c r="AQ50" s="72">
        <f t="shared" si="37"/>
        <v>6.2499999999999778E-3</v>
      </c>
      <c r="AR50" s="72" t="str">
        <f t="shared" si="38"/>
        <v>Yes</v>
      </c>
      <c r="AS50" s="72" t="str">
        <f t="shared" si="39"/>
        <v>No</v>
      </c>
      <c r="AT50" s="72" t="str">
        <f t="shared" si="40"/>
        <v>No</v>
      </c>
      <c r="AU50" s="3"/>
      <c r="AV50" s="3"/>
      <c r="AW50" s="3"/>
      <c r="AX50" s="3"/>
      <c r="AY50" s="20" t="s">
        <v>1172</v>
      </c>
      <c r="AZ50" s="46"/>
      <c r="BA50" s="20"/>
      <c r="BB50" s="46"/>
      <c r="BC50" s="20"/>
      <c r="BD50" s="20"/>
      <c r="BE50" s="20"/>
      <c r="BF50" s="47" t="str">
        <f t="shared" si="67"/>
        <v/>
      </c>
      <c r="BG50" s="3"/>
      <c r="BH50" s="154" t="s">
        <v>455</v>
      </c>
      <c r="BI50" s="155"/>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47"/>
        <v>0</v>
      </c>
      <c r="CO50" s="78">
        <f t="shared" si="48"/>
        <v>0</v>
      </c>
      <c r="CP50" s="78">
        <f t="shared" si="49"/>
        <v>0</v>
      </c>
      <c r="CQ50" s="78">
        <f t="shared" si="50"/>
        <v>0</v>
      </c>
      <c r="CR50" s="78">
        <f t="shared" si="51"/>
        <v>0</v>
      </c>
      <c r="CS50" s="78">
        <f t="shared" si="52"/>
        <v>0</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0</v>
      </c>
      <c r="DB50" s="78">
        <f t="shared" si="60"/>
        <v>0</v>
      </c>
      <c r="DC50" s="78">
        <f t="shared" si="61"/>
        <v>0</v>
      </c>
      <c r="DD50" s="78">
        <f t="shared" si="62"/>
        <v>0</v>
      </c>
      <c r="DE50" s="78">
        <f t="shared" si="63"/>
        <v>1</v>
      </c>
      <c r="DF50" s="78">
        <f t="shared" si="64"/>
        <v>1</v>
      </c>
      <c r="DG50" s="78">
        <f t="shared" si="65"/>
        <v>1</v>
      </c>
      <c r="DH50" s="78" t="str">
        <f t="shared" si="66"/>
        <v>1</v>
      </c>
      <c r="DI50" s="79">
        <f>IFERROR(IF(J50="","",VLOOKUP(J50,Lists!$D$3:$E$13,2,FALSE)),1)</f>
        <v>0</v>
      </c>
      <c r="DJ50" s="79">
        <f>IFERROR(IF(K50="","",VLOOKUP(K50,Lists!$F$3:$G$14,2,FALSE)),1)</f>
        <v>0</v>
      </c>
      <c r="DK50" s="79" t="str">
        <f>IFERROR(IF(M50="","",VLOOKUP(M50,Lists!$AA$3:$AB$18,2,FALSE)),1)</f>
        <v/>
      </c>
      <c r="DL50" s="79" t="str">
        <f>IFERROR(IF(N50="","",VLOOKUP(N50,Lists!$AC$3:$AD$13,2,FALSE)),1)</f>
        <v/>
      </c>
    </row>
    <row r="51" spans="1:116" ht="15" customHeight="1" x14ac:dyDescent="0.25">
      <c r="A51" s="20">
        <v>414503</v>
      </c>
      <c r="B51" s="19">
        <v>45671</v>
      </c>
      <c r="C51" s="64">
        <v>0.54166666666666663</v>
      </c>
      <c r="D51" s="64" t="s">
        <v>1135</v>
      </c>
      <c r="E51" s="19">
        <v>45670</v>
      </c>
      <c r="F51" s="20">
        <v>3</v>
      </c>
      <c r="G51" s="18" t="s">
        <v>1108</v>
      </c>
      <c r="H51" s="65"/>
      <c r="I51" s="18" t="s">
        <v>1108</v>
      </c>
      <c r="J51" s="66"/>
      <c r="K51" s="66"/>
      <c r="L51" s="67"/>
      <c r="M51" s="68" t="s">
        <v>29</v>
      </c>
      <c r="N51" s="68" t="s">
        <v>420</v>
      </c>
      <c r="O51" s="69" t="s">
        <v>1211</v>
      </c>
      <c r="P51" s="134">
        <v>0.53472222222222221</v>
      </c>
      <c r="Q51" s="70"/>
      <c r="R51" s="134">
        <v>0.55555555555555558</v>
      </c>
      <c r="S51" s="70"/>
      <c r="T51" s="134">
        <v>0.64097222222222217</v>
      </c>
      <c r="U51" s="70"/>
      <c r="V51" s="134">
        <v>0.65625</v>
      </c>
      <c r="W51" s="70"/>
      <c r="X51" s="134">
        <v>0.65694444444444444</v>
      </c>
      <c r="Y51" s="70"/>
      <c r="Z51" s="134">
        <v>0.66319444444444442</v>
      </c>
      <c r="AA51" s="70" t="s">
        <v>1108</v>
      </c>
      <c r="AB51" s="19"/>
      <c r="AC51" s="20" t="s">
        <v>1108</v>
      </c>
      <c r="AD51" s="19"/>
      <c r="AE51" s="71">
        <f t="shared" si="25"/>
        <v>770</v>
      </c>
      <c r="AF51" s="71">
        <f t="shared" si="26"/>
        <v>945</v>
      </c>
      <c r="AG51" s="71">
        <f t="shared" si="27"/>
        <v>175</v>
      </c>
      <c r="AH51" s="71">
        <f t="shared" si="28"/>
        <v>175</v>
      </c>
      <c r="AI51" s="71" t="str">
        <f t="shared" si="29"/>
        <v/>
      </c>
      <c r="AJ51" s="71" t="str">
        <f t="shared" si="30"/>
        <v/>
      </c>
      <c r="AK51" s="71" t="str">
        <f t="shared" si="31"/>
        <v/>
      </c>
      <c r="AL51" s="71">
        <f t="shared" si="32"/>
        <v>175</v>
      </c>
      <c r="AM51" s="71">
        <f t="shared" si="33"/>
        <v>0</v>
      </c>
      <c r="AN51" s="72">
        <f t="shared" si="34"/>
        <v>1.3888888888888951E-2</v>
      </c>
      <c r="AO51" s="73">
        <f t="shared" si="35"/>
        <v>1</v>
      </c>
      <c r="AP51" s="72" t="str">
        <f t="shared" si="36"/>
        <v>No</v>
      </c>
      <c r="AQ51" s="72">
        <f t="shared" si="37"/>
        <v>6.2499999999999778E-3</v>
      </c>
      <c r="AR51" s="72" t="str">
        <f t="shared" si="38"/>
        <v/>
      </c>
      <c r="AS51" s="72" t="str">
        <f t="shared" si="39"/>
        <v/>
      </c>
      <c r="AT51" s="72" t="str">
        <f t="shared" si="40"/>
        <v/>
      </c>
      <c r="AU51" s="3"/>
      <c r="AV51" s="3"/>
      <c r="AW51" s="3"/>
      <c r="AX51" s="3"/>
      <c r="AY51" s="20" t="s">
        <v>1173</v>
      </c>
      <c r="AZ51" s="46"/>
      <c r="BA51" s="20"/>
      <c r="BB51" s="46"/>
      <c r="BC51" s="20"/>
      <c r="BD51" s="20"/>
      <c r="BE51" s="20"/>
      <c r="BF51" s="47" t="str">
        <f t="shared" si="67"/>
        <v/>
      </c>
      <c r="BG51" s="3"/>
      <c r="BH51" s="156" t="s">
        <v>456</v>
      </c>
      <c r="BI51" s="157"/>
      <c r="BJ51" s="45" cm="1">
        <f t="array" ref="BJ51">SUMPRODUCT(--(MONTH(B2:B1288)=MONTH(Script!B2)),--(B2:B1288&lt;&gt;""))</f>
        <v>134</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47"/>
        <v>0</v>
      </c>
      <c r="CO51" s="78">
        <f t="shared" si="48"/>
        <v>0</v>
      </c>
      <c r="CP51" s="78">
        <f t="shared" si="49"/>
        <v>0</v>
      </c>
      <c r="CQ51" s="78">
        <f t="shared" si="50"/>
        <v>0</v>
      </c>
      <c r="CR51" s="78">
        <f t="shared" si="51"/>
        <v>0</v>
      </c>
      <c r="CS51" s="78">
        <f t="shared" si="52"/>
        <v>0</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f t="shared" si="63"/>
        <v>1</v>
      </c>
      <c r="DF51" s="78">
        <f t="shared" si="64"/>
        <v>1</v>
      </c>
      <c r="DG51" s="78" t="str">
        <f t="shared" si="65"/>
        <v>1</v>
      </c>
      <c r="DH51" s="78" t="str">
        <f t="shared" si="66"/>
        <v>1</v>
      </c>
      <c r="DI51" s="79" t="str">
        <f>IFERROR(IF(J51="","",VLOOKUP(J51,Lists!$D$3:$E$13,2,FALSE)),1)</f>
        <v/>
      </c>
      <c r="DJ51" s="79" t="str">
        <f>IFERROR(IF(K51="","",VLOOKUP(K51,Lists!$F$3:$G$14,2,FALSE)),1)</f>
        <v/>
      </c>
      <c r="DK51" s="79">
        <f>IFERROR(IF(M51="","",VLOOKUP(M51,Lists!$AA$3:$AB$18,2,FALSE)),1)</f>
        <v>0</v>
      </c>
      <c r="DL51" s="79">
        <f>IFERROR(IF(N51="","",VLOOKUP(N51,Lists!$AC$3:$AD$13,2,FALSE)),1)</f>
        <v>0</v>
      </c>
    </row>
    <row r="52" spans="1:116" ht="15" customHeight="1" x14ac:dyDescent="0.25">
      <c r="A52" s="20">
        <v>156530</v>
      </c>
      <c r="B52" s="19">
        <v>45671</v>
      </c>
      <c r="C52" s="64">
        <v>0.33333333333333331</v>
      </c>
      <c r="D52" s="64" t="s">
        <v>1111</v>
      </c>
      <c r="E52" s="19">
        <v>45671</v>
      </c>
      <c r="F52" s="20">
        <v>4</v>
      </c>
      <c r="G52" s="18" t="s">
        <v>1108</v>
      </c>
      <c r="H52" s="65"/>
      <c r="I52" s="18" t="s">
        <v>1121</v>
      </c>
      <c r="J52" s="66" t="s">
        <v>27</v>
      </c>
      <c r="K52" s="66" t="s">
        <v>420</v>
      </c>
      <c r="L52" s="67" t="s">
        <v>1212</v>
      </c>
      <c r="M52" s="68"/>
      <c r="N52" s="68"/>
      <c r="O52" s="69"/>
      <c r="P52" s="134">
        <v>0.32916666666666666</v>
      </c>
      <c r="Q52" s="70"/>
      <c r="R52" s="134">
        <v>0.35694444444444445</v>
      </c>
      <c r="S52" s="70"/>
      <c r="T52" s="134">
        <v>0.46180555555555558</v>
      </c>
      <c r="U52" s="70"/>
      <c r="V52" s="134">
        <v>0.47222222222222227</v>
      </c>
      <c r="W52" s="70"/>
      <c r="X52" s="134">
        <v>0.47291666666666665</v>
      </c>
      <c r="Y52" s="70"/>
      <c r="Z52" s="134">
        <v>0.47916666666666669</v>
      </c>
      <c r="AA52" s="70" t="s">
        <v>1121</v>
      </c>
      <c r="AB52" s="19">
        <v>45671</v>
      </c>
      <c r="AC52" s="20" t="s">
        <v>1108</v>
      </c>
      <c r="AD52" s="19"/>
      <c r="AE52" s="71">
        <f t="shared" si="25"/>
        <v>474</v>
      </c>
      <c r="AF52" s="71">
        <f t="shared" si="26"/>
        <v>680</v>
      </c>
      <c r="AG52" s="71">
        <f t="shared" si="27"/>
        <v>206</v>
      </c>
      <c r="AH52" s="71">
        <f t="shared" si="28"/>
        <v>0</v>
      </c>
      <c r="AI52" s="71">
        <f t="shared" si="29"/>
        <v>200</v>
      </c>
      <c r="AJ52" s="71" t="str">
        <f t="shared" si="30"/>
        <v/>
      </c>
      <c r="AK52" s="71" t="str">
        <f t="shared" si="31"/>
        <v/>
      </c>
      <c r="AL52" s="71">
        <f t="shared" si="32"/>
        <v>200</v>
      </c>
      <c r="AM52" s="71">
        <f t="shared" si="33"/>
        <v>6</v>
      </c>
      <c r="AN52" s="72">
        <f t="shared" si="34"/>
        <v>2.3611111111111138E-2</v>
      </c>
      <c r="AO52" s="73">
        <f t="shared" si="35"/>
        <v>0</v>
      </c>
      <c r="AP52" s="72" t="str">
        <f t="shared" si="36"/>
        <v>No</v>
      </c>
      <c r="AQ52" s="72">
        <f t="shared" si="37"/>
        <v>6.2500000000000333E-3</v>
      </c>
      <c r="AR52" s="72" t="str">
        <f t="shared" si="38"/>
        <v>Yes</v>
      </c>
      <c r="AS52" s="72" t="str">
        <f t="shared" si="39"/>
        <v>No</v>
      </c>
      <c r="AT52" s="72" t="str">
        <f t="shared" si="40"/>
        <v>No</v>
      </c>
      <c r="AU52" s="3"/>
      <c r="AV52" s="3"/>
      <c r="AW52" s="3"/>
      <c r="AX52" s="3"/>
      <c r="AY52" s="20" t="s">
        <v>1136</v>
      </c>
      <c r="AZ52" s="46"/>
      <c r="BA52" s="20"/>
      <c r="BB52" s="46"/>
      <c r="BC52" s="20"/>
      <c r="BD52" s="20"/>
      <c r="BE52" s="20"/>
      <c r="BF52" s="47" t="str">
        <f t="shared" si="67"/>
        <v/>
      </c>
      <c r="BG52" s="3"/>
      <c r="BH52" s="156" t="s">
        <v>457</v>
      </c>
      <c r="BI52" s="157"/>
      <c r="BJ52" s="45" cm="1">
        <f t="array" ref="BJ52">SUMPRODUCT(--(YEAR(B2:B1288)='Summary Sheet'!C9))</f>
        <v>134</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47"/>
        <v>0</v>
      </c>
      <c r="CO52" s="78">
        <f t="shared" si="48"/>
        <v>0</v>
      </c>
      <c r="CP52" s="78">
        <f t="shared" si="49"/>
        <v>0</v>
      </c>
      <c r="CQ52" s="78">
        <f t="shared" si="50"/>
        <v>0</v>
      </c>
      <c r="CR52" s="78">
        <f t="shared" si="51"/>
        <v>0</v>
      </c>
      <c r="CS52" s="78">
        <f t="shared" si="52"/>
        <v>0</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0</v>
      </c>
      <c r="DC52" s="78">
        <f t="shared" si="61"/>
        <v>0</v>
      </c>
      <c r="DD52" s="78">
        <f t="shared" si="62"/>
        <v>0</v>
      </c>
      <c r="DE52" s="78">
        <f t="shared" si="63"/>
        <v>1</v>
      </c>
      <c r="DF52" s="78">
        <f t="shared" si="64"/>
        <v>1</v>
      </c>
      <c r="DG52" s="78">
        <f t="shared" si="65"/>
        <v>1</v>
      </c>
      <c r="DH52" s="78" t="str">
        <f t="shared" si="66"/>
        <v>1</v>
      </c>
      <c r="DI52" s="79">
        <f>IFERROR(IF(J52="","",VLOOKUP(J52,Lists!$D$3:$E$13,2,FALSE)),1)</f>
        <v>0</v>
      </c>
      <c r="DJ52" s="79">
        <f>IFERROR(IF(K52="","",VLOOKUP(K52,Lists!$F$3:$G$14,2,FALSE)),1)</f>
        <v>0</v>
      </c>
      <c r="DK52" s="79" t="str">
        <f>IFERROR(IF(M52="","",VLOOKUP(M52,Lists!$AA$3:$AB$18,2,FALSE)),1)</f>
        <v/>
      </c>
      <c r="DL52" s="79" t="str">
        <f>IFERROR(IF(N52="","",VLOOKUP(N52,Lists!$AC$3:$AD$13,2,FALSE)),1)</f>
        <v/>
      </c>
    </row>
    <row r="53" spans="1:116" ht="15" customHeight="1" x14ac:dyDescent="0.25">
      <c r="A53" s="20">
        <v>419406</v>
      </c>
      <c r="B53" s="19">
        <v>45671</v>
      </c>
      <c r="C53" s="64">
        <v>0.5</v>
      </c>
      <c r="D53" s="64" t="s">
        <v>1147</v>
      </c>
      <c r="E53" s="19">
        <v>45671</v>
      </c>
      <c r="F53" s="20">
        <v>4</v>
      </c>
      <c r="G53" s="18" t="s">
        <v>1108</v>
      </c>
      <c r="H53" s="65"/>
      <c r="I53" s="18" t="s">
        <v>1121</v>
      </c>
      <c r="J53" s="66" t="s">
        <v>27</v>
      </c>
      <c r="K53" s="66" t="s">
        <v>420</v>
      </c>
      <c r="L53" s="67" t="s">
        <v>1124</v>
      </c>
      <c r="M53" s="68"/>
      <c r="N53" s="68"/>
      <c r="O53" s="69"/>
      <c r="P53" s="134">
        <v>0.48958333333333331</v>
      </c>
      <c r="Q53" s="70"/>
      <c r="R53" s="134">
        <v>0.51388888888888895</v>
      </c>
      <c r="S53" s="70"/>
      <c r="T53" s="134">
        <v>0.55208333333333337</v>
      </c>
      <c r="U53" s="70"/>
      <c r="V53" s="134">
        <v>0.5625</v>
      </c>
      <c r="W53" s="70"/>
      <c r="X53" s="134">
        <v>0.56319444444444444</v>
      </c>
      <c r="Y53" s="70"/>
      <c r="Z53" s="134">
        <v>0.56944444444444442</v>
      </c>
      <c r="AA53" s="70" t="s">
        <v>1121</v>
      </c>
      <c r="AB53" s="19">
        <v>45671</v>
      </c>
      <c r="AC53" s="20" t="s">
        <v>1108</v>
      </c>
      <c r="AD53" s="19"/>
      <c r="AE53" s="71">
        <f t="shared" si="25"/>
        <v>705</v>
      </c>
      <c r="AF53" s="71">
        <f t="shared" si="26"/>
        <v>810</v>
      </c>
      <c r="AG53" s="71">
        <f t="shared" si="27"/>
        <v>105</v>
      </c>
      <c r="AH53" s="71">
        <f t="shared" si="28"/>
        <v>105</v>
      </c>
      <c r="AI53" s="71" t="str">
        <f t="shared" si="29"/>
        <v/>
      </c>
      <c r="AJ53" s="71" t="str">
        <f t="shared" si="30"/>
        <v/>
      </c>
      <c r="AK53" s="71" t="str">
        <f t="shared" si="31"/>
        <v/>
      </c>
      <c r="AL53" s="71">
        <f t="shared" si="32"/>
        <v>105</v>
      </c>
      <c r="AM53" s="71">
        <f t="shared" si="33"/>
        <v>0</v>
      </c>
      <c r="AN53" s="72">
        <f t="shared" si="34"/>
        <v>1.3888888888888951E-2</v>
      </c>
      <c r="AO53" s="73">
        <f t="shared" si="35"/>
        <v>0</v>
      </c>
      <c r="AP53" s="72" t="str">
        <f t="shared" si="36"/>
        <v>No</v>
      </c>
      <c r="AQ53" s="72">
        <f t="shared" si="37"/>
        <v>6.2499999999999778E-3</v>
      </c>
      <c r="AR53" s="72" t="str">
        <f t="shared" si="38"/>
        <v>Yes</v>
      </c>
      <c r="AS53" s="72" t="str">
        <f t="shared" si="39"/>
        <v>No</v>
      </c>
      <c r="AT53" s="72" t="str">
        <f t="shared" si="40"/>
        <v>No</v>
      </c>
      <c r="AU53" s="3"/>
      <c r="AV53" s="3"/>
      <c r="AW53" s="3"/>
      <c r="AX53" s="3"/>
      <c r="AY53" s="20" t="s">
        <v>1174</v>
      </c>
      <c r="AZ53" s="46"/>
      <c r="BA53" s="20"/>
      <c r="BB53" s="46"/>
      <c r="BC53" s="20"/>
      <c r="BD53" s="20"/>
      <c r="BE53" s="20"/>
      <c r="BF53" s="47" t="str">
        <f t="shared" si="67"/>
        <v/>
      </c>
      <c r="BG53" s="3"/>
      <c r="BH53" s="156" t="s">
        <v>458</v>
      </c>
      <c r="BI53" s="158"/>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47"/>
        <v>0</v>
      </c>
      <c r="CO53" s="78">
        <f t="shared" si="48"/>
        <v>0</v>
      </c>
      <c r="CP53" s="78">
        <f t="shared" si="49"/>
        <v>0</v>
      </c>
      <c r="CQ53" s="78">
        <f t="shared" si="50"/>
        <v>0</v>
      </c>
      <c r="CR53" s="78">
        <f t="shared" si="51"/>
        <v>0</v>
      </c>
      <c r="CS53" s="78">
        <f t="shared" si="52"/>
        <v>0</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0</v>
      </c>
      <c r="DC53" s="78">
        <f t="shared" si="61"/>
        <v>0</v>
      </c>
      <c r="DD53" s="78">
        <f t="shared" si="62"/>
        <v>0</v>
      </c>
      <c r="DE53" s="78">
        <f t="shared" si="63"/>
        <v>1</v>
      </c>
      <c r="DF53" s="78">
        <f t="shared" si="64"/>
        <v>1</v>
      </c>
      <c r="DG53" s="78">
        <f t="shared" si="65"/>
        <v>1</v>
      </c>
      <c r="DH53" s="78" t="str">
        <f t="shared" si="66"/>
        <v>1</v>
      </c>
      <c r="DI53" s="79">
        <f>IFERROR(IF(J53="","",VLOOKUP(J53,Lists!$D$3:$E$13,2,FALSE)),1)</f>
        <v>0</v>
      </c>
      <c r="DJ53" s="79">
        <f>IFERROR(IF(K53="","",VLOOKUP(K53,Lists!$F$3:$G$14,2,FALSE)),1)</f>
        <v>0</v>
      </c>
      <c r="DK53" s="79" t="str">
        <f>IFERROR(IF(M53="","",VLOOKUP(M53,Lists!$AA$3:$AB$18,2,FALSE)),1)</f>
        <v/>
      </c>
      <c r="DL53" s="79" t="str">
        <f>IFERROR(IF(N53="","",VLOOKUP(N53,Lists!$AC$3:$AD$13,2,FALSE)),1)</f>
        <v/>
      </c>
    </row>
    <row r="54" spans="1:116" ht="15" customHeight="1" x14ac:dyDescent="0.2">
      <c r="A54" s="20">
        <v>423355</v>
      </c>
      <c r="B54" s="19">
        <v>45671</v>
      </c>
      <c r="C54" s="64">
        <v>0.58333333333333337</v>
      </c>
      <c r="D54" s="64" t="s">
        <v>1117</v>
      </c>
      <c r="E54" s="19">
        <v>45671</v>
      </c>
      <c r="F54" s="20">
        <v>4</v>
      </c>
      <c r="G54" s="18" t="s">
        <v>1108</v>
      </c>
      <c r="H54" s="65"/>
      <c r="I54" s="18" t="s">
        <v>1121</v>
      </c>
      <c r="J54" s="66" t="s">
        <v>27</v>
      </c>
      <c r="K54" s="66" t="s">
        <v>420</v>
      </c>
      <c r="L54" s="67" t="s">
        <v>1213</v>
      </c>
      <c r="M54" s="68"/>
      <c r="N54" s="68"/>
      <c r="O54" s="69"/>
      <c r="P54" s="134">
        <v>0.57013888888888886</v>
      </c>
      <c r="Q54" s="70"/>
      <c r="R54" s="134">
        <v>0.57708333333333328</v>
      </c>
      <c r="S54" s="70"/>
      <c r="T54" s="134">
        <v>0.59722222222222221</v>
      </c>
      <c r="U54" s="70"/>
      <c r="V54" s="134">
        <v>0.60069444444444442</v>
      </c>
      <c r="W54" s="70"/>
      <c r="X54" s="134">
        <v>0.60138888888888886</v>
      </c>
      <c r="Y54" s="70"/>
      <c r="Z54" s="134">
        <v>0.60763888888888895</v>
      </c>
      <c r="AA54" s="70" t="s">
        <v>1121</v>
      </c>
      <c r="AB54" s="19">
        <v>45671</v>
      </c>
      <c r="AC54" s="20" t="s">
        <v>1108</v>
      </c>
      <c r="AD54" s="19"/>
      <c r="AE54" s="71">
        <f t="shared" si="25"/>
        <v>821</v>
      </c>
      <c r="AF54" s="71">
        <f t="shared" si="26"/>
        <v>865</v>
      </c>
      <c r="AG54" s="71">
        <f t="shared" si="27"/>
        <v>44</v>
      </c>
      <c r="AH54" s="71">
        <f t="shared" si="28"/>
        <v>44</v>
      </c>
      <c r="AI54" s="71" t="str">
        <f t="shared" si="29"/>
        <v/>
      </c>
      <c r="AJ54" s="71" t="str">
        <f t="shared" si="30"/>
        <v/>
      </c>
      <c r="AK54" s="71" t="str">
        <f t="shared" si="31"/>
        <v/>
      </c>
      <c r="AL54" s="71">
        <f t="shared" si="32"/>
        <v>44</v>
      </c>
      <c r="AM54" s="71">
        <f t="shared" si="33"/>
        <v>0</v>
      </c>
      <c r="AN54" s="72">
        <f t="shared" si="34"/>
        <v>0</v>
      </c>
      <c r="AO54" s="73">
        <f t="shared" si="35"/>
        <v>0</v>
      </c>
      <c r="AP54" s="72" t="str">
        <f t="shared" si="36"/>
        <v>Yes</v>
      </c>
      <c r="AQ54" s="72">
        <f t="shared" si="37"/>
        <v>6.2500000000000888E-3</v>
      </c>
      <c r="AR54" s="72" t="str">
        <f t="shared" si="38"/>
        <v>Yes</v>
      </c>
      <c r="AS54" s="72" t="str">
        <f t="shared" si="39"/>
        <v>No</v>
      </c>
      <c r="AT54" s="72" t="str">
        <f t="shared" si="40"/>
        <v>No</v>
      </c>
      <c r="AU54" s="3"/>
      <c r="AV54" s="3"/>
      <c r="AW54" s="3"/>
      <c r="AX54" s="3"/>
      <c r="AY54" s="20" t="s">
        <v>1175</v>
      </c>
      <c r="AZ54" s="46"/>
      <c r="BA54" s="20"/>
      <c r="BB54" s="46"/>
      <c r="BC54" s="20"/>
      <c r="BD54" s="20"/>
      <c r="BE54" s="20"/>
      <c r="BF54" s="47" t="str">
        <f t="shared" si="67"/>
        <v/>
      </c>
      <c r="BG54" s="3"/>
      <c r="BH54" s="154" t="s">
        <v>459</v>
      </c>
      <c r="BI54" s="155"/>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47"/>
        <v>0</v>
      </c>
      <c r="CO54" s="78">
        <f t="shared" si="48"/>
        <v>0</v>
      </c>
      <c r="CP54" s="78">
        <f t="shared" si="49"/>
        <v>0</v>
      </c>
      <c r="CQ54" s="78">
        <f t="shared" si="50"/>
        <v>0</v>
      </c>
      <c r="CR54" s="78">
        <f t="shared" si="51"/>
        <v>0</v>
      </c>
      <c r="CS54" s="78">
        <f t="shared" si="52"/>
        <v>0</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0</v>
      </c>
      <c r="DC54" s="78">
        <f t="shared" si="61"/>
        <v>0</v>
      </c>
      <c r="DD54" s="78">
        <f t="shared" si="62"/>
        <v>0</v>
      </c>
      <c r="DE54" s="78">
        <f t="shared" si="63"/>
        <v>1</v>
      </c>
      <c r="DF54" s="78">
        <f t="shared" si="64"/>
        <v>1</v>
      </c>
      <c r="DG54" s="78">
        <f t="shared" si="65"/>
        <v>1</v>
      </c>
      <c r="DH54" s="78" t="str">
        <f t="shared" si="66"/>
        <v>1</v>
      </c>
      <c r="DI54" s="79">
        <f>IFERROR(IF(J54="","",VLOOKUP(J54,Lists!$D$3:$E$13,2,FALSE)),1)</f>
        <v>0</v>
      </c>
      <c r="DJ54" s="79">
        <f>IFERROR(IF(K54="","",VLOOKUP(K54,Lists!$F$3:$G$14,2,FALSE)),1)</f>
        <v>0</v>
      </c>
      <c r="DK54" s="79" t="str">
        <f>IFERROR(IF(M54="","",VLOOKUP(M54,Lists!$AA$3:$AB$18,2,FALSE)),1)</f>
        <v/>
      </c>
      <c r="DL54" s="79" t="str">
        <f>IFERROR(IF(N54="","",VLOOKUP(N54,Lists!$AC$3:$AD$13,2,FALSE)),1)</f>
        <v/>
      </c>
    </row>
    <row r="55" spans="1:116" ht="15" customHeight="1" x14ac:dyDescent="0.25">
      <c r="A55" s="20">
        <v>365966</v>
      </c>
      <c r="B55" s="19">
        <v>45671</v>
      </c>
      <c r="C55" s="64">
        <v>0.625</v>
      </c>
      <c r="D55" s="64" t="s">
        <v>1117</v>
      </c>
      <c r="E55" s="19">
        <v>45671</v>
      </c>
      <c r="F55" s="20">
        <v>4</v>
      </c>
      <c r="G55" s="18" t="s">
        <v>1108</v>
      </c>
      <c r="H55" s="65"/>
      <c r="I55" s="18" t="s">
        <v>1121</v>
      </c>
      <c r="J55" s="66" t="s">
        <v>27</v>
      </c>
      <c r="K55" s="66" t="s">
        <v>420</v>
      </c>
      <c r="L55" s="67" t="s">
        <v>1214</v>
      </c>
      <c r="M55" s="68"/>
      <c r="N55" s="68"/>
      <c r="O55" s="69"/>
      <c r="P55" s="134">
        <v>0.61111111111111105</v>
      </c>
      <c r="Q55" s="70"/>
      <c r="R55" s="134">
        <v>0.625</v>
      </c>
      <c r="S55" s="70"/>
      <c r="T55" s="134">
        <v>0.72222222222222221</v>
      </c>
      <c r="U55" s="70"/>
      <c r="V55" s="134">
        <v>0.7368055555555556</v>
      </c>
      <c r="W55" s="70"/>
      <c r="X55" s="134">
        <v>0.73749999999999993</v>
      </c>
      <c r="Y55" s="70"/>
      <c r="Z55" s="134">
        <v>0.74305555555555547</v>
      </c>
      <c r="AA55" s="70" t="s">
        <v>1121</v>
      </c>
      <c r="AB55" s="19">
        <v>45671</v>
      </c>
      <c r="AC55" s="20" t="s">
        <v>1108</v>
      </c>
      <c r="AD55" s="19"/>
      <c r="AE55" s="71">
        <f t="shared" si="25"/>
        <v>880</v>
      </c>
      <c r="AF55" s="71">
        <f t="shared" si="26"/>
        <v>1061</v>
      </c>
      <c r="AG55" s="71">
        <f t="shared" si="27"/>
        <v>181</v>
      </c>
      <c r="AH55" s="71" t="str">
        <f t="shared" si="28"/>
        <v/>
      </c>
      <c r="AI55" s="71" t="str">
        <f t="shared" si="29"/>
        <v/>
      </c>
      <c r="AJ55" s="71">
        <f t="shared" si="30"/>
        <v>80</v>
      </c>
      <c r="AK55" s="71" t="str">
        <f t="shared" si="31"/>
        <v/>
      </c>
      <c r="AL55" s="71">
        <f t="shared" si="32"/>
        <v>80</v>
      </c>
      <c r="AM55" s="71">
        <f t="shared" si="33"/>
        <v>101</v>
      </c>
      <c r="AN55" s="72">
        <f t="shared" si="34"/>
        <v>0</v>
      </c>
      <c r="AO55" s="73">
        <f t="shared" si="35"/>
        <v>0</v>
      </c>
      <c r="AP55" s="72" t="str">
        <f t="shared" si="36"/>
        <v>Yes</v>
      </c>
      <c r="AQ55" s="72">
        <f t="shared" si="37"/>
        <v>5.5555555555555358E-3</v>
      </c>
      <c r="AR55" s="72" t="str">
        <f t="shared" si="38"/>
        <v>Yes</v>
      </c>
      <c r="AS55" s="72" t="str">
        <f t="shared" si="39"/>
        <v>No</v>
      </c>
      <c r="AT55" s="72" t="str">
        <f t="shared" si="40"/>
        <v>No</v>
      </c>
      <c r="AU55" s="3"/>
      <c r="AV55" s="3"/>
      <c r="AW55" s="3"/>
      <c r="AX55" s="3"/>
      <c r="AY55" s="20" t="s">
        <v>1139</v>
      </c>
      <c r="AZ55" s="46"/>
      <c r="BA55" s="20"/>
      <c r="BB55" s="46"/>
      <c r="BC55" s="20"/>
      <c r="BD55" s="20"/>
      <c r="BE55" s="20"/>
      <c r="BF55" s="47" t="str">
        <f t="shared" si="67"/>
        <v/>
      </c>
      <c r="BG55" s="3"/>
      <c r="BH55" s="156" t="s">
        <v>377</v>
      </c>
      <c r="BI55" s="157"/>
      <c r="BJ55" s="63">
        <f>COUNTIF(CN$2:CN$1288,1)/$BJ$11</f>
        <v>0</v>
      </c>
      <c r="BK55" s="58">
        <f>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47"/>
        <v>0</v>
      </c>
      <c r="CO55" s="78">
        <f t="shared" si="48"/>
        <v>0</v>
      </c>
      <c r="CP55" s="78">
        <f t="shared" si="49"/>
        <v>0</v>
      </c>
      <c r="CQ55" s="78">
        <f t="shared" si="50"/>
        <v>0</v>
      </c>
      <c r="CR55" s="78">
        <f t="shared" si="51"/>
        <v>0</v>
      </c>
      <c r="CS55" s="78">
        <f t="shared" si="52"/>
        <v>0</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1</v>
      </c>
      <c r="DC55" s="78">
        <f t="shared" si="61"/>
        <v>0</v>
      </c>
      <c r="DD55" s="78">
        <f t="shared" si="62"/>
        <v>0</v>
      </c>
      <c r="DE55" s="78">
        <f t="shared" si="63"/>
        <v>1</v>
      </c>
      <c r="DF55" s="78">
        <f t="shared" si="64"/>
        <v>1</v>
      </c>
      <c r="DG55" s="78">
        <f t="shared" si="65"/>
        <v>1</v>
      </c>
      <c r="DH55" s="78" t="str">
        <f t="shared" si="66"/>
        <v>1</v>
      </c>
      <c r="DI55" s="79">
        <f>IFERROR(IF(J55="","",VLOOKUP(J55,Lists!$D$3:$E$13,2,FALSE)),1)</f>
        <v>0</v>
      </c>
      <c r="DJ55" s="79">
        <f>IFERROR(IF(K55="","",VLOOKUP(K55,Lists!$F$3:$G$14,2,FALSE)),1)</f>
        <v>0</v>
      </c>
      <c r="DK55" s="79" t="str">
        <f>IFERROR(IF(M55="","",VLOOKUP(M55,Lists!$AA$3:$AB$18,2,FALSE)),1)</f>
        <v/>
      </c>
      <c r="DL55" s="79" t="str">
        <f>IFERROR(IF(N55="","",VLOOKUP(N55,Lists!$AC$3:$AD$13,2,FALSE)),1)</f>
        <v/>
      </c>
    </row>
    <row r="56" spans="1:116" ht="15" customHeight="1" x14ac:dyDescent="0.25">
      <c r="A56" s="20">
        <v>74407</v>
      </c>
      <c r="B56" s="19">
        <v>45671</v>
      </c>
      <c r="C56" s="64">
        <v>0.33333333333333331</v>
      </c>
      <c r="D56" s="64" t="s">
        <v>1137</v>
      </c>
      <c r="E56" s="19">
        <v>45671</v>
      </c>
      <c r="F56" s="20">
        <v>5</v>
      </c>
      <c r="G56" s="18" t="s">
        <v>1108</v>
      </c>
      <c r="H56" s="65"/>
      <c r="I56" s="18" t="s">
        <v>1121</v>
      </c>
      <c r="J56" s="66" t="s">
        <v>39</v>
      </c>
      <c r="K56" s="66" t="s">
        <v>420</v>
      </c>
      <c r="L56" s="67" t="s">
        <v>1215</v>
      </c>
      <c r="M56" s="68"/>
      <c r="N56" s="68"/>
      <c r="O56" s="69"/>
      <c r="P56" s="134">
        <v>0.33124999999999999</v>
      </c>
      <c r="Q56" s="70"/>
      <c r="R56" s="134">
        <v>0.3520833333333333</v>
      </c>
      <c r="S56" s="70"/>
      <c r="T56" s="134">
        <v>0.47916666666666669</v>
      </c>
      <c r="U56" s="70"/>
      <c r="V56" s="134">
        <v>0.48749999999999999</v>
      </c>
      <c r="W56" s="70"/>
      <c r="X56" s="134">
        <v>0.48819444444444443</v>
      </c>
      <c r="Y56" s="70"/>
      <c r="Z56" s="134">
        <v>0.49305555555555558</v>
      </c>
      <c r="AA56" s="70" t="s">
        <v>1121</v>
      </c>
      <c r="AB56" s="19">
        <v>45671</v>
      </c>
      <c r="AC56" s="20" t="s">
        <v>1108</v>
      </c>
      <c r="AD56" s="19"/>
      <c r="AE56" s="71">
        <f t="shared" si="25"/>
        <v>477</v>
      </c>
      <c r="AF56" s="71">
        <f t="shared" si="26"/>
        <v>702</v>
      </c>
      <c r="AG56" s="71">
        <f t="shared" si="27"/>
        <v>225</v>
      </c>
      <c r="AH56" s="71">
        <f t="shared" si="28"/>
        <v>0</v>
      </c>
      <c r="AI56" s="71">
        <f t="shared" si="29"/>
        <v>222</v>
      </c>
      <c r="AJ56" s="71" t="str">
        <f t="shared" si="30"/>
        <v/>
      </c>
      <c r="AK56" s="71" t="str">
        <f t="shared" si="31"/>
        <v/>
      </c>
      <c r="AL56" s="71">
        <f t="shared" si="32"/>
        <v>222</v>
      </c>
      <c r="AM56" s="71">
        <f t="shared" si="33"/>
        <v>3</v>
      </c>
      <c r="AN56" s="72">
        <f t="shared" si="34"/>
        <v>1.8749999999999989E-2</v>
      </c>
      <c r="AO56" s="73">
        <f t="shared" si="35"/>
        <v>0</v>
      </c>
      <c r="AP56" s="72" t="str">
        <f t="shared" si="36"/>
        <v>No</v>
      </c>
      <c r="AQ56" s="72">
        <f t="shared" si="37"/>
        <v>4.8611111111111494E-3</v>
      </c>
      <c r="AR56" s="72" t="str">
        <f t="shared" si="38"/>
        <v>Yes</v>
      </c>
      <c r="AS56" s="72" t="str">
        <f t="shared" si="39"/>
        <v>No</v>
      </c>
      <c r="AT56" s="72" t="str">
        <f t="shared" si="40"/>
        <v>No</v>
      </c>
      <c r="AU56" s="3"/>
      <c r="AV56" s="3"/>
      <c r="AW56" s="3"/>
      <c r="AX56" s="3"/>
      <c r="AY56" s="20" t="s">
        <v>1107</v>
      </c>
      <c r="AZ56" s="46"/>
      <c r="BA56" s="20"/>
      <c r="BB56" s="46"/>
      <c r="BC56" s="20"/>
      <c r="BD56" s="20"/>
      <c r="BE56" s="20"/>
      <c r="BF56" s="47" t="str">
        <f>IFERROR(IF(OR(ISBLANK(AZ56),ISBLANK(BB56)),"",BB56-AZ56),"")</f>
        <v/>
      </c>
      <c r="BG56" s="3"/>
      <c r="BH56" s="156" t="s">
        <v>378</v>
      </c>
      <c r="BI56" s="157"/>
      <c r="BJ56" s="63">
        <f>COUNTIF(CO$2:CO$1288,1)/$BJ$11</f>
        <v>0</v>
      </c>
      <c r="BK56" s="58">
        <f t="shared" ref="BK56:BK60" si="70">IF(BJ56&lt;=0.05,1,0)</f>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47"/>
        <v>0</v>
      </c>
      <c r="CO56" s="78">
        <f t="shared" si="48"/>
        <v>0</v>
      </c>
      <c r="CP56" s="78">
        <f t="shared" si="49"/>
        <v>0</v>
      </c>
      <c r="CQ56" s="78">
        <f t="shared" si="50"/>
        <v>0</v>
      </c>
      <c r="CR56" s="78">
        <f t="shared" si="51"/>
        <v>0</v>
      </c>
      <c r="CS56" s="78">
        <f t="shared" si="52"/>
        <v>0</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0</v>
      </c>
      <c r="DC56" s="78">
        <f t="shared" si="61"/>
        <v>0</v>
      </c>
      <c r="DD56" s="78">
        <f t="shared" si="62"/>
        <v>0</v>
      </c>
      <c r="DE56" s="78">
        <f t="shared" si="63"/>
        <v>1</v>
      </c>
      <c r="DF56" s="78">
        <f t="shared" si="64"/>
        <v>1</v>
      </c>
      <c r="DG56" s="78">
        <f t="shared" si="65"/>
        <v>1</v>
      </c>
      <c r="DH56" s="78" t="str">
        <f t="shared" si="66"/>
        <v>1</v>
      </c>
      <c r="DI56" s="79">
        <f>IFERROR(IF(J56="","",VLOOKUP(J56,Lists!$D$3:$E$13,2,FALSE)),1)</f>
        <v>0</v>
      </c>
      <c r="DJ56" s="79">
        <f>IFERROR(IF(K56="","",VLOOKUP(K56,Lists!$F$3:$G$14,2,FALSE)),1)</f>
        <v>0</v>
      </c>
      <c r="DK56" s="79" t="str">
        <f>IFERROR(IF(M56="","",VLOOKUP(M56,Lists!$AA$3:$AB$18,2,FALSE)),1)</f>
        <v/>
      </c>
      <c r="DL56" s="79" t="str">
        <f>IFERROR(IF(N56="","",VLOOKUP(N56,Lists!$AC$3:$AD$13,2,FALSE)),1)</f>
        <v/>
      </c>
    </row>
    <row r="57" spans="1:116" ht="15" customHeight="1" x14ac:dyDescent="0.25">
      <c r="A57" s="20">
        <v>414593</v>
      </c>
      <c r="B57" s="19">
        <v>45671</v>
      </c>
      <c r="C57" s="64">
        <v>0.5</v>
      </c>
      <c r="D57" s="64" t="s">
        <v>1137</v>
      </c>
      <c r="E57" s="19">
        <v>45670</v>
      </c>
      <c r="F57" s="20">
        <v>5</v>
      </c>
      <c r="G57" s="18" t="s">
        <v>1108</v>
      </c>
      <c r="H57" s="65"/>
      <c r="I57" s="18" t="s">
        <v>1108</v>
      </c>
      <c r="J57" s="66"/>
      <c r="K57" s="66"/>
      <c r="L57" s="67"/>
      <c r="M57" s="68" t="s">
        <v>39</v>
      </c>
      <c r="N57" s="68" t="s">
        <v>420</v>
      </c>
      <c r="O57" s="69" t="s">
        <v>1216</v>
      </c>
      <c r="P57" s="134">
        <v>0.5</v>
      </c>
      <c r="Q57" s="70"/>
      <c r="R57" s="134">
        <v>0.5541666666666667</v>
      </c>
      <c r="S57" s="70"/>
      <c r="T57" s="134">
        <v>0.58680555555555558</v>
      </c>
      <c r="U57" s="70"/>
      <c r="V57" s="134">
        <v>0.60069444444444442</v>
      </c>
      <c r="W57" s="70"/>
      <c r="X57" s="134">
        <v>0.60138888888888886</v>
      </c>
      <c r="Y57" s="70"/>
      <c r="Z57" s="134">
        <v>0.60763888888888895</v>
      </c>
      <c r="AA57" s="70" t="s">
        <v>1108</v>
      </c>
      <c r="AB57" s="19"/>
      <c r="AC57" s="20" t="s">
        <v>1108</v>
      </c>
      <c r="AD57" s="19"/>
      <c r="AE57" s="71">
        <f t="shared" si="25"/>
        <v>720</v>
      </c>
      <c r="AF57" s="71">
        <f t="shared" si="26"/>
        <v>865</v>
      </c>
      <c r="AG57" s="71">
        <f t="shared" si="27"/>
        <v>145</v>
      </c>
      <c r="AH57" s="71">
        <f t="shared" si="28"/>
        <v>145</v>
      </c>
      <c r="AI57" s="71" t="str">
        <f t="shared" si="29"/>
        <v/>
      </c>
      <c r="AJ57" s="71" t="str">
        <f t="shared" si="30"/>
        <v/>
      </c>
      <c r="AK57" s="71" t="str">
        <f t="shared" si="31"/>
        <v/>
      </c>
      <c r="AL57" s="71">
        <f t="shared" si="32"/>
        <v>145</v>
      </c>
      <c r="AM57" s="71">
        <f t="shared" si="33"/>
        <v>0</v>
      </c>
      <c r="AN57" s="72">
        <f t="shared" si="34"/>
        <v>5.4166666666666696E-2</v>
      </c>
      <c r="AO57" s="73">
        <f t="shared" si="35"/>
        <v>1</v>
      </c>
      <c r="AP57" s="72" t="str">
        <f t="shared" si="36"/>
        <v>No</v>
      </c>
      <c r="AQ57" s="72">
        <f t="shared" si="37"/>
        <v>6.2500000000000888E-3</v>
      </c>
      <c r="AR57" s="72" t="str">
        <f t="shared" si="38"/>
        <v/>
      </c>
      <c r="AS57" s="72" t="str">
        <f t="shared" si="39"/>
        <v/>
      </c>
      <c r="AT57" s="72" t="str">
        <f t="shared" si="40"/>
        <v/>
      </c>
      <c r="AU57" s="3"/>
      <c r="AV57" s="3"/>
      <c r="AW57" s="3"/>
      <c r="AX57" s="3"/>
      <c r="AY57" s="20" t="s">
        <v>1176</v>
      </c>
      <c r="AZ57" s="46"/>
      <c r="BA57" s="20"/>
      <c r="BB57" s="46"/>
      <c r="BC57" s="20"/>
      <c r="BD57" s="20"/>
      <c r="BE57" s="20"/>
      <c r="BF57" s="47" t="str">
        <f t="shared" ref="BF57:BF82" si="71">IFERROR(IF(OR(ISBLANK(AZ57),ISBLANK(BB57)),"",BB57-AZ57),"")</f>
        <v/>
      </c>
      <c r="BG57" s="3"/>
      <c r="BH57" s="156" t="s">
        <v>379</v>
      </c>
      <c r="BI57" s="157"/>
      <c r="BJ57" s="63">
        <f>COUNTIF(CP$2:CP$1288,1)/BJ11</f>
        <v>0</v>
      </c>
      <c r="BK57" s="58">
        <f t="shared" si="70"/>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47"/>
        <v>0</v>
      </c>
      <c r="CO57" s="78">
        <f t="shared" si="48"/>
        <v>0</v>
      </c>
      <c r="CP57" s="78">
        <f t="shared" si="49"/>
        <v>0</v>
      </c>
      <c r="CQ57" s="78">
        <f t="shared" si="50"/>
        <v>0</v>
      </c>
      <c r="CR57" s="78">
        <f t="shared" si="51"/>
        <v>0</v>
      </c>
      <c r="CS57" s="78">
        <f t="shared" si="52"/>
        <v>0</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0</v>
      </c>
      <c r="DB57" s="78">
        <f t="shared" si="60"/>
        <v>0</v>
      </c>
      <c r="DC57" s="78">
        <f t="shared" si="61"/>
        <v>0</v>
      </c>
      <c r="DD57" s="78">
        <f t="shared" si="62"/>
        <v>0</v>
      </c>
      <c r="DE57" s="78">
        <f t="shared" si="63"/>
        <v>1</v>
      </c>
      <c r="DF57" s="78">
        <f t="shared" si="64"/>
        <v>1</v>
      </c>
      <c r="DG57" s="78" t="str">
        <f t="shared" si="65"/>
        <v>1</v>
      </c>
      <c r="DH57" s="78" t="str">
        <f t="shared" si="66"/>
        <v>1</v>
      </c>
      <c r="DI57" s="79" t="str">
        <f>IFERROR(IF(J57="","",VLOOKUP(J57,Lists!$D$3:$E$13,2,FALSE)),1)</f>
        <v/>
      </c>
      <c r="DJ57" s="79" t="str">
        <f>IFERROR(IF(K57="","",VLOOKUP(K57,Lists!$F$3:$G$14,2,FALSE)),1)</f>
        <v/>
      </c>
      <c r="DK57" s="79">
        <f>IFERROR(IF(M57="","",VLOOKUP(M57,Lists!$AA$3:$AB$18,2,FALSE)),1)</f>
        <v>0</v>
      </c>
      <c r="DL57" s="79">
        <f>IFERROR(IF(N57="","",VLOOKUP(N57,Lists!$AC$3:$AD$13,2,FALSE)),1)</f>
        <v>0</v>
      </c>
    </row>
    <row r="58" spans="1:116" ht="15" customHeight="1" x14ac:dyDescent="0.25">
      <c r="A58" s="20">
        <v>41000</v>
      </c>
      <c r="B58" s="19">
        <v>45671</v>
      </c>
      <c r="C58" s="64">
        <v>0.625</v>
      </c>
      <c r="D58" s="64" t="s">
        <v>1132</v>
      </c>
      <c r="E58" s="19">
        <v>45655</v>
      </c>
      <c r="F58" s="20">
        <v>5</v>
      </c>
      <c r="G58" s="18" t="s">
        <v>1108</v>
      </c>
      <c r="H58" s="65"/>
      <c r="I58" s="18" t="s">
        <v>1108</v>
      </c>
      <c r="J58" s="66"/>
      <c r="K58" s="66"/>
      <c r="L58" s="67"/>
      <c r="M58" s="68" t="s">
        <v>39</v>
      </c>
      <c r="N58" s="68" t="s">
        <v>420</v>
      </c>
      <c r="O58" s="69" t="s">
        <v>1118</v>
      </c>
      <c r="P58" s="134">
        <v>0.61111111111111105</v>
      </c>
      <c r="Q58" s="70"/>
      <c r="R58" s="134">
        <v>0.625</v>
      </c>
      <c r="S58" s="70"/>
      <c r="T58" s="134">
        <v>0.66666666666666663</v>
      </c>
      <c r="U58" s="70"/>
      <c r="V58" s="134">
        <v>0.6875</v>
      </c>
      <c r="W58" s="70"/>
      <c r="X58" s="134">
        <v>0.68819444444444444</v>
      </c>
      <c r="Y58" s="70"/>
      <c r="Z58" s="134">
        <v>0.69444444444444453</v>
      </c>
      <c r="AA58" s="70" t="s">
        <v>1108</v>
      </c>
      <c r="AB58" s="19"/>
      <c r="AC58" s="20" t="s">
        <v>1108</v>
      </c>
      <c r="AD58" s="19"/>
      <c r="AE58" s="71">
        <f t="shared" si="25"/>
        <v>880</v>
      </c>
      <c r="AF58" s="71">
        <f t="shared" si="26"/>
        <v>990</v>
      </c>
      <c r="AG58" s="71">
        <f t="shared" si="27"/>
        <v>110</v>
      </c>
      <c r="AH58" s="71" t="str">
        <f t="shared" si="28"/>
        <v/>
      </c>
      <c r="AI58" s="71" t="str">
        <f t="shared" si="29"/>
        <v/>
      </c>
      <c r="AJ58" s="71">
        <f t="shared" si="30"/>
        <v>80</v>
      </c>
      <c r="AK58" s="71" t="str">
        <f t="shared" si="31"/>
        <v/>
      </c>
      <c r="AL58" s="71">
        <f t="shared" si="32"/>
        <v>80</v>
      </c>
      <c r="AM58" s="71">
        <f t="shared" si="33"/>
        <v>30</v>
      </c>
      <c r="AN58" s="72">
        <f t="shared" si="34"/>
        <v>0</v>
      </c>
      <c r="AO58" s="73">
        <f t="shared" si="35"/>
        <v>16</v>
      </c>
      <c r="AP58" s="72" t="str">
        <f t="shared" si="36"/>
        <v>Yes</v>
      </c>
      <c r="AQ58" s="72">
        <f t="shared" si="37"/>
        <v>6.2500000000000888E-3</v>
      </c>
      <c r="AR58" s="72" t="str">
        <f t="shared" si="38"/>
        <v/>
      </c>
      <c r="AS58" s="72" t="str">
        <f t="shared" si="39"/>
        <v/>
      </c>
      <c r="AT58" s="72" t="str">
        <f t="shared" si="40"/>
        <v/>
      </c>
      <c r="AU58" s="3"/>
      <c r="AV58" s="3"/>
      <c r="AW58" s="3"/>
      <c r="AX58" s="3"/>
      <c r="AY58" s="20" t="s">
        <v>1134</v>
      </c>
      <c r="AZ58" s="46"/>
      <c r="BA58" s="20"/>
      <c r="BB58" s="46"/>
      <c r="BC58" s="20"/>
      <c r="BD58" s="20"/>
      <c r="BE58" s="20"/>
      <c r="BF58" s="47" t="str">
        <f t="shared" si="71"/>
        <v/>
      </c>
      <c r="BG58" s="3"/>
      <c r="BH58" s="156" t="s">
        <v>380</v>
      </c>
      <c r="BI58" s="157"/>
      <c r="BJ58" s="63">
        <f>COUNTIF(CQ$2:CQ$1288,1)/BJ11</f>
        <v>0</v>
      </c>
      <c r="BK58" s="58">
        <f t="shared" si="70"/>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47"/>
        <v>0</v>
      </c>
      <c r="CO58" s="78">
        <f t="shared" si="48"/>
        <v>0</v>
      </c>
      <c r="CP58" s="78">
        <f t="shared" si="49"/>
        <v>0</v>
      </c>
      <c r="CQ58" s="78">
        <f t="shared" si="50"/>
        <v>0</v>
      </c>
      <c r="CR58" s="78">
        <f t="shared" si="51"/>
        <v>0</v>
      </c>
      <c r="CS58" s="78">
        <f t="shared" si="52"/>
        <v>0</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0</v>
      </c>
      <c r="DB58" s="78">
        <f t="shared" si="60"/>
        <v>1</v>
      </c>
      <c r="DC58" s="78">
        <f t="shared" si="61"/>
        <v>0</v>
      </c>
      <c r="DD58" s="78">
        <f t="shared" si="62"/>
        <v>0</v>
      </c>
      <c r="DE58" s="78">
        <f t="shared" si="63"/>
        <v>1</v>
      </c>
      <c r="DF58" s="78">
        <f t="shared" si="64"/>
        <v>1</v>
      </c>
      <c r="DG58" s="78" t="str">
        <f t="shared" si="65"/>
        <v>1</v>
      </c>
      <c r="DH58" s="78" t="str">
        <f t="shared" si="66"/>
        <v>1</v>
      </c>
      <c r="DI58" s="79" t="str">
        <f>IFERROR(IF(J58="","",VLOOKUP(J58,Lists!$D$3:$E$13,2,FALSE)),1)</f>
        <v/>
      </c>
      <c r="DJ58" s="79" t="str">
        <f>IFERROR(IF(K58="","",VLOOKUP(K58,Lists!$F$3:$G$14,2,FALSE)),1)</f>
        <v/>
      </c>
      <c r="DK58" s="79">
        <f>IFERROR(IF(M58="","",VLOOKUP(M58,Lists!$AA$3:$AB$18,2,FALSE)),1)</f>
        <v>0</v>
      </c>
      <c r="DL58" s="79">
        <f>IFERROR(IF(N58="","",VLOOKUP(N58,Lists!$AC$3:$AD$13,2,FALSE)),1)</f>
        <v>0</v>
      </c>
    </row>
    <row r="59" spans="1:116" ht="15" customHeight="1" x14ac:dyDescent="0.25">
      <c r="A59" s="20">
        <v>418115</v>
      </c>
      <c r="B59" s="19">
        <v>45671</v>
      </c>
      <c r="C59" s="64">
        <v>0.33333333333333331</v>
      </c>
      <c r="D59" s="64" t="s">
        <v>1115</v>
      </c>
      <c r="E59" s="19">
        <v>45670</v>
      </c>
      <c r="F59" s="20">
        <v>1</v>
      </c>
      <c r="G59" s="18" t="s">
        <v>1108</v>
      </c>
      <c r="H59" s="65"/>
      <c r="I59" s="18" t="s">
        <v>1108</v>
      </c>
      <c r="J59" s="66"/>
      <c r="K59" s="66"/>
      <c r="L59" s="67"/>
      <c r="M59" s="68" t="s">
        <v>39</v>
      </c>
      <c r="N59" s="68" t="s">
        <v>420</v>
      </c>
      <c r="O59" s="69" t="s">
        <v>1217</v>
      </c>
      <c r="P59" s="134">
        <v>0.33263888888888887</v>
      </c>
      <c r="Q59" s="70"/>
      <c r="R59" s="134">
        <v>0.35902777777777778</v>
      </c>
      <c r="S59" s="70"/>
      <c r="T59" s="134">
        <v>0.56597222222222221</v>
      </c>
      <c r="U59" s="70"/>
      <c r="V59" s="134">
        <v>0.58680555555555558</v>
      </c>
      <c r="W59" s="70"/>
      <c r="X59" s="134">
        <v>0.58750000000000002</v>
      </c>
      <c r="Y59" s="70"/>
      <c r="Z59" s="134">
        <v>0.59375</v>
      </c>
      <c r="AA59" s="70" t="s">
        <v>1108</v>
      </c>
      <c r="AB59" s="19"/>
      <c r="AC59" s="20" t="s">
        <v>1108</v>
      </c>
      <c r="AD59" s="19"/>
      <c r="AE59" s="71">
        <f t="shared" si="25"/>
        <v>479</v>
      </c>
      <c r="AF59" s="71">
        <f t="shared" si="26"/>
        <v>845</v>
      </c>
      <c r="AG59" s="71">
        <f t="shared" si="27"/>
        <v>366</v>
      </c>
      <c r="AH59" s="71">
        <f t="shared" si="28"/>
        <v>0</v>
      </c>
      <c r="AI59" s="71">
        <f t="shared" si="29"/>
        <v>365</v>
      </c>
      <c r="AJ59" s="71" t="str">
        <f t="shared" si="30"/>
        <v/>
      </c>
      <c r="AK59" s="71" t="str">
        <f t="shared" si="31"/>
        <v/>
      </c>
      <c r="AL59" s="71">
        <f t="shared" si="32"/>
        <v>365</v>
      </c>
      <c r="AM59" s="71">
        <f t="shared" si="33"/>
        <v>1</v>
      </c>
      <c r="AN59" s="72">
        <f t="shared" si="34"/>
        <v>2.5694444444444464E-2</v>
      </c>
      <c r="AO59" s="73">
        <f t="shared" si="35"/>
        <v>1</v>
      </c>
      <c r="AP59" s="72" t="str">
        <f t="shared" si="36"/>
        <v>No</v>
      </c>
      <c r="AQ59" s="72">
        <f t="shared" si="37"/>
        <v>6.2499999999999778E-3</v>
      </c>
      <c r="AR59" s="72" t="str">
        <f t="shared" si="38"/>
        <v/>
      </c>
      <c r="AS59" s="72" t="str">
        <f t="shared" si="39"/>
        <v/>
      </c>
      <c r="AT59" s="72" t="str">
        <f t="shared" si="40"/>
        <v/>
      </c>
      <c r="AU59" s="3"/>
      <c r="AV59" s="3"/>
      <c r="AW59" s="3"/>
      <c r="AX59" s="3"/>
      <c r="AY59" s="20" t="s">
        <v>1177</v>
      </c>
      <c r="AZ59" s="46"/>
      <c r="BA59" s="20"/>
      <c r="BB59" s="46"/>
      <c r="BC59" s="20"/>
      <c r="BD59" s="20"/>
      <c r="BE59" s="20"/>
      <c r="BF59" s="47" t="str">
        <f t="shared" si="71"/>
        <v/>
      </c>
      <c r="BG59" s="3"/>
      <c r="BH59" s="156" t="s">
        <v>381</v>
      </c>
      <c r="BI59" s="157"/>
      <c r="BJ59" s="63">
        <f>COUNTIF(CR$2:CR$1288,1)/BJ11</f>
        <v>0</v>
      </c>
      <c r="BK59" s="58">
        <f t="shared" si="70"/>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47"/>
        <v>0</v>
      </c>
      <c r="CO59" s="78">
        <f t="shared" si="48"/>
        <v>0</v>
      </c>
      <c r="CP59" s="78">
        <f t="shared" si="49"/>
        <v>0</v>
      </c>
      <c r="CQ59" s="78">
        <f t="shared" si="50"/>
        <v>0</v>
      </c>
      <c r="CR59" s="78">
        <f t="shared" si="51"/>
        <v>0</v>
      </c>
      <c r="CS59" s="78">
        <f t="shared" si="52"/>
        <v>0</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0</v>
      </c>
      <c r="DC59" s="78">
        <f t="shared" si="61"/>
        <v>0</v>
      </c>
      <c r="DD59" s="78">
        <f t="shared" si="62"/>
        <v>0</v>
      </c>
      <c r="DE59" s="78">
        <f t="shared" si="63"/>
        <v>1</v>
      </c>
      <c r="DF59" s="78">
        <f t="shared" si="64"/>
        <v>1</v>
      </c>
      <c r="DG59" s="78" t="str">
        <f t="shared" si="65"/>
        <v>1</v>
      </c>
      <c r="DH59" s="78" t="str">
        <f t="shared" si="66"/>
        <v>1</v>
      </c>
      <c r="DI59" s="79" t="str">
        <f>IFERROR(IF(J59="","",VLOOKUP(J59,Lists!$D$3:$E$13,2,FALSE)),1)</f>
        <v/>
      </c>
      <c r="DJ59" s="79" t="str">
        <f>IFERROR(IF(K59="","",VLOOKUP(K59,Lists!$F$3:$G$14,2,FALSE)),1)</f>
        <v/>
      </c>
      <c r="DK59" s="79">
        <f>IFERROR(IF(M59="","",VLOOKUP(M59,Lists!$AA$3:$AB$18,2,FALSE)),1)</f>
        <v>0</v>
      </c>
      <c r="DL59" s="79">
        <f>IFERROR(IF(N59="","",VLOOKUP(N59,Lists!$AC$3:$AD$13,2,FALSE)),1)</f>
        <v>0</v>
      </c>
    </row>
    <row r="60" spans="1:116" ht="15" customHeight="1" x14ac:dyDescent="0.25">
      <c r="A60" s="20">
        <v>388783</v>
      </c>
      <c r="B60" s="19">
        <v>45671</v>
      </c>
      <c r="C60" s="64">
        <v>0.60416666666666663</v>
      </c>
      <c r="D60" s="64" t="s">
        <v>1115</v>
      </c>
      <c r="E60" s="19">
        <v>45670</v>
      </c>
      <c r="F60" s="20">
        <v>1</v>
      </c>
      <c r="G60" s="18" t="s">
        <v>1108</v>
      </c>
      <c r="H60" s="65"/>
      <c r="I60" s="18" t="s">
        <v>1108</v>
      </c>
      <c r="J60" s="66"/>
      <c r="K60" s="66"/>
      <c r="L60" s="67"/>
      <c r="M60" s="68" t="s">
        <v>39</v>
      </c>
      <c r="N60" s="68" t="s">
        <v>420</v>
      </c>
      <c r="O60" s="69" t="s">
        <v>1200</v>
      </c>
      <c r="P60" s="134">
        <v>0.59722222222222221</v>
      </c>
      <c r="Q60" s="70"/>
      <c r="R60" s="134">
        <v>0.61111111111111105</v>
      </c>
      <c r="S60" s="70"/>
      <c r="T60" s="134">
        <v>0.70138888888888884</v>
      </c>
      <c r="U60" s="70"/>
      <c r="V60" s="134">
        <v>0.70833333333333337</v>
      </c>
      <c r="W60" s="70"/>
      <c r="X60" s="134">
        <v>0.7090277777777777</v>
      </c>
      <c r="Y60" s="70"/>
      <c r="Z60" s="134">
        <v>0.71527777777777779</v>
      </c>
      <c r="AA60" s="70" t="s">
        <v>1121</v>
      </c>
      <c r="AB60" s="19">
        <v>45671</v>
      </c>
      <c r="AC60" s="20" t="s">
        <v>1108</v>
      </c>
      <c r="AD60" s="19"/>
      <c r="AE60" s="71">
        <f t="shared" si="25"/>
        <v>860</v>
      </c>
      <c r="AF60" s="71">
        <f t="shared" si="26"/>
        <v>1020</v>
      </c>
      <c r="AG60" s="71">
        <f t="shared" si="27"/>
        <v>160</v>
      </c>
      <c r="AH60" s="71" t="str">
        <f t="shared" si="28"/>
        <v/>
      </c>
      <c r="AI60" s="71" t="str">
        <f t="shared" si="29"/>
        <v/>
      </c>
      <c r="AJ60" s="71">
        <f t="shared" si="30"/>
        <v>100</v>
      </c>
      <c r="AK60" s="71" t="str">
        <f t="shared" si="31"/>
        <v/>
      </c>
      <c r="AL60" s="71">
        <f t="shared" si="32"/>
        <v>100</v>
      </c>
      <c r="AM60" s="71">
        <f t="shared" si="33"/>
        <v>60</v>
      </c>
      <c r="AN60" s="72">
        <f t="shared" si="34"/>
        <v>6.9444444444444198E-3</v>
      </c>
      <c r="AO60" s="73">
        <f t="shared" si="35"/>
        <v>1</v>
      </c>
      <c r="AP60" s="72" t="str">
        <f t="shared" si="36"/>
        <v>Yes</v>
      </c>
      <c r="AQ60" s="72">
        <f t="shared" si="37"/>
        <v>6.2500000000000888E-3</v>
      </c>
      <c r="AR60" s="72" t="str">
        <f t="shared" si="38"/>
        <v/>
      </c>
      <c r="AS60" s="72" t="str">
        <f t="shared" si="39"/>
        <v/>
      </c>
      <c r="AT60" s="72" t="str">
        <f t="shared" si="40"/>
        <v/>
      </c>
      <c r="AU60" s="3"/>
      <c r="AV60" s="3"/>
      <c r="AW60" s="3"/>
      <c r="AX60" s="3"/>
      <c r="AY60" s="20" t="s">
        <v>1178</v>
      </c>
      <c r="AZ60" s="46"/>
      <c r="BA60" s="20"/>
      <c r="BB60" s="46"/>
      <c r="BC60" s="20"/>
      <c r="BD60" s="20"/>
      <c r="BE60" s="20"/>
      <c r="BF60" s="47" t="str">
        <f t="shared" si="71"/>
        <v/>
      </c>
      <c r="BG60" s="3"/>
      <c r="BH60" s="156" t="s">
        <v>382</v>
      </c>
      <c r="BI60" s="157"/>
      <c r="BJ60" s="63">
        <f>COUNTIF(CS$2:CS$1288,1)/BJ11</f>
        <v>0</v>
      </c>
      <c r="BK60" s="58">
        <f t="shared" si="70"/>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47"/>
        <v>0</v>
      </c>
      <c r="CO60" s="78">
        <f t="shared" si="48"/>
        <v>0</v>
      </c>
      <c r="CP60" s="78">
        <f t="shared" si="49"/>
        <v>0</v>
      </c>
      <c r="CQ60" s="78">
        <f t="shared" si="50"/>
        <v>0</v>
      </c>
      <c r="CR60" s="78">
        <f t="shared" si="51"/>
        <v>0</v>
      </c>
      <c r="CS60" s="78">
        <f t="shared" si="52"/>
        <v>0</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1</v>
      </c>
      <c r="DC60" s="78">
        <f t="shared" si="61"/>
        <v>0</v>
      </c>
      <c r="DD60" s="78">
        <f t="shared" si="62"/>
        <v>0</v>
      </c>
      <c r="DE60" s="78">
        <f t="shared" si="63"/>
        <v>1</v>
      </c>
      <c r="DF60" s="78">
        <f t="shared" si="64"/>
        <v>1</v>
      </c>
      <c r="DG60" s="78">
        <f t="shared" si="65"/>
        <v>1</v>
      </c>
      <c r="DH60" s="78" t="str">
        <f t="shared" si="66"/>
        <v>1</v>
      </c>
      <c r="DI60" s="79" t="str">
        <f>IFERROR(IF(J60="","",VLOOKUP(J60,Lists!$D$3:$E$13,2,FALSE)),1)</f>
        <v/>
      </c>
      <c r="DJ60" s="79" t="str">
        <f>IFERROR(IF(K60="","",VLOOKUP(K60,Lists!$F$3:$G$14,2,FALSE)),1)</f>
        <v/>
      </c>
      <c r="DK60" s="79">
        <f>IFERROR(IF(M60="","",VLOOKUP(M60,Lists!$AA$3:$AB$18,2,FALSE)),1)</f>
        <v>0</v>
      </c>
      <c r="DL60" s="79">
        <f>IFERROR(IF(N60="","",VLOOKUP(N60,Lists!$AC$3:$AD$13,2,FALSE)),1)</f>
        <v>0</v>
      </c>
    </row>
    <row r="61" spans="1:116" ht="15" customHeight="1" x14ac:dyDescent="0.25">
      <c r="A61" s="20">
        <v>310410</v>
      </c>
      <c r="B61" s="19">
        <v>45671</v>
      </c>
      <c r="C61" s="64">
        <v>0.33333333333333331</v>
      </c>
      <c r="D61" s="64" t="s">
        <v>1170</v>
      </c>
      <c r="E61" s="19">
        <v>45670</v>
      </c>
      <c r="F61" s="20">
        <v>7</v>
      </c>
      <c r="G61" s="18" t="s">
        <v>1108</v>
      </c>
      <c r="H61" s="65"/>
      <c r="I61" s="18" t="s">
        <v>1108</v>
      </c>
      <c r="J61" s="66"/>
      <c r="K61" s="66"/>
      <c r="L61" s="67"/>
      <c r="M61" s="68" t="s">
        <v>41</v>
      </c>
      <c r="N61" s="68" t="s">
        <v>420</v>
      </c>
      <c r="O61" s="69" t="s">
        <v>1143</v>
      </c>
      <c r="P61" s="134">
        <v>0.32916666666666666</v>
      </c>
      <c r="Q61" s="70"/>
      <c r="R61" s="134">
        <v>0.35069444444444442</v>
      </c>
      <c r="S61" s="70"/>
      <c r="T61" s="134">
        <v>0.36805555555555558</v>
      </c>
      <c r="U61" s="70"/>
      <c r="V61" s="134">
        <v>0.375</v>
      </c>
      <c r="W61" s="70"/>
      <c r="X61" s="134">
        <v>0.3756944444444445</v>
      </c>
      <c r="Y61" s="70"/>
      <c r="Z61" s="134">
        <v>0.38194444444444442</v>
      </c>
      <c r="AA61" s="70" t="s">
        <v>1121</v>
      </c>
      <c r="AB61" s="19">
        <v>45672</v>
      </c>
      <c r="AC61" s="20" t="s">
        <v>1108</v>
      </c>
      <c r="AD61" s="19"/>
      <c r="AE61" s="71">
        <f t="shared" si="25"/>
        <v>474</v>
      </c>
      <c r="AF61" s="71">
        <f t="shared" si="26"/>
        <v>540</v>
      </c>
      <c r="AG61" s="71">
        <f t="shared" si="27"/>
        <v>66</v>
      </c>
      <c r="AH61" s="71">
        <f t="shared" si="28"/>
        <v>0</v>
      </c>
      <c r="AI61" s="71">
        <f t="shared" si="29"/>
        <v>60</v>
      </c>
      <c r="AJ61" s="71" t="str">
        <f t="shared" si="30"/>
        <v/>
      </c>
      <c r="AK61" s="71" t="str">
        <f t="shared" si="31"/>
        <v/>
      </c>
      <c r="AL61" s="71">
        <f t="shared" si="32"/>
        <v>60</v>
      </c>
      <c r="AM61" s="71">
        <f t="shared" si="33"/>
        <v>6</v>
      </c>
      <c r="AN61" s="72">
        <f t="shared" si="34"/>
        <v>1.7361111111111105E-2</v>
      </c>
      <c r="AO61" s="73">
        <f t="shared" si="35"/>
        <v>1</v>
      </c>
      <c r="AP61" s="72" t="str">
        <f t="shared" si="36"/>
        <v>No</v>
      </c>
      <c r="AQ61" s="72">
        <f t="shared" si="37"/>
        <v>6.2499999999999223E-3</v>
      </c>
      <c r="AR61" s="72" t="str">
        <f t="shared" si="38"/>
        <v/>
      </c>
      <c r="AS61" s="72" t="str">
        <f t="shared" si="39"/>
        <v/>
      </c>
      <c r="AT61" s="72" t="str">
        <f t="shared" si="40"/>
        <v/>
      </c>
      <c r="AU61" s="3"/>
      <c r="AV61" s="3"/>
      <c r="AW61" s="3"/>
      <c r="AX61" s="3"/>
      <c r="AY61" s="20" t="s">
        <v>1135</v>
      </c>
      <c r="AZ61" s="46"/>
      <c r="BA61" s="20"/>
      <c r="BB61" s="46"/>
      <c r="BC61" s="20"/>
      <c r="BD61" s="20"/>
      <c r="BE61" s="20"/>
      <c r="BF61" s="47" t="str">
        <f t="shared" si="71"/>
        <v/>
      </c>
      <c r="BG61" s="3"/>
      <c r="BH61" s="156" t="s">
        <v>383</v>
      </c>
      <c r="BI61" s="157"/>
      <c r="BJ61" s="63">
        <f>COUNTIF(CT$2:CT$1288,1)/BJ11</f>
        <v>0</v>
      </c>
      <c r="BK61" s="58">
        <f t="shared" ref="BK61:BK68" si="72">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47"/>
        <v>0</v>
      </c>
      <c r="CO61" s="78">
        <f t="shared" si="48"/>
        <v>0</v>
      </c>
      <c r="CP61" s="78">
        <f t="shared" si="49"/>
        <v>0</v>
      </c>
      <c r="CQ61" s="78">
        <f t="shared" si="50"/>
        <v>0</v>
      </c>
      <c r="CR61" s="78">
        <f t="shared" si="51"/>
        <v>0</v>
      </c>
      <c r="CS61" s="78">
        <f t="shared" si="52"/>
        <v>0</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f t="shared" si="63"/>
        <v>1</v>
      </c>
      <c r="DF61" s="78">
        <f t="shared" si="64"/>
        <v>1</v>
      </c>
      <c r="DG61" s="78">
        <f t="shared" si="65"/>
        <v>1</v>
      </c>
      <c r="DH61" s="78" t="str">
        <f t="shared" si="66"/>
        <v>1</v>
      </c>
      <c r="DI61" s="79" t="str">
        <f>IFERROR(IF(J61="","",VLOOKUP(J61,Lists!$D$3:$E$13,2,FALSE)),1)</f>
        <v/>
      </c>
      <c r="DJ61" s="79" t="str">
        <f>IFERROR(IF(K61="","",VLOOKUP(K61,Lists!$F$3:$G$14,2,FALSE)),1)</f>
        <v/>
      </c>
      <c r="DK61" s="79">
        <f>IFERROR(IF(M61="","",VLOOKUP(M61,Lists!$AA$3:$AB$18,2,FALSE)),1)</f>
        <v>0</v>
      </c>
      <c r="DL61" s="79">
        <f>IFERROR(IF(N61="","",VLOOKUP(N61,Lists!$AC$3:$AD$13,2,FALSE)),1)</f>
        <v>0</v>
      </c>
    </row>
    <row r="62" spans="1:116" ht="15" customHeight="1" x14ac:dyDescent="0.25">
      <c r="A62" s="20">
        <v>346002</v>
      </c>
      <c r="B62" s="19">
        <v>45671</v>
      </c>
      <c r="C62" s="64">
        <v>0.39583333333333331</v>
      </c>
      <c r="D62" s="64" t="s">
        <v>1170</v>
      </c>
      <c r="E62" s="19">
        <v>45670</v>
      </c>
      <c r="F62" s="20">
        <v>7</v>
      </c>
      <c r="G62" s="18" t="s">
        <v>1108</v>
      </c>
      <c r="H62" s="65"/>
      <c r="I62" s="18" t="s">
        <v>1108</v>
      </c>
      <c r="J62" s="66"/>
      <c r="K62" s="66"/>
      <c r="L62" s="67"/>
      <c r="M62" s="68" t="s">
        <v>41</v>
      </c>
      <c r="N62" s="68" t="s">
        <v>420</v>
      </c>
      <c r="O62" s="69" t="s">
        <v>1218</v>
      </c>
      <c r="P62" s="134">
        <v>0.39930555555555558</v>
      </c>
      <c r="Q62" s="70"/>
      <c r="R62" s="134">
        <v>0.42708333333333331</v>
      </c>
      <c r="S62" s="70"/>
      <c r="T62" s="134">
        <v>0.50347222222222221</v>
      </c>
      <c r="U62" s="70"/>
      <c r="V62" s="134">
        <v>0.51736111111111105</v>
      </c>
      <c r="W62" s="70"/>
      <c r="X62" s="134">
        <v>0.5180555555555556</v>
      </c>
      <c r="Y62" s="70"/>
      <c r="Z62" s="134">
        <v>0.52430555555555558</v>
      </c>
      <c r="AA62" s="70" t="s">
        <v>1121</v>
      </c>
      <c r="AB62" s="19">
        <v>45672</v>
      </c>
      <c r="AC62" s="20" t="s">
        <v>1108</v>
      </c>
      <c r="AD62" s="19"/>
      <c r="AE62" s="71">
        <f t="shared" si="25"/>
        <v>575</v>
      </c>
      <c r="AF62" s="71">
        <f t="shared" si="26"/>
        <v>745</v>
      </c>
      <c r="AG62" s="71">
        <f t="shared" si="27"/>
        <v>170</v>
      </c>
      <c r="AH62" s="71">
        <f t="shared" si="28"/>
        <v>170</v>
      </c>
      <c r="AI62" s="71" t="str">
        <f t="shared" si="29"/>
        <v/>
      </c>
      <c r="AJ62" s="71" t="str">
        <f t="shared" si="30"/>
        <v/>
      </c>
      <c r="AK62" s="71" t="str">
        <f t="shared" si="31"/>
        <v/>
      </c>
      <c r="AL62" s="71">
        <f t="shared" si="32"/>
        <v>170</v>
      </c>
      <c r="AM62" s="71">
        <f t="shared" si="33"/>
        <v>0</v>
      </c>
      <c r="AN62" s="72">
        <f t="shared" si="34"/>
        <v>3.125E-2</v>
      </c>
      <c r="AO62" s="73">
        <f t="shared" si="35"/>
        <v>1</v>
      </c>
      <c r="AP62" s="72" t="str">
        <f t="shared" si="36"/>
        <v>No</v>
      </c>
      <c r="AQ62" s="72">
        <f t="shared" si="37"/>
        <v>6.2499999999999778E-3</v>
      </c>
      <c r="AR62" s="72" t="str">
        <f t="shared" si="38"/>
        <v/>
      </c>
      <c r="AS62" s="72" t="str">
        <f t="shared" si="39"/>
        <v/>
      </c>
      <c r="AT62" s="72" t="str">
        <f t="shared" si="40"/>
        <v/>
      </c>
      <c r="AU62" s="3"/>
      <c r="AV62" s="3"/>
      <c r="AW62" s="3"/>
      <c r="AX62" s="3"/>
      <c r="AY62" s="20" t="s">
        <v>1179</v>
      </c>
      <c r="AZ62" s="46"/>
      <c r="BA62" s="20"/>
      <c r="BB62" s="46"/>
      <c r="BC62" s="20"/>
      <c r="BD62" s="20"/>
      <c r="BE62" s="20"/>
      <c r="BF62" s="47" t="str">
        <f t="shared" si="71"/>
        <v/>
      </c>
      <c r="BG62" s="3"/>
      <c r="BH62" s="156" t="s">
        <v>384</v>
      </c>
      <c r="BI62" s="157"/>
      <c r="BJ62" s="63">
        <f>COUNTIF(CU$2:CU$1288,1)/BJ11</f>
        <v>0</v>
      </c>
      <c r="BK62" s="58">
        <f t="shared" si="72"/>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47"/>
        <v>0</v>
      </c>
      <c r="CO62" s="78">
        <f t="shared" si="48"/>
        <v>0</v>
      </c>
      <c r="CP62" s="78">
        <f t="shared" si="49"/>
        <v>0</v>
      </c>
      <c r="CQ62" s="78">
        <f t="shared" si="50"/>
        <v>0</v>
      </c>
      <c r="CR62" s="78">
        <f t="shared" si="51"/>
        <v>0</v>
      </c>
      <c r="CS62" s="78">
        <f t="shared" si="52"/>
        <v>0</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0</v>
      </c>
      <c r="DC62" s="78">
        <f t="shared" si="61"/>
        <v>0</v>
      </c>
      <c r="DD62" s="78">
        <f t="shared" si="62"/>
        <v>0</v>
      </c>
      <c r="DE62" s="78">
        <f t="shared" si="63"/>
        <v>1</v>
      </c>
      <c r="DF62" s="78">
        <f t="shared" si="64"/>
        <v>1</v>
      </c>
      <c r="DG62" s="78">
        <f t="shared" si="65"/>
        <v>1</v>
      </c>
      <c r="DH62" s="78" t="str">
        <f t="shared" si="66"/>
        <v>1</v>
      </c>
      <c r="DI62" s="79" t="str">
        <f>IFERROR(IF(J62="","",VLOOKUP(J62,Lists!$D$3:$E$13,2,FALSE)),1)</f>
        <v/>
      </c>
      <c r="DJ62" s="79" t="str">
        <f>IFERROR(IF(K62="","",VLOOKUP(K62,Lists!$F$3:$G$14,2,FALSE)),1)</f>
        <v/>
      </c>
      <c r="DK62" s="79">
        <f>IFERROR(IF(M62="","",VLOOKUP(M62,Lists!$AA$3:$AB$18,2,FALSE)),1)</f>
        <v>0</v>
      </c>
      <c r="DL62" s="79">
        <f>IFERROR(IF(N62="","",VLOOKUP(N62,Lists!$AC$3:$AD$13,2,FALSE)),1)</f>
        <v>0</v>
      </c>
    </row>
    <row r="63" spans="1:116" ht="15" customHeight="1" x14ac:dyDescent="0.25">
      <c r="A63" s="20">
        <v>409248</v>
      </c>
      <c r="B63" s="19">
        <v>45671</v>
      </c>
      <c r="C63" s="64">
        <v>0.54166666666666663</v>
      </c>
      <c r="D63" s="64" t="s">
        <v>1170</v>
      </c>
      <c r="E63" s="19">
        <v>45671</v>
      </c>
      <c r="F63" s="20">
        <v>7</v>
      </c>
      <c r="G63" s="18" t="s">
        <v>1108</v>
      </c>
      <c r="H63" s="65"/>
      <c r="I63" s="18" t="s">
        <v>1121</v>
      </c>
      <c r="J63" s="66" t="s">
        <v>55</v>
      </c>
      <c r="K63" s="66" t="s">
        <v>420</v>
      </c>
      <c r="L63" s="67" t="s">
        <v>1219</v>
      </c>
      <c r="M63" s="68"/>
      <c r="N63" s="68"/>
      <c r="O63" s="69"/>
      <c r="P63" s="134">
        <v>0.54166666666666663</v>
      </c>
      <c r="Q63" s="70"/>
      <c r="R63" s="134">
        <v>0.55555555555555558</v>
      </c>
      <c r="S63" s="70"/>
      <c r="T63" s="134">
        <v>0.63888888888888895</v>
      </c>
      <c r="U63" s="70"/>
      <c r="V63" s="134">
        <v>0.64930555555555558</v>
      </c>
      <c r="W63" s="70"/>
      <c r="X63" s="134">
        <v>0.65</v>
      </c>
      <c r="Y63" s="70"/>
      <c r="Z63" s="134">
        <v>0.65625</v>
      </c>
      <c r="AA63" s="70" t="s">
        <v>1121</v>
      </c>
      <c r="AB63" s="19">
        <v>45671</v>
      </c>
      <c r="AC63" s="20" t="s">
        <v>1108</v>
      </c>
      <c r="AD63" s="19"/>
      <c r="AE63" s="71">
        <f t="shared" si="25"/>
        <v>780</v>
      </c>
      <c r="AF63" s="71">
        <f t="shared" si="26"/>
        <v>935</v>
      </c>
      <c r="AG63" s="71">
        <f t="shared" si="27"/>
        <v>155</v>
      </c>
      <c r="AH63" s="71">
        <f t="shared" si="28"/>
        <v>155</v>
      </c>
      <c r="AI63" s="71" t="str">
        <f t="shared" si="29"/>
        <v/>
      </c>
      <c r="AJ63" s="71" t="str">
        <f t="shared" si="30"/>
        <v/>
      </c>
      <c r="AK63" s="71" t="str">
        <f t="shared" si="31"/>
        <v/>
      </c>
      <c r="AL63" s="71">
        <f t="shared" si="32"/>
        <v>155</v>
      </c>
      <c r="AM63" s="71">
        <f t="shared" si="33"/>
        <v>0</v>
      </c>
      <c r="AN63" s="72">
        <f t="shared" si="34"/>
        <v>1.3888888888888951E-2</v>
      </c>
      <c r="AO63" s="73">
        <f t="shared" si="35"/>
        <v>0</v>
      </c>
      <c r="AP63" s="72" t="str">
        <f t="shared" si="36"/>
        <v>No</v>
      </c>
      <c r="AQ63" s="72">
        <f t="shared" si="37"/>
        <v>6.2499999999999778E-3</v>
      </c>
      <c r="AR63" s="72" t="str">
        <f t="shared" si="38"/>
        <v>Yes</v>
      </c>
      <c r="AS63" s="72" t="str">
        <f t="shared" si="39"/>
        <v>No</v>
      </c>
      <c r="AT63" s="72" t="str">
        <f t="shared" si="40"/>
        <v>No</v>
      </c>
      <c r="AU63" s="3"/>
      <c r="AV63" s="3"/>
      <c r="AW63" s="3"/>
      <c r="AX63" s="3"/>
      <c r="AY63" s="20" t="s">
        <v>1110</v>
      </c>
      <c r="AZ63" s="46"/>
      <c r="BA63" s="20"/>
      <c r="BB63" s="46"/>
      <c r="BC63" s="20"/>
      <c r="BD63" s="20"/>
      <c r="BE63" s="20"/>
      <c r="BF63" s="47" t="str">
        <f t="shared" si="71"/>
        <v/>
      </c>
      <c r="BG63" s="3"/>
      <c r="BH63" s="156" t="s">
        <v>385</v>
      </c>
      <c r="BI63" s="157"/>
      <c r="BJ63" s="63">
        <f>COUNTIF(CV$2:CV$1288,1)/BJ11</f>
        <v>0</v>
      </c>
      <c r="BK63" s="58">
        <f t="shared" si="72"/>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47"/>
        <v>0</v>
      </c>
      <c r="CO63" s="78">
        <f t="shared" si="48"/>
        <v>0</v>
      </c>
      <c r="CP63" s="78">
        <f t="shared" si="49"/>
        <v>0</v>
      </c>
      <c r="CQ63" s="78">
        <f t="shared" si="50"/>
        <v>0</v>
      </c>
      <c r="CR63" s="78">
        <f t="shared" si="51"/>
        <v>0</v>
      </c>
      <c r="CS63" s="78">
        <f t="shared" si="52"/>
        <v>0</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0</v>
      </c>
      <c r="DB63" s="78">
        <f t="shared" si="60"/>
        <v>0</v>
      </c>
      <c r="DC63" s="78">
        <f t="shared" si="61"/>
        <v>0</v>
      </c>
      <c r="DD63" s="78">
        <f t="shared" si="62"/>
        <v>1</v>
      </c>
      <c r="DE63" s="78">
        <f t="shared" si="63"/>
        <v>1</v>
      </c>
      <c r="DF63" s="78">
        <f t="shared" si="64"/>
        <v>1</v>
      </c>
      <c r="DG63" s="78">
        <f t="shared" si="65"/>
        <v>1</v>
      </c>
      <c r="DH63" s="78" t="str">
        <f t="shared" si="66"/>
        <v>1</v>
      </c>
      <c r="DI63" s="79">
        <f>IFERROR(IF(J63="","",VLOOKUP(J63,Lists!$D$3:$E$13,2,FALSE)),1)</f>
        <v>0</v>
      </c>
      <c r="DJ63" s="79">
        <f>IFERROR(IF(K63="","",VLOOKUP(K63,Lists!$F$3:$G$14,2,FALSE)),1)</f>
        <v>0</v>
      </c>
      <c r="DK63" s="79" t="str">
        <f>IFERROR(IF(M63="","",VLOOKUP(M63,Lists!$AA$3:$AB$18,2,FALSE)),1)</f>
        <v/>
      </c>
      <c r="DL63" s="79" t="str">
        <f>IFERROR(IF(N63="","",VLOOKUP(N63,Lists!$AC$3:$AD$13,2,FALSE)),1)</f>
        <v/>
      </c>
    </row>
    <row r="64" spans="1:116" ht="15" customHeight="1" x14ac:dyDescent="0.25">
      <c r="A64" s="20">
        <v>419374</v>
      </c>
      <c r="B64" s="19">
        <v>45671</v>
      </c>
      <c r="C64" s="64">
        <v>0.33333333333333331</v>
      </c>
      <c r="D64" s="64" t="s">
        <v>1119</v>
      </c>
      <c r="E64" s="19">
        <v>45671</v>
      </c>
      <c r="F64" s="20">
        <v>2</v>
      </c>
      <c r="G64" s="18" t="s">
        <v>1108</v>
      </c>
      <c r="H64" s="65"/>
      <c r="I64" s="18" t="s">
        <v>1121</v>
      </c>
      <c r="J64" s="66" t="s">
        <v>42</v>
      </c>
      <c r="K64" s="66" t="s">
        <v>420</v>
      </c>
      <c r="L64" s="67" t="s">
        <v>1220</v>
      </c>
      <c r="M64" s="68"/>
      <c r="N64" s="68"/>
      <c r="O64" s="69"/>
      <c r="P64" s="134">
        <v>0.33333333333333331</v>
      </c>
      <c r="Q64" s="70"/>
      <c r="R64" s="134">
        <v>0.33680555555555558</v>
      </c>
      <c r="S64" s="70"/>
      <c r="T64" s="134">
        <v>0.33819444444444446</v>
      </c>
      <c r="U64" s="70"/>
      <c r="V64" s="134">
        <v>0.34375</v>
      </c>
      <c r="W64" s="70"/>
      <c r="X64" s="134">
        <v>0.3444444444444445</v>
      </c>
      <c r="Y64" s="70"/>
      <c r="Z64" s="134">
        <v>0.35069444444444442</v>
      </c>
      <c r="AA64" s="70" t="s">
        <v>1121</v>
      </c>
      <c r="AB64" s="19">
        <v>45671</v>
      </c>
      <c r="AC64" s="20" t="s">
        <v>1108</v>
      </c>
      <c r="AD64" s="19"/>
      <c r="AE64" s="71">
        <f t="shared" si="25"/>
        <v>480</v>
      </c>
      <c r="AF64" s="71">
        <f t="shared" si="26"/>
        <v>495</v>
      </c>
      <c r="AG64" s="71">
        <f t="shared" si="27"/>
        <v>15</v>
      </c>
      <c r="AH64" s="71">
        <f t="shared" si="28"/>
        <v>15</v>
      </c>
      <c r="AI64" s="71" t="str">
        <f t="shared" si="29"/>
        <v/>
      </c>
      <c r="AJ64" s="71" t="str">
        <f t="shared" si="30"/>
        <v/>
      </c>
      <c r="AK64" s="71" t="str">
        <f t="shared" si="31"/>
        <v/>
      </c>
      <c r="AL64" s="71">
        <f t="shared" si="32"/>
        <v>15</v>
      </c>
      <c r="AM64" s="71">
        <f t="shared" si="33"/>
        <v>0</v>
      </c>
      <c r="AN64" s="72">
        <f t="shared" si="34"/>
        <v>3.4722222222222654E-3</v>
      </c>
      <c r="AO64" s="73">
        <f t="shared" si="35"/>
        <v>0</v>
      </c>
      <c r="AP64" s="72" t="str">
        <f t="shared" si="36"/>
        <v>Yes</v>
      </c>
      <c r="AQ64" s="72">
        <f t="shared" si="37"/>
        <v>6.2499999999999223E-3</v>
      </c>
      <c r="AR64" s="72" t="str">
        <f t="shared" si="38"/>
        <v>Yes</v>
      </c>
      <c r="AS64" s="72" t="str">
        <f t="shared" si="39"/>
        <v>No</v>
      </c>
      <c r="AT64" s="72" t="str">
        <f t="shared" si="40"/>
        <v>No</v>
      </c>
      <c r="AU64" s="3"/>
      <c r="AV64" s="3"/>
      <c r="AW64" s="3"/>
      <c r="AX64" s="3"/>
      <c r="AY64" s="20" t="s">
        <v>1180</v>
      </c>
      <c r="AZ64" s="46"/>
      <c r="BA64" s="20"/>
      <c r="BB64" s="46"/>
      <c r="BC64" s="20"/>
      <c r="BD64" s="20"/>
      <c r="BE64" s="20"/>
      <c r="BF64" s="47" t="str">
        <f t="shared" si="71"/>
        <v/>
      </c>
      <c r="BG64" s="3"/>
      <c r="BH64" s="156" t="s">
        <v>386</v>
      </c>
      <c r="BI64" s="157"/>
      <c r="BJ64" s="63">
        <f>COUNTIF(CW$2:CW$1288,1)/BJ11</f>
        <v>0</v>
      </c>
      <c r="BK64" s="58">
        <f t="shared" si="72"/>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47"/>
        <v>0</v>
      </c>
      <c r="CO64" s="78">
        <f t="shared" si="48"/>
        <v>0</v>
      </c>
      <c r="CP64" s="78">
        <f t="shared" si="49"/>
        <v>0</v>
      </c>
      <c r="CQ64" s="78">
        <f t="shared" si="50"/>
        <v>0</v>
      </c>
      <c r="CR64" s="78">
        <f t="shared" si="51"/>
        <v>0</v>
      </c>
      <c r="CS64" s="78">
        <f t="shared" si="52"/>
        <v>0</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0</v>
      </c>
      <c r="DB64" s="78">
        <f t="shared" si="60"/>
        <v>0</v>
      </c>
      <c r="DC64" s="78">
        <f t="shared" si="61"/>
        <v>0</v>
      </c>
      <c r="DD64" s="78">
        <f t="shared" si="62"/>
        <v>0</v>
      </c>
      <c r="DE64" s="78">
        <f t="shared" si="63"/>
        <v>1</v>
      </c>
      <c r="DF64" s="78">
        <f t="shared" si="64"/>
        <v>1</v>
      </c>
      <c r="DG64" s="78">
        <f t="shared" si="65"/>
        <v>1</v>
      </c>
      <c r="DH64" s="78" t="str">
        <f t="shared" si="66"/>
        <v>1</v>
      </c>
      <c r="DI64" s="79">
        <f>IFERROR(IF(J64="","",VLOOKUP(J64,Lists!$D$3:$E$13,2,FALSE)),1)</f>
        <v>0</v>
      </c>
      <c r="DJ64" s="79">
        <f>IFERROR(IF(K64="","",VLOOKUP(K64,Lists!$F$3:$G$14,2,FALSE)),1)</f>
        <v>0</v>
      </c>
      <c r="DK64" s="79" t="str">
        <f>IFERROR(IF(M64="","",VLOOKUP(M64,Lists!$AA$3:$AB$18,2,FALSE)),1)</f>
        <v/>
      </c>
      <c r="DL64" s="79" t="str">
        <f>IFERROR(IF(N64="","",VLOOKUP(N64,Lists!$AC$3:$AD$13,2,FALSE)),1)</f>
        <v/>
      </c>
    </row>
    <row r="65" spans="1:116" ht="15" customHeight="1" x14ac:dyDescent="0.25">
      <c r="A65" s="20">
        <v>95142</v>
      </c>
      <c r="B65" s="19">
        <v>45671</v>
      </c>
      <c r="C65" s="64">
        <v>0.35416666666666669</v>
      </c>
      <c r="D65" s="64" t="s">
        <v>1119</v>
      </c>
      <c r="E65" s="19">
        <v>45671</v>
      </c>
      <c r="F65" s="20">
        <v>2</v>
      </c>
      <c r="G65" s="18" t="s">
        <v>1108</v>
      </c>
      <c r="H65" s="65"/>
      <c r="I65" s="18" t="s">
        <v>1121</v>
      </c>
      <c r="J65" s="66" t="s">
        <v>42</v>
      </c>
      <c r="K65" s="66" t="s">
        <v>420</v>
      </c>
      <c r="L65" s="67" t="s">
        <v>1221</v>
      </c>
      <c r="M65" s="68"/>
      <c r="N65" s="68"/>
      <c r="O65" s="69"/>
      <c r="P65" s="134">
        <v>0.35416666666666669</v>
      </c>
      <c r="Q65" s="70"/>
      <c r="R65" s="134">
        <v>0.36805555555555558</v>
      </c>
      <c r="S65" s="70"/>
      <c r="T65" s="134">
        <v>0.41666666666666669</v>
      </c>
      <c r="U65" s="70"/>
      <c r="V65" s="134">
        <v>0.43055555555555558</v>
      </c>
      <c r="W65" s="70"/>
      <c r="X65" s="134">
        <v>0.43124999999999997</v>
      </c>
      <c r="Y65" s="70"/>
      <c r="Z65" s="134">
        <v>0.4375</v>
      </c>
      <c r="AA65" s="70" t="s">
        <v>1121</v>
      </c>
      <c r="AB65" s="19">
        <v>45671</v>
      </c>
      <c r="AC65" s="20" t="s">
        <v>1108</v>
      </c>
      <c r="AD65" s="19"/>
      <c r="AE65" s="71">
        <f t="shared" si="25"/>
        <v>510</v>
      </c>
      <c r="AF65" s="71">
        <f t="shared" si="26"/>
        <v>620</v>
      </c>
      <c r="AG65" s="71">
        <f t="shared" si="27"/>
        <v>110</v>
      </c>
      <c r="AH65" s="71">
        <f t="shared" si="28"/>
        <v>110</v>
      </c>
      <c r="AI65" s="71" t="str">
        <f t="shared" si="29"/>
        <v/>
      </c>
      <c r="AJ65" s="71" t="str">
        <f t="shared" si="30"/>
        <v/>
      </c>
      <c r="AK65" s="71" t="str">
        <f t="shared" si="31"/>
        <v/>
      </c>
      <c r="AL65" s="71">
        <f t="shared" si="32"/>
        <v>110</v>
      </c>
      <c r="AM65" s="71">
        <f t="shared" si="33"/>
        <v>0</v>
      </c>
      <c r="AN65" s="72">
        <f t="shared" si="34"/>
        <v>1.3888888888888895E-2</v>
      </c>
      <c r="AO65" s="73">
        <f t="shared" si="35"/>
        <v>0</v>
      </c>
      <c r="AP65" s="72" t="str">
        <f t="shared" si="36"/>
        <v>No</v>
      </c>
      <c r="AQ65" s="72">
        <f t="shared" si="37"/>
        <v>6.2500000000000333E-3</v>
      </c>
      <c r="AR65" s="72" t="str">
        <f t="shared" si="38"/>
        <v>Yes</v>
      </c>
      <c r="AS65" s="72" t="str">
        <f t="shared" si="39"/>
        <v>No</v>
      </c>
      <c r="AT65" s="72" t="str">
        <f t="shared" si="40"/>
        <v>No</v>
      </c>
      <c r="AU65" s="3"/>
      <c r="AV65" s="3"/>
      <c r="AW65" s="3"/>
      <c r="AX65" s="3"/>
      <c r="AY65" s="20" t="s">
        <v>1141</v>
      </c>
      <c r="AZ65" s="46"/>
      <c r="BA65" s="20"/>
      <c r="BB65" s="46"/>
      <c r="BC65" s="20"/>
      <c r="BD65" s="20"/>
      <c r="BE65" s="20"/>
      <c r="BF65" s="47" t="str">
        <f t="shared" si="71"/>
        <v/>
      </c>
      <c r="BG65" s="3"/>
      <c r="BH65" s="156" t="s">
        <v>387</v>
      </c>
      <c r="BI65" s="157"/>
      <c r="BJ65" s="63">
        <f>COUNTIF(CX$2:CX$1288,1)/BJ11</f>
        <v>0</v>
      </c>
      <c r="BK65" s="58">
        <f t="shared" si="72"/>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47"/>
        <v>0</v>
      </c>
      <c r="CO65" s="78">
        <f t="shared" si="48"/>
        <v>0</v>
      </c>
      <c r="CP65" s="78">
        <f t="shared" si="49"/>
        <v>0</v>
      </c>
      <c r="CQ65" s="78">
        <f t="shared" si="50"/>
        <v>0</v>
      </c>
      <c r="CR65" s="78">
        <f t="shared" si="51"/>
        <v>0</v>
      </c>
      <c r="CS65" s="78">
        <f t="shared" si="52"/>
        <v>0</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f t="shared" si="63"/>
        <v>1</v>
      </c>
      <c r="DF65" s="78">
        <f t="shared" si="64"/>
        <v>1</v>
      </c>
      <c r="DG65" s="78">
        <f t="shared" si="65"/>
        <v>1</v>
      </c>
      <c r="DH65" s="78" t="str">
        <f t="shared" si="66"/>
        <v>1</v>
      </c>
      <c r="DI65" s="79">
        <f>IFERROR(IF(J65="","",VLOOKUP(J65,Lists!$D$3:$E$13,2,FALSE)),1)</f>
        <v>0</v>
      </c>
      <c r="DJ65" s="79">
        <f>IFERROR(IF(K65="","",VLOOKUP(K65,Lists!$F$3:$G$14,2,FALSE)),1)</f>
        <v>0</v>
      </c>
      <c r="DK65" s="79" t="str">
        <f>IFERROR(IF(M65="","",VLOOKUP(M65,Lists!$AA$3:$AB$18,2,FALSE)),1)</f>
        <v/>
      </c>
      <c r="DL65" s="79" t="str">
        <f>IFERROR(IF(N65="","",VLOOKUP(N65,Lists!$AC$3:$AD$13,2,FALSE)),1)</f>
        <v/>
      </c>
    </row>
    <row r="66" spans="1:116" ht="15" customHeight="1" x14ac:dyDescent="0.25">
      <c r="A66" s="20">
        <v>420531</v>
      </c>
      <c r="B66" s="19">
        <v>45671</v>
      </c>
      <c r="C66" s="64">
        <v>0.4375</v>
      </c>
      <c r="D66" s="64" t="s">
        <v>1119</v>
      </c>
      <c r="E66" s="19">
        <v>45670</v>
      </c>
      <c r="F66" s="20">
        <v>2</v>
      </c>
      <c r="G66" s="18" t="s">
        <v>1108</v>
      </c>
      <c r="H66" s="65"/>
      <c r="I66" s="18" t="s">
        <v>1108</v>
      </c>
      <c r="J66" s="66"/>
      <c r="K66" s="66"/>
      <c r="L66" s="67"/>
      <c r="M66" s="68" t="s">
        <v>42</v>
      </c>
      <c r="N66" s="68" t="s">
        <v>420</v>
      </c>
      <c r="O66" s="69" t="s">
        <v>1222</v>
      </c>
      <c r="P66" s="134">
        <v>0.44444444444444442</v>
      </c>
      <c r="Q66" s="70"/>
      <c r="R66" s="134">
        <v>0.45833333333333331</v>
      </c>
      <c r="S66" s="70"/>
      <c r="T66" s="134">
        <v>0.51388888888888895</v>
      </c>
      <c r="U66" s="70"/>
      <c r="V66" s="134">
        <v>0.52777777777777779</v>
      </c>
      <c r="W66" s="70"/>
      <c r="X66" s="134">
        <v>0.52847222222222223</v>
      </c>
      <c r="Y66" s="70"/>
      <c r="Z66" s="134">
        <v>0.53472222222222221</v>
      </c>
      <c r="AA66" s="70" t="s">
        <v>1121</v>
      </c>
      <c r="AB66" s="19">
        <v>45671</v>
      </c>
      <c r="AC66" s="20" t="s">
        <v>1108</v>
      </c>
      <c r="AD66" s="19"/>
      <c r="AE66" s="71">
        <f t="shared" si="25"/>
        <v>640</v>
      </c>
      <c r="AF66" s="71">
        <f t="shared" si="26"/>
        <v>760</v>
      </c>
      <c r="AG66" s="71">
        <f t="shared" si="27"/>
        <v>120</v>
      </c>
      <c r="AH66" s="71">
        <f t="shared" si="28"/>
        <v>120</v>
      </c>
      <c r="AI66" s="71" t="str">
        <f t="shared" si="29"/>
        <v/>
      </c>
      <c r="AJ66" s="71" t="str">
        <f t="shared" si="30"/>
        <v/>
      </c>
      <c r="AK66" s="71" t="str">
        <f t="shared" si="31"/>
        <v/>
      </c>
      <c r="AL66" s="71">
        <f t="shared" si="32"/>
        <v>120</v>
      </c>
      <c r="AM66" s="71">
        <f t="shared" si="33"/>
        <v>0</v>
      </c>
      <c r="AN66" s="72">
        <f t="shared" si="34"/>
        <v>2.0833333333333315E-2</v>
      </c>
      <c r="AO66" s="73">
        <f t="shared" si="35"/>
        <v>1</v>
      </c>
      <c r="AP66" s="72" t="str">
        <f t="shared" si="36"/>
        <v>No</v>
      </c>
      <c r="AQ66" s="72">
        <f t="shared" si="37"/>
        <v>6.2499999999999778E-3</v>
      </c>
      <c r="AR66" s="72" t="str">
        <f t="shared" si="38"/>
        <v/>
      </c>
      <c r="AS66" s="72" t="str">
        <f t="shared" si="39"/>
        <v/>
      </c>
      <c r="AT66" s="72" t="str">
        <f t="shared" si="40"/>
        <v/>
      </c>
      <c r="AU66" s="3"/>
      <c r="AV66" s="3"/>
      <c r="AW66" s="3"/>
      <c r="AX66" s="3"/>
      <c r="AY66" s="20" t="s">
        <v>1123</v>
      </c>
      <c r="AZ66" s="46"/>
      <c r="BA66" s="20"/>
      <c r="BB66" s="46"/>
      <c r="BC66" s="20"/>
      <c r="BD66" s="20"/>
      <c r="BE66" s="20"/>
      <c r="BF66" s="47" t="str">
        <f t="shared" si="71"/>
        <v/>
      </c>
      <c r="BG66" s="3"/>
      <c r="BH66" s="156" t="s">
        <v>388</v>
      </c>
      <c r="BI66" s="157"/>
      <c r="BJ66" s="63">
        <f>COUNTIF(CY$2:CY$1288,1)/BJ11</f>
        <v>0</v>
      </c>
      <c r="BK66" s="58">
        <f t="shared" si="72"/>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47"/>
        <v>0</v>
      </c>
      <c r="CO66" s="78">
        <f t="shared" si="48"/>
        <v>0</v>
      </c>
      <c r="CP66" s="78">
        <f t="shared" si="49"/>
        <v>0</v>
      </c>
      <c r="CQ66" s="78">
        <f t="shared" si="50"/>
        <v>0</v>
      </c>
      <c r="CR66" s="78">
        <f t="shared" si="51"/>
        <v>0</v>
      </c>
      <c r="CS66" s="78">
        <f t="shared" si="52"/>
        <v>0</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0</v>
      </c>
      <c r="DC66" s="78">
        <f t="shared" si="61"/>
        <v>0</v>
      </c>
      <c r="DD66" s="78">
        <f t="shared" si="62"/>
        <v>0</v>
      </c>
      <c r="DE66" s="78">
        <f t="shared" si="63"/>
        <v>1</v>
      </c>
      <c r="DF66" s="78">
        <f t="shared" si="64"/>
        <v>1</v>
      </c>
      <c r="DG66" s="78">
        <f t="shared" si="65"/>
        <v>1</v>
      </c>
      <c r="DH66" s="78" t="str">
        <f t="shared" si="66"/>
        <v>1</v>
      </c>
      <c r="DI66" s="79" t="str">
        <f>IFERROR(IF(J66="","",VLOOKUP(J66,Lists!$D$3:$E$13,2,FALSE)),1)</f>
        <v/>
      </c>
      <c r="DJ66" s="79" t="str">
        <f>IFERROR(IF(K66="","",VLOOKUP(K66,Lists!$F$3:$G$14,2,FALSE)),1)</f>
        <v/>
      </c>
      <c r="DK66" s="79">
        <f>IFERROR(IF(M66="","",VLOOKUP(M66,Lists!$AA$3:$AB$18,2,FALSE)),1)</f>
        <v>0</v>
      </c>
      <c r="DL66" s="79">
        <f>IFERROR(IF(N66="","",VLOOKUP(N66,Lists!$AC$3:$AD$13,2,FALSE)),1)</f>
        <v>0</v>
      </c>
    </row>
    <row r="67" spans="1:116" ht="15" customHeight="1" x14ac:dyDescent="0.25">
      <c r="A67" s="20">
        <v>413432</v>
      </c>
      <c r="B67" s="19">
        <v>45671</v>
      </c>
      <c r="C67" s="64">
        <v>0.54166666666666663</v>
      </c>
      <c r="D67" s="64" t="s">
        <v>1119</v>
      </c>
      <c r="E67" s="19">
        <v>45671</v>
      </c>
      <c r="F67" s="20">
        <v>2</v>
      </c>
      <c r="G67" s="18" t="s">
        <v>1108</v>
      </c>
      <c r="H67" s="65"/>
      <c r="I67" s="18" t="s">
        <v>1121</v>
      </c>
      <c r="J67" s="66" t="s">
        <v>42</v>
      </c>
      <c r="K67" s="66" t="s">
        <v>420</v>
      </c>
      <c r="L67" s="67" t="s">
        <v>1223</v>
      </c>
      <c r="M67" s="68"/>
      <c r="N67" s="68"/>
      <c r="O67" s="69"/>
      <c r="P67" s="134">
        <v>0.54166666666666663</v>
      </c>
      <c r="Q67" s="70"/>
      <c r="R67" s="134">
        <v>0.55208333333333337</v>
      </c>
      <c r="S67" s="70"/>
      <c r="T67" s="134">
        <v>0.57500000000000007</v>
      </c>
      <c r="U67" s="70"/>
      <c r="V67" s="134">
        <v>0.57638888888888895</v>
      </c>
      <c r="W67" s="70"/>
      <c r="X67" s="134">
        <v>0.57708333333333328</v>
      </c>
      <c r="Y67" s="70"/>
      <c r="Z67" s="134">
        <v>0.58333333333333337</v>
      </c>
      <c r="AA67" s="70" t="s">
        <v>1121</v>
      </c>
      <c r="AB67" s="19">
        <v>45671</v>
      </c>
      <c r="AC67" s="20" t="s">
        <v>1108</v>
      </c>
      <c r="AD67" s="19"/>
      <c r="AE67" s="71">
        <f t="shared" ref="AE67:AE130" si="73">IF(P67&lt;&gt;"",HOUR(P67)*60+MINUTE(P67),"")</f>
        <v>780</v>
      </c>
      <c r="AF67" s="71">
        <f t="shared" ref="AF67:AF130" si="74">IF(V67&lt;&gt;"",HOUR(V67)*60+MINUTE(V67),"")</f>
        <v>830</v>
      </c>
      <c r="AG67" s="71">
        <f t="shared" ref="AG67:AG130" si="75">IF(OR(AE67="",AF67=""),"",IF(AE67=AF67,0,IF(AF67&gt;AE67,AF67-AE67,1440-AE67+AF67)))</f>
        <v>50</v>
      </c>
      <c r="AH67" s="71">
        <f t="shared" ref="AH67:AH130" si="76">IF(OR(AE67="",AF67="",AG67=""),"",IF(AE67&gt;=$BK$4,IF(AF67&gt;$BK$4,IF(AF67&lt;=$BK$5,IF(AE67&gt;=$BK$4,AG67,""),""),""),0))</f>
        <v>50</v>
      </c>
      <c r="AI67" s="71" t="str">
        <f t="shared" ref="AI67:AI130" si="77">IF(OR(AE67="",AF67="",$BK$4="",$BK$5=""),"",IF(AE67&lt;$BK$4,IF(AF67&gt;$BK$4,IF(AF67&lt;$BK$5,AF67-$BK$4,($BK$5-$BK$4)),""),""))</f>
        <v/>
      </c>
      <c r="AJ67" s="71" t="str">
        <f t="shared" ref="AJ67:AJ130" si="78">IF(OR(AE67="",AF67="",$BK$4="",$BK$5=""),"",IF(AE67&gt;$BK$4,IF(AE67&lt;$BK$5,IF(OR(AF67&gt;$BK$5,AF67&lt;$BK$4),$BK$5-AE67,""),""),""))</f>
        <v/>
      </c>
      <c r="AK67" s="71" t="str">
        <f t="shared" ref="AK67:AK130" si="79">IF(OR(AE67="",AF67="",$BK$4="",$BK$5=""),"",IF(AND(AE67&lt;$BK$4,AF67&lt;$BK$4),((AF67-AE67)),""))</f>
        <v/>
      </c>
      <c r="AL67" s="71">
        <f t="shared" ref="AL67:AL130" si="80">IF(AND(AH67="",AI67="",AJ67="",AK67=""),"",SUM(AH67:AK67))</f>
        <v>50</v>
      </c>
      <c r="AM67" s="71">
        <f t="shared" ref="AM67:AM130" si="81">IF(OR(AG67="",AL67=""),IF(AL67="",AG67,""),AG67-AL67)</f>
        <v>0</v>
      </c>
      <c r="AN67" s="72">
        <f t="shared" ref="AN67:AN130" si="82">IF(AL67="","",IF(OR(C67="",R67=""),"",IF(((R67+Q67)-C67)&lt;0,0,((R67+Q67)-C67))))</f>
        <v>1.0416666666666741E-2</v>
      </c>
      <c r="AO67" s="73">
        <f t="shared" ref="AO67:AO130" si="83">IF(AL67="","",IF(OR(E67="",B67="",G67="yes"),"",B67-E67))</f>
        <v>0</v>
      </c>
      <c r="AP67" s="72" t="str">
        <f t="shared" ref="AP67:AP130" si="84">IF(AN67="","",IF(AN67&gt;$AY$6,"No","Yes"))</f>
        <v>Yes</v>
      </c>
      <c r="AQ67" s="72">
        <f t="shared" ref="AQ67:AQ130" si="85">IF(AL67="","",IF(OR(X67="",Z67=""),"",Z67+Y67-X67))</f>
        <v>6.2500000000000888E-3</v>
      </c>
      <c r="AR67" s="72" t="str">
        <f t="shared" ref="AR67:AR130" si="86">IF(AL67="","",IF(OR(I67="",I67="No",,G67="yes"),"",IF(AB67=E67,"Yes","No")))</f>
        <v>Yes</v>
      </c>
      <c r="AS67" s="72" t="str">
        <f t="shared" ref="AS67:AS130" si="87">IF(G67="YES","",(IF(OR(A67="",AB67="",E67=""),"",(IF(OR(I67="",I67="No",,G67="Yes"),"",IF(OR(B67&lt;&gt;AB67,B67&lt;&gt;E67),IF(AB67&lt;E67,"Validate","Yes"),"No"))))))</f>
        <v>No</v>
      </c>
      <c r="AT67" s="72" t="str">
        <f t="shared" ref="AT67:AT130" si="88">IF(OR(AL67="",AB67="",I67="No"),"",IF(OR(AD67=AB67,AD67=AB67+1),"Yes","No"))</f>
        <v>No</v>
      </c>
      <c r="AU67" s="3"/>
      <c r="AV67" s="3"/>
      <c r="AW67" s="3"/>
      <c r="AX67" s="3"/>
      <c r="AY67" s="20" t="s">
        <v>1181</v>
      </c>
      <c r="AZ67" s="46"/>
      <c r="BA67" s="20"/>
      <c r="BB67" s="46"/>
      <c r="BC67" s="20"/>
      <c r="BD67" s="20"/>
      <c r="BE67" s="20"/>
      <c r="BF67" s="47" t="str">
        <f t="shared" si="71"/>
        <v/>
      </c>
      <c r="BG67" s="3"/>
      <c r="BH67" s="156" t="s">
        <v>460</v>
      </c>
      <c r="BI67" s="157"/>
      <c r="BJ67" s="63">
        <f>COUNTIF(CZ$2:CZ$1288,"1")/BJ11</f>
        <v>0</v>
      </c>
      <c r="BK67" s="58">
        <f t="shared" si="72"/>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89">IF(OR(P67="",R67=""),"",IF(P67+Q67=R67,1,0))</f>
        <v>0</v>
      </c>
      <c r="CO67" s="78">
        <f t="shared" ref="CO67:CO130" si="90">IF(OR(R67="",T67=""),"",IF(R67+S67=T67,1,0))</f>
        <v>0</v>
      </c>
      <c r="CP67" s="78">
        <f t="shared" ref="CP67:CP130" si="91">IF(OR(T67="",V67=""),"",IF(T67+U67=V67,1,0))</f>
        <v>0</v>
      </c>
      <c r="CQ67" s="78">
        <f t="shared" ref="CQ67:CQ130" si="92">IF(OR(V67="",X67=""),"",IF(V67+W67=X67,1,0))</f>
        <v>0</v>
      </c>
      <c r="CR67" s="78">
        <f t="shared" ref="CR67:CR130" si="93">IF(OR(X67="",Z67=""),"",IF(X67+Y67=Z67,1,0))</f>
        <v>0</v>
      </c>
      <c r="CS67" s="78">
        <f t="shared" ref="CS67:CS130" si="94">IF(OR(P67="",R67="",T67="",X67="",Z67="",V67=""),"",IF(P67=R67,1,IF(P67=T67,1,IF(P67=V67,1,IF(P67=X67,1,IF(P67=Z67,1,IF(R67=T67,1,IF(R67=V67,1,IF(R67=X67,1,IF(R67=Z67,1,IF(T67=V67,1,IF(T67=X67,1,IF(T67=Z67,1,IF(V67=X67,1,IF(V67=Z67,1,IF(X67=Z67,1,0))))))))))))))))</f>
        <v>0</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1</v>
      </c>
      <c r="DC67" s="78">
        <f t="shared" ref="DC67:DC130" si="103">IF(COUNTIFS($P$2:$P$1288,P67,$T$2:$T$1288,T67,$R$2:$R$1288,R67,$V$2:$V$1288,V67)&gt;1,1,0)</f>
        <v>0</v>
      </c>
      <c r="DD67" s="78">
        <f t="shared" ref="DD67:DD130" si="104">IF(COUNTIFS($T$2:$T$601,T67,$V$2:$V$601,V67,$P$2:$P$601,P67,$X$2:$X$601,X67)&gt;1,1,0)</f>
        <v>0</v>
      </c>
      <c r="DE67" s="78">
        <f t="shared" ref="DE67:DE130" si="105">IF(ISERROR(DATEVALUE(TEXT(B67,"mm/dd/yyyy"))),"1",IF(B67 &gt;=DATEVALUE(TEXT("06/01/2000","mm/dd/yyyy")),1,"0"))</f>
        <v>1</v>
      </c>
      <c r="DF67" s="78">
        <f t="shared" ref="DF67:DF130" si="106">IF(ISERROR(DATEVALUE(TEXT(E67,"mm/dd/yyyy"))),"1",IF(E67 &gt;=DATEVALUE(TEXT("06/01/2000","mm/dd/yyyy")),1,"0"))</f>
        <v>1</v>
      </c>
      <c r="DG67" s="78">
        <f t="shared" ref="DG67:DG130" si="107">IF(ISERROR(DATEVALUE(TEXT(AB67,"mm/dd/yyyy"))),"1",IF(AB67 &gt;=DATEVALUE(TEXT("06/01/2000","mm/dd/yyyy")),1,"0"))</f>
        <v>1</v>
      </c>
      <c r="DH67" s="78" t="str">
        <f t="shared" ref="DH67:DH130" si="108">IF(ISERROR(DATEVALUE(TEXT(AD67,"mm/dd/yyyy"))),"1",IF(AD67 &gt;=DATEVALUE(TEXT("06/01/2000","mm/dd/yyyy")),1,"0"))</f>
        <v>1</v>
      </c>
      <c r="DI67" s="79">
        <f>IFERROR(IF(J67="","",VLOOKUP(J67,Lists!$D$3:$E$13,2,FALSE)),1)</f>
        <v>0</v>
      </c>
      <c r="DJ67" s="79">
        <f>IFERROR(IF(K67="","",VLOOKUP(K67,Lists!$F$3:$G$14,2,FALSE)),1)</f>
        <v>0</v>
      </c>
      <c r="DK67" s="79" t="str">
        <f>IFERROR(IF(M67="","",VLOOKUP(M67,Lists!$AA$3:$AB$18,2,FALSE)),1)</f>
        <v/>
      </c>
      <c r="DL67" s="79" t="str">
        <f>IFERROR(IF(N67="","",VLOOKUP(N67,Lists!$AC$3:$AD$13,2,FALSE)),1)</f>
        <v/>
      </c>
    </row>
    <row r="68" spans="1:116" ht="15" customHeight="1" x14ac:dyDescent="0.25">
      <c r="A68" s="20">
        <v>417313</v>
      </c>
      <c r="B68" s="19">
        <v>45671</v>
      </c>
      <c r="C68" s="64">
        <v>0.60416666666666663</v>
      </c>
      <c r="D68" s="64" t="s">
        <v>1119</v>
      </c>
      <c r="E68" s="19">
        <v>45671</v>
      </c>
      <c r="F68" s="20">
        <v>2</v>
      </c>
      <c r="G68" s="18" t="s">
        <v>1108</v>
      </c>
      <c r="H68" s="65"/>
      <c r="I68" s="18" t="s">
        <v>1121</v>
      </c>
      <c r="J68" s="66" t="s">
        <v>42</v>
      </c>
      <c r="K68" s="66" t="s">
        <v>420</v>
      </c>
      <c r="L68" s="67" t="s">
        <v>1223</v>
      </c>
      <c r="M68" s="68"/>
      <c r="N68" s="68"/>
      <c r="O68" s="69"/>
      <c r="P68" s="134">
        <v>0.59722222222222221</v>
      </c>
      <c r="Q68" s="70"/>
      <c r="R68" s="134">
        <v>0.60416666666666663</v>
      </c>
      <c r="S68" s="70"/>
      <c r="T68" s="134">
        <v>0.62847222222222221</v>
      </c>
      <c r="U68" s="70"/>
      <c r="V68" s="134">
        <v>0.63194444444444442</v>
      </c>
      <c r="W68" s="70"/>
      <c r="X68" s="134">
        <v>0.65347222222222223</v>
      </c>
      <c r="Y68" s="70"/>
      <c r="Z68" s="134">
        <v>0.65972222222222221</v>
      </c>
      <c r="AA68" s="70" t="s">
        <v>1121</v>
      </c>
      <c r="AB68" s="19">
        <v>45671</v>
      </c>
      <c r="AC68" s="20" t="s">
        <v>1108</v>
      </c>
      <c r="AD68" s="19"/>
      <c r="AE68" s="71">
        <f t="shared" si="73"/>
        <v>860</v>
      </c>
      <c r="AF68" s="71">
        <f t="shared" si="74"/>
        <v>910</v>
      </c>
      <c r="AG68" s="71">
        <f t="shared" si="75"/>
        <v>50</v>
      </c>
      <c r="AH68" s="71">
        <f t="shared" si="76"/>
        <v>50</v>
      </c>
      <c r="AI68" s="71" t="str">
        <f t="shared" si="77"/>
        <v/>
      </c>
      <c r="AJ68" s="71" t="str">
        <f t="shared" si="78"/>
        <v/>
      </c>
      <c r="AK68" s="71" t="str">
        <f t="shared" si="79"/>
        <v/>
      </c>
      <c r="AL68" s="71">
        <f t="shared" si="80"/>
        <v>50</v>
      </c>
      <c r="AM68" s="71">
        <f t="shared" si="81"/>
        <v>0</v>
      </c>
      <c r="AN68" s="72">
        <f t="shared" si="82"/>
        <v>0</v>
      </c>
      <c r="AO68" s="73">
        <f t="shared" si="83"/>
        <v>0</v>
      </c>
      <c r="AP68" s="72" t="str">
        <f t="shared" si="84"/>
        <v>Yes</v>
      </c>
      <c r="AQ68" s="72">
        <f t="shared" si="85"/>
        <v>6.2499999999999778E-3</v>
      </c>
      <c r="AR68" s="72" t="str">
        <f t="shared" si="86"/>
        <v>Yes</v>
      </c>
      <c r="AS68" s="72" t="str">
        <f t="shared" si="87"/>
        <v>No</v>
      </c>
      <c r="AT68" s="72" t="str">
        <f t="shared" si="88"/>
        <v>No</v>
      </c>
      <c r="AU68" s="3"/>
      <c r="AV68" s="3"/>
      <c r="AW68" s="3"/>
      <c r="AX68" s="3"/>
      <c r="AY68" s="20" t="s">
        <v>1182</v>
      </c>
      <c r="AZ68" s="46"/>
      <c r="BA68" s="20"/>
      <c r="BB68" s="46"/>
      <c r="BC68" s="20"/>
      <c r="BD68" s="20"/>
      <c r="BE68" s="20"/>
      <c r="BF68" s="47" t="str">
        <f t="shared" si="71"/>
        <v/>
      </c>
      <c r="BG68" s="3"/>
      <c r="BH68" s="156" t="s">
        <v>393</v>
      </c>
      <c r="BI68" s="157"/>
      <c r="BJ68" s="63">
        <f>COUNTIF(DC$2:DC$1288,"1")/BJ11</f>
        <v>0</v>
      </c>
      <c r="BK68" s="58">
        <f t="shared" si="72"/>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89"/>
        <v>0</v>
      </c>
      <c r="CO68" s="78">
        <f t="shared" si="90"/>
        <v>0</v>
      </c>
      <c r="CP68" s="78">
        <f t="shared" si="91"/>
        <v>0</v>
      </c>
      <c r="CQ68" s="78">
        <f t="shared" si="92"/>
        <v>0</v>
      </c>
      <c r="CR68" s="78">
        <f t="shared" si="93"/>
        <v>0</v>
      </c>
      <c r="CS68" s="78">
        <f t="shared" si="94"/>
        <v>0</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0</v>
      </c>
      <c r="DC68" s="78">
        <f t="shared" si="103"/>
        <v>0</v>
      </c>
      <c r="DD68" s="78">
        <f t="shared" si="104"/>
        <v>0</v>
      </c>
      <c r="DE68" s="78">
        <f t="shared" si="105"/>
        <v>1</v>
      </c>
      <c r="DF68" s="78">
        <f t="shared" si="106"/>
        <v>1</v>
      </c>
      <c r="DG68" s="78">
        <f t="shared" si="107"/>
        <v>1</v>
      </c>
      <c r="DH68" s="78" t="str">
        <f t="shared" si="108"/>
        <v>1</v>
      </c>
      <c r="DI68" s="79">
        <f>IFERROR(IF(J68="","",VLOOKUP(J68,Lists!$D$3:$E$13,2,FALSE)),1)</f>
        <v>0</v>
      </c>
      <c r="DJ68" s="79">
        <f>IFERROR(IF(K68="","",VLOOKUP(K68,Lists!$F$3:$G$14,2,FALSE)),1)</f>
        <v>0</v>
      </c>
      <c r="DK68" s="79" t="str">
        <f>IFERROR(IF(M68="","",VLOOKUP(M68,Lists!$AA$3:$AB$18,2,FALSE)),1)</f>
        <v/>
      </c>
      <c r="DL68" s="79" t="str">
        <f>IFERROR(IF(N68="","",VLOOKUP(N68,Lists!$AC$3:$AD$13,2,FALSE)),1)</f>
        <v/>
      </c>
    </row>
    <row r="69" spans="1:116" ht="15" customHeight="1" x14ac:dyDescent="0.25">
      <c r="A69" s="20">
        <v>420119</v>
      </c>
      <c r="B69" s="19">
        <v>45671</v>
      </c>
      <c r="C69" s="64">
        <v>0.64583333333333337</v>
      </c>
      <c r="D69" s="64" t="s">
        <v>1119</v>
      </c>
      <c r="E69" s="19">
        <v>45671</v>
      </c>
      <c r="F69" s="20">
        <v>2</v>
      </c>
      <c r="G69" s="18" t="s">
        <v>1108</v>
      </c>
      <c r="H69" s="65"/>
      <c r="I69" s="18" t="s">
        <v>1121</v>
      </c>
      <c r="J69" s="66" t="s">
        <v>42</v>
      </c>
      <c r="K69" s="66" t="s">
        <v>420</v>
      </c>
      <c r="L69" s="67" t="s">
        <v>1223</v>
      </c>
      <c r="M69" s="68"/>
      <c r="N69" s="68"/>
      <c r="O69" s="69"/>
      <c r="P69" s="134">
        <v>0.64236111111111105</v>
      </c>
      <c r="Q69" s="70"/>
      <c r="R69" s="134">
        <v>0.64930555555555558</v>
      </c>
      <c r="S69" s="70"/>
      <c r="T69" s="134">
        <v>0.67013888888888884</v>
      </c>
      <c r="U69" s="70"/>
      <c r="V69" s="134">
        <v>0.67361111111111116</v>
      </c>
      <c r="W69" s="70"/>
      <c r="X69" s="134">
        <v>0.6743055555555556</v>
      </c>
      <c r="Y69" s="70"/>
      <c r="Z69" s="134">
        <v>0.68055555555555547</v>
      </c>
      <c r="AA69" s="70" t="s">
        <v>1121</v>
      </c>
      <c r="AB69" s="19">
        <v>45671</v>
      </c>
      <c r="AC69" s="20" t="s">
        <v>1108</v>
      </c>
      <c r="AD69" s="19"/>
      <c r="AE69" s="71">
        <f t="shared" si="73"/>
        <v>925</v>
      </c>
      <c r="AF69" s="71">
        <f t="shared" si="74"/>
        <v>970</v>
      </c>
      <c r="AG69" s="71">
        <f t="shared" si="75"/>
        <v>45</v>
      </c>
      <c r="AH69" s="71" t="str">
        <f t="shared" si="76"/>
        <v/>
      </c>
      <c r="AI69" s="71" t="str">
        <f t="shared" si="77"/>
        <v/>
      </c>
      <c r="AJ69" s="71">
        <f t="shared" si="78"/>
        <v>35</v>
      </c>
      <c r="AK69" s="71" t="str">
        <f t="shared" si="79"/>
        <v/>
      </c>
      <c r="AL69" s="71">
        <f t="shared" si="80"/>
        <v>35</v>
      </c>
      <c r="AM69" s="71">
        <f t="shared" si="81"/>
        <v>10</v>
      </c>
      <c r="AN69" s="72">
        <f t="shared" si="82"/>
        <v>3.4722222222222099E-3</v>
      </c>
      <c r="AO69" s="73">
        <f t="shared" si="83"/>
        <v>0</v>
      </c>
      <c r="AP69" s="72" t="str">
        <f t="shared" si="84"/>
        <v>Yes</v>
      </c>
      <c r="AQ69" s="72">
        <f t="shared" si="85"/>
        <v>6.2499999999998668E-3</v>
      </c>
      <c r="AR69" s="72" t="str">
        <f t="shared" si="86"/>
        <v>Yes</v>
      </c>
      <c r="AS69" s="72" t="str">
        <f t="shared" si="87"/>
        <v>No</v>
      </c>
      <c r="AT69" s="72" t="str">
        <f t="shared" si="88"/>
        <v>No</v>
      </c>
      <c r="AU69" s="3"/>
      <c r="AV69" s="3"/>
      <c r="AW69" s="3"/>
      <c r="AX69" s="3"/>
      <c r="AY69" s="20" t="s">
        <v>1183</v>
      </c>
      <c r="AZ69" s="46"/>
      <c r="BA69" s="20"/>
      <c r="BB69" s="46"/>
      <c r="BC69" s="20"/>
      <c r="BD69" s="20"/>
      <c r="BE69" s="20"/>
      <c r="BF69" s="47" t="str">
        <f t="shared" si="71"/>
        <v/>
      </c>
      <c r="BG69" s="3"/>
      <c r="BH69" s="156" t="s">
        <v>398</v>
      </c>
      <c r="BI69" s="157"/>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89"/>
        <v>0</v>
      </c>
      <c r="CO69" s="78">
        <f t="shared" si="90"/>
        <v>0</v>
      </c>
      <c r="CP69" s="78">
        <f t="shared" si="91"/>
        <v>0</v>
      </c>
      <c r="CQ69" s="78">
        <f t="shared" si="92"/>
        <v>0</v>
      </c>
      <c r="CR69" s="78">
        <f t="shared" si="93"/>
        <v>0</v>
      </c>
      <c r="CS69" s="78">
        <f t="shared" si="94"/>
        <v>0</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f t="shared" si="105"/>
        <v>1</v>
      </c>
      <c r="DF69" s="78">
        <f t="shared" si="106"/>
        <v>1</v>
      </c>
      <c r="DG69" s="78">
        <f t="shared" si="107"/>
        <v>1</v>
      </c>
      <c r="DH69" s="78" t="str">
        <f t="shared" si="108"/>
        <v>1</v>
      </c>
      <c r="DI69" s="79">
        <f>IFERROR(IF(J69="","",VLOOKUP(J69,Lists!$D$3:$E$13,2,FALSE)),1)</f>
        <v>0</v>
      </c>
      <c r="DJ69" s="79">
        <f>IFERROR(IF(K69="","",VLOOKUP(K69,Lists!$F$3:$G$14,2,FALSE)),1)</f>
        <v>0</v>
      </c>
      <c r="DK69" s="79" t="str">
        <f>IFERROR(IF(M69="","",VLOOKUP(M69,Lists!$AA$3:$AB$18,2,FALSE)),1)</f>
        <v/>
      </c>
      <c r="DL69" s="79" t="str">
        <f>IFERROR(IF(N69="","",VLOOKUP(N69,Lists!$AC$3:$AD$13,2,FALSE)),1)</f>
        <v/>
      </c>
    </row>
    <row r="70" spans="1:116" ht="15" customHeight="1" x14ac:dyDescent="0.25">
      <c r="A70" s="20">
        <v>409017</v>
      </c>
      <c r="B70" s="19">
        <v>45671</v>
      </c>
      <c r="C70" s="64">
        <v>0.33333333333333331</v>
      </c>
      <c r="D70" s="64" t="s">
        <v>1129</v>
      </c>
      <c r="E70" s="19">
        <v>45671</v>
      </c>
      <c r="F70" s="20">
        <v>13</v>
      </c>
      <c r="G70" s="18" t="s">
        <v>1108</v>
      </c>
      <c r="H70" s="65"/>
      <c r="I70" s="18" t="s">
        <v>1121</v>
      </c>
      <c r="J70" s="66" t="s">
        <v>56</v>
      </c>
      <c r="K70" s="66" t="s">
        <v>420</v>
      </c>
      <c r="L70" s="67" t="s">
        <v>1224</v>
      </c>
      <c r="M70" s="68"/>
      <c r="N70" s="68"/>
      <c r="O70" s="69"/>
      <c r="P70" s="134">
        <v>0.33124999999999999</v>
      </c>
      <c r="Q70" s="70"/>
      <c r="R70" s="134">
        <v>0.33888888888888885</v>
      </c>
      <c r="S70" s="70"/>
      <c r="T70" s="134">
        <v>0.41250000000000003</v>
      </c>
      <c r="U70" s="70"/>
      <c r="V70" s="134">
        <v>0.4236111111111111</v>
      </c>
      <c r="W70" s="70"/>
      <c r="X70" s="134">
        <v>0.42430555555555555</v>
      </c>
      <c r="Y70" s="70"/>
      <c r="Z70" s="134">
        <v>0.43055555555555558</v>
      </c>
      <c r="AA70" s="70" t="s">
        <v>1121</v>
      </c>
      <c r="AB70" s="19">
        <v>45671</v>
      </c>
      <c r="AC70" s="20" t="s">
        <v>1108</v>
      </c>
      <c r="AD70" s="19"/>
      <c r="AE70" s="71">
        <f t="shared" si="73"/>
        <v>477</v>
      </c>
      <c r="AF70" s="71">
        <f t="shared" si="74"/>
        <v>610</v>
      </c>
      <c r="AG70" s="71">
        <f t="shared" si="75"/>
        <v>133</v>
      </c>
      <c r="AH70" s="71">
        <f t="shared" si="76"/>
        <v>0</v>
      </c>
      <c r="AI70" s="71">
        <f t="shared" si="77"/>
        <v>130</v>
      </c>
      <c r="AJ70" s="71" t="str">
        <f t="shared" si="78"/>
        <v/>
      </c>
      <c r="AK70" s="71" t="str">
        <f t="shared" si="79"/>
        <v/>
      </c>
      <c r="AL70" s="71">
        <f t="shared" si="80"/>
        <v>130</v>
      </c>
      <c r="AM70" s="71">
        <f t="shared" si="81"/>
        <v>3</v>
      </c>
      <c r="AN70" s="72">
        <f t="shared" si="82"/>
        <v>5.5555555555555358E-3</v>
      </c>
      <c r="AO70" s="73">
        <f t="shared" si="83"/>
        <v>0</v>
      </c>
      <c r="AP70" s="72" t="str">
        <f t="shared" si="84"/>
        <v>Yes</v>
      </c>
      <c r="AQ70" s="72">
        <f t="shared" si="85"/>
        <v>6.2500000000000333E-3</v>
      </c>
      <c r="AR70" s="72" t="str">
        <f t="shared" si="86"/>
        <v>Yes</v>
      </c>
      <c r="AS70" s="72" t="str">
        <f t="shared" si="87"/>
        <v>No</v>
      </c>
      <c r="AT70" s="72" t="str">
        <f t="shared" si="88"/>
        <v>No</v>
      </c>
      <c r="AU70" s="3"/>
      <c r="AV70" s="3"/>
      <c r="AW70" s="3"/>
      <c r="AX70" s="3"/>
      <c r="AY70" s="20" t="s">
        <v>1184</v>
      </c>
      <c r="AZ70" s="46"/>
      <c r="BA70" s="20"/>
      <c r="BB70" s="46"/>
      <c r="BC70" s="20"/>
      <c r="BD70" s="20"/>
      <c r="BE70" s="20"/>
      <c r="BF70" s="47" t="str">
        <f t="shared" si="71"/>
        <v/>
      </c>
      <c r="BG70" s="3"/>
      <c r="BH70" s="156" t="s">
        <v>399</v>
      </c>
      <c r="BI70" s="157"/>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f t="shared" si="89"/>
        <v>0</v>
      </c>
      <c r="CO70" s="78">
        <f t="shared" si="90"/>
        <v>0</v>
      </c>
      <c r="CP70" s="78">
        <f t="shared" si="91"/>
        <v>0</v>
      </c>
      <c r="CQ70" s="78">
        <f t="shared" si="92"/>
        <v>0</v>
      </c>
      <c r="CR70" s="78">
        <f t="shared" si="93"/>
        <v>0</v>
      </c>
      <c r="CS70" s="78">
        <f t="shared" si="94"/>
        <v>0</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0</v>
      </c>
      <c r="DB70" s="78">
        <f t="shared" si="102"/>
        <v>0</v>
      </c>
      <c r="DC70" s="78">
        <f t="shared" si="103"/>
        <v>0</v>
      </c>
      <c r="DD70" s="78">
        <f t="shared" si="104"/>
        <v>0</v>
      </c>
      <c r="DE70" s="78">
        <f t="shared" si="105"/>
        <v>1</v>
      </c>
      <c r="DF70" s="78">
        <f t="shared" si="106"/>
        <v>1</v>
      </c>
      <c r="DG70" s="78">
        <f t="shared" si="107"/>
        <v>1</v>
      </c>
      <c r="DH70" s="78" t="str">
        <f t="shared" si="108"/>
        <v>1</v>
      </c>
      <c r="DI70" s="79">
        <f>IFERROR(IF(J70="","",VLOOKUP(J70,Lists!$D$3:$E$13,2,FALSE)),1)</f>
        <v>0</v>
      </c>
      <c r="DJ70" s="79">
        <f>IFERROR(IF(K70="","",VLOOKUP(K70,Lists!$F$3:$G$14,2,FALSE)),1)</f>
        <v>0</v>
      </c>
      <c r="DK70" s="79" t="str">
        <f>IFERROR(IF(M70="","",VLOOKUP(M70,Lists!$AA$3:$AB$18,2,FALSE)),1)</f>
        <v/>
      </c>
      <c r="DL70" s="79" t="str">
        <f>IFERROR(IF(N70="","",VLOOKUP(N70,Lists!$AC$3:$AD$13,2,FALSE)),1)</f>
        <v/>
      </c>
    </row>
    <row r="71" spans="1:116" ht="15" customHeight="1" x14ac:dyDescent="0.25">
      <c r="A71" s="20">
        <v>333540</v>
      </c>
      <c r="B71" s="19">
        <v>45671</v>
      </c>
      <c r="C71" s="64">
        <v>0.4375</v>
      </c>
      <c r="D71" s="64" t="s">
        <v>1129</v>
      </c>
      <c r="E71" s="19">
        <v>45670</v>
      </c>
      <c r="F71" s="20">
        <v>13</v>
      </c>
      <c r="G71" s="18" t="s">
        <v>1108</v>
      </c>
      <c r="H71" s="65"/>
      <c r="I71" s="18" t="s">
        <v>1108</v>
      </c>
      <c r="J71" s="66"/>
      <c r="K71" s="66"/>
      <c r="L71" s="67"/>
      <c r="M71" s="68" t="s">
        <v>1087</v>
      </c>
      <c r="N71" s="68" t="s">
        <v>420</v>
      </c>
      <c r="O71" s="69" t="s">
        <v>475</v>
      </c>
      <c r="P71" s="134">
        <v>0.4381944444444445</v>
      </c>
      <c r="Q71" s="70"/>
      <c r="R71" s="134">
        <v>0.4458333333333333</v>
      </c>
      <c r="S71" s="70"/>
      <c r="T71" s="134">
        <v>0.46875</v>
      </c>
      <c r="U71" s="70"/>
      <c r="V71" s="134">
        <v>0.47569444444444442</v>
      </c>
      <c r="W71" s="70"/>
      <c r="X71" s="134">
        <v>0.47638888888888892</v>
      </c>
      <c r="Y71" s="70"/>
      <c r="Z71" s="134">
        <v>0.4826388888888889</v>
      </c>
      <c r="AA71" s="70" t="s">
        <v>1121</v>
      </c>
      <c r="AB71" s="19">
        <v>45672</v>
      </c>
      <c r="AC71" s="20" t="s">
        <v>1108</v>
      </c>
      <c r="AD71" s="19"/>
      <c r="AE71" s="71">
        <f t="shared" si="73"/>
        <v>631</v>
      </c>
      <c r="AF71" s="71">
        <f t="shared" si="74"/>
        <v>685</v>
      </c>
      <c r="AG71" s="71">
        <f t="shared" si="75"/>
        <v>54</v>
      </c>
      <c r="AH71" s="71">
        <f t="shared" si="76"/>
        <v>54</v>
      </c>
      <c r="AI71" s="71" t="str">
        <f t="shared" si="77"/>
        <v/>
      </c>
      <c r="AJ71" s="71" t="str">
        <f t="shared" si="78"/>
        <v/>
      </c>
      <c r="AK71" s="71" t="str">
        <f t="shared" si="79"/>
        <v/>
      </c>
      <c r="AL71" s="71">
        <f t="shared" si="80"/>
        <v>54</v>
      </c>
      <c r="AM71" s="71">
        <f t="shared" si="81"/>
        <v>0</v>
      </c>
      <c r="AN71" s="72">
        <f t="shared" si="82"/>
        <v>8.3333333333333037E-3</v>
      </c>
      <c r="AO71" s="73">
        <f t="shared" si="83"/>
        <v>1</v>
      </c>
      <c r="AP71" s="72" t="str">
        <f t="shared" si="84"/>
        <v>Yes</v>
      </c>
      <c r="AQ71" s="72">
        <f t="shared" si="85"/>
        <v>6.2499999999999778E-3</v>
      </c>
      <c r="AR71" s="72" t="str">
        <f t="shared" si="86"/>
        <v/>
      </c>
      <c r="AS71" s="72" t="str">
        <f t="shared" si="87"/>
        <v/>
      </c>
      <c r="AT71" s="72" t="str">
        <f t="shared" si="88"/>
        <v/>
      </c>
      <c r="AU71" s="3"/>
      <c r="AV71" s="3"/>
      <c r="AW71" s="3"/>
      <c r="AX71" s="3"/>
      <c r="AY71" s="20"/>
      <c r="AZ71" s="46"/>
      <c r="BA71" s="20"/>
      <c r="BB71" s="46"/>
      <c r="BC71" s="20"/>
      <c r="BD71" s="20"/>
      <c r="BE71" s="20"/>
      <c r="BF71" s="47" t="str">
        <f t="shared" si="71"/>
        <v/>
      </c>
      <c r="BG71" s="3"/>
      <c r="BH71" s="156" t="s">
        <v>400</v>
      </c>
      <c r="BI71" s="157"/>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89"/>
        <v>0</v>
      </c>
      <c r="CO71" s="78">
        <f t="shared" si="90"/>
        <v>0</v>
      </c>
      <c r="CP71" s="78">
        <f t="shared" si="91"/>
        <v>0</v>
      </c>
      <c r="CQ71" s="78">
        <f t="shared" si="92"/>
        <v>0</v>
      </c>
      <c r="CR71" s="78">
        <f t="shared" si="93"/>
        <v>0</v>
      </c>
      <c r="CS71" s="78">
        <f t="shared" si="94"/>
        <v>0</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0</v>
      </c>
      <c r="DB71" s="78">
        <f t="shared" si="102"/>
        <v>0</v>
      </c>
      <c r="DC71" s="78">
        <f t="shared" si="103"/>
        <v>0</v>
      </c>
      <c r="DD71" s="78">
        <f t="shared" si="104"/>
        <v>0</v>
      </c>
      <c r="DE71" s="78">
        <f t="shared" si="105"/>
        <v>1</v>
      </c>
      <c r="DF71" s="78">
        <f t="shared" si="106"/>
        <v>1</v>
      </c>
      <c r="DG71" s="78">
        <f t="shared" si="107"/>
        <v>1</v>
      </c>
      <c r="DH71" s="78" t="str">
        <f t="shared" si="108"/>
        <v>1</v>
      </c>
      <c r="DI71" s="79" t="str">
        <f>IFERROR(IF(J71="","",VLOOKUP(J71,Lists!$D$3:$E$13,2,FALSE)),1)</f>
        <v/>
      </c>
      <c r="DJ71" s="79" t="str">
        <f>IFERROR(IF(K71="","",VLOOKUP(K71,Lists!$F$3:$G$14,2,FALSE)),1)</f>
        <v/>
      </c>
      <c r="DK71" s="79">
        <f>IFERROR(IF(M71="","",VLOOKUP(M71,Lists!$AA$3:$AB$18,2,FALSE)),1)</f>
        <v>0</v>
      </c>
      <c r="DL71" s="79">
        <f>IFERROR(IF(N71="","",VLOOKUP(N71,Lists!$AC$3:$AD$13,2,FALSE)),1)</f>
        <v>0</v>
      </c>
    </row>
    <row r="72" spans="1:116" ht="15" customHeight="1" x14ac:dyDescent="0.25">
      <c r="A72" s="20">
        <v>422444</v>
      </c>
      <c r="B72" s="19">
        <v>45671</v>
      </c>
      <c r="C72" s="64">
        <v>0.47916666666666669</v>
      </c>
      <c r="D72" s="64" t="s">
        <v>1129</v>
      </c>
      <c r="E72" s="19">
        <v>45671</v>
      </c>
      <c r="F72" s="20">
        <v>13</v>
      </c>
      <c r="G72" s="18" t="s">
        <v>1108</v>
      </c>
      <c r="H72" s="65"/>
      <c r="I72" s="18" t="s">
        <v>1121</v>
      </c>
      <c r="J72" s="66" t="s">
        <v>56</v>
      </c>
      <c r="K72" s="66" t="s">
        <v>420</v>
      </c>
      <c r="L72" s="67" t="s">
        <v>475</v>
      </c>
      <c r="M72" s="68"/>
      <c r="N72" s="68"/>
      <c r="O72" s="69"/>
      <c r="P72" s="134">
        <v>0.4861111111111111</v>
      </c>
      <c r="Q72" s="70"/>
      <c r="R72" s="134">
        <v>0.49652777777777773</v>
      </c>
      <c r="S72" s="70"/>
      <c r="T72" s="134">
        <v>0.51736111111111105</v>
      </c>
      <c r="U72" s="70"/>
      <c r="V72" s="134">
        <v>0.52430555555555558</v>
      </c>
      <c r="W72" s="70"/>
      <c r="X72" s="134">
        <v>0.52500000000000002</v>
      </c>
      <c r="Y72" s="70"/>
      <c r="Z72" s="134">
        <v>0.53125</v>
      </c>
      <c r="AA72" s="70" t="s">
        <v>1121</v>
      </c>
      <c r="AB72" s="19">
        <v>45671</v>
      </c>
      <c r="AC72" s="20" t="s">
        <v>1108</v>
      </c>
      <c r="AD72" s="19"/>
      <c r="AE72" s="71">
        <f t="shared" si="73"/>
        <v>700</v>
      </c>
      <c r="AF72" s="71">
        <f t="shared" si="74"/>
        <v>755</v>
      </c>
      <c r="AG72" s="71">
        <f t="shared" si="75"/>
        <v>55</v>
      </c>
      <c r="AH72" s="71">
        <f t="shared" si="76"/>
        <v>55</v>
      </c>
      <c r="AI72" s="71" t="str">
        <f t="shared" si="77"/>
        <v/>
      </c>
      <c r="AJ72" s="71" t="str">
        <f t="shared" si="78"/>
        <v/>
      </c>
      <c r="AK72" s="71" t="str">
        <f t="shared" si="79"/>
        <v/>
      </c>
      <c r="AL72" s="71">
        <f t="shared" si="80"/>
        <v>55</v>
      </c>
      <c r="AM72" s="71">
        <f t="shared" si="81"/>
        <v>0</v>
      </c>
      <c r="AN72" s="72">
        <f t="shared" si="82"/>
        <v>1.7361111111111049E-2</v>
      </c>
      <c r="AO72" s="73">
        <f t="shared" si="83"/>
        <v>0</v>
      </c>
      <c r="AP72" s="72" t="str">
        <f t="shared" si="84"/>
        <v>No</v>
      </c>
      <c r="AQ72" s="72">
        <f t="shared" si="85"/>
        <v>6.2499999999999778E-3</v>
      </c>
      <c r="AR72" s="72" t="str">
        <f t="shared" si="86"/>
        <v>Yes</v>
      </c>
      <c r="AS72" s="72" t="str">
        <f t="shared" si="87"/>
        <v>No</v>
      </c>
      <c r="AT72" s="72" t="str">
        <f t="shared" si="88"/>
        <v>No</v>
      </c>
      <c r="AU72" s="3"/>
      <c r="AV72" s="3"/>
      <c r="AW72" s="3"/>
      <c r="AX72" s="3"/>
      <c r="AY72" s="20"/>
      <c r="AZ72" s="46"/>
      <c r="BA72" s="20"/>
      <c r="BB72" s="46"/>
      <c r="BC72" s="20"/>
      <c r="BD72" s="20"/>
      <c r="BE72" s="20"/>
      <c r="BF72" s="47" t="str">
        <f t="shared" si="71"/>
        <v/>
      </c>
      <c r="BG72" s="3"/>
      <c r="BH72" s="156" t="s">
        <v>401</v>
      </c>
      <c r="BI72" s="157"/>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89"/>
        <v>0</v>
      </c>
      <c r="CO72" s="78">
        <f t="shared" si="90"/>
        <v>0</v>
      </c>
      <c r="CP72" s="78">
        <f t="shared" si="91"/>
        <v>0</v>
      </c>
      <c r="CQ72" s="78">
        <f t="shared" si="92"/>
        <v>0</v>
      </c>
      <c r="CR72" s="78">
        <f t="shared" si="93"/>
        <v>0</v>
      </c>
      <c r="CS72" s="78">
        <f t="shared" si="94"/>
        <v>0</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0</v>
      </c>
      <c r="DB72" s="78">
        <f t="shared" si="102"/>
        <v>0</v>
      </c>
      <c r="DC72" s="78">
        <f t="shared" si="103"/>
        <v>0</v>
      </c>
      <c r="DD72" s="78">
        <f t="shared" si="104"/>
        <v>0</v>
      </c>
      <c r="DE72" s="78">
        <f t="shared" si="105"/>
        <v>1</v>
      </c>
      <c r="DF72" s="78">
        <f t="shared" si="106"/>
        <v>1</v>
      </c>
      <c r="DG72" s="78">
        <f t="shared" si="107"/>
        <v>1</v>
      </c>
      <c r="DH72" s="78" t="str">
        <f t="shared" si="108"/>
        <v>1</v>
      </c>
      <c r="DI72" s="79">
        <f>IFERROR(IF(J72="","",VLOOKUP(J72,Lists!$D$3:$E$13,2,FALSE)),1)</f>
        <v>0</v>
      </c>
      <c r="DJ72" s="79">
        <f>IFERROR(IF(K72="","",VLOOKUP(K72,Lists!$F$3:$G$14,2,FALSE)),1)</f>
        <v>0</v>
      </c>
      <c r="DK72" s="79" t="str">
        <f>IFERROR(IF(M72="","",VLOOKUP(M72,Lists!$AA$3:$AB$18,2,FALSE)),1)</f>
        <v/>
      </c>
      <c r="DL72" s="79" t="str">
        <f>IFERROR(IF(N72="","",VLOOKUP(N72,Lists!$AC$3:$AD$13,2,FALSE)),1)</f>
        <v/>
      </c>
    </row>
    <row r="73" spans="1:116" ht="15" customHeight="1" x14ac:dyDescent="0.25">
      <c r="A73" s="20">
        <v>304272</v>
      </c>
      <c r="B73" s="19">
        <v>45671</v>
      </c>
      <c r="C73" s="64">
        <v>0.54166666666666663</v>
      </c>
      <c r="D73" s="64" t="s">
        <v>1130</v>
      </c>
      <c r="E73" s="19">
        <v>45671</v>
      </c>
      <c r="F73" s="20">
        <v>13</v>
      </c>
      <c r="G73" s="18" t="s">
        <v>1108</v>
      </c>
      <c r="H73" s="65"/>
      <c r="I73" s="18" t="s">
        <v>1121</v>
      </c>
      <c r="J73" s="66" t="s">
        <v>33</v>
      </c>
      <c r="K73" s="66" t="s">
        <v>420</v>
      </c>
      <c r="L73" s="67" t="s">
        <v>1131</v>
      </c>
      <c r="M73" s="68"/>
      <c r="N73" s="68"/>
      <c r="O73" s="69"/>
      <c r="P73" s="134">
        <v>0.53194444444444444</v>
      </c>
      <c r="Q73" s="70"/>
      <c r="R73" s="134">
        <v>0.53819444444444442</v>
      </c>
      <c r="S73" s="70"/>
      <c r="T73" s="134">
        <v>0.55555555555555558</v>
      </c>
      <c r="U73" s="70"/>
      <c r="V73" s="134">
        <v>0.5625</v>
      </c>
      <c r="W73" s="70"/>
      <c r="X73" s="134">
        <v>0.56319444444444444</v>
      </c>
      <c r="Y73" s="70"/>
      <c r="Z73" s="134">
        <v>0.56944444444444442</v>
      </c>
      <c r="AA73" s="70" t="s">
        <v>1121</v>
      </c>
      <c r="AB73" s="19">
        <v>45671</v>
      </c>
      <c r="AC73" s="20" t="s">
        <v>1108</v>
      </c>
      <c r="AD73" s="19"/>
      <c r="AE73" s="71">
        <f t="shared" si="73"/>
        <v>766</v>
      </c>
      <c r="AF73" s="71">
        <f t="shared" si="74"/>
        <v>810</v>
      </c>
      <c r="AG73" s="71">
        <f t="shared" si="75"/>
        <v>44</v>
      </c>
      <c r="AH73" s="71">
        <f t="shared" si="76"/>
        <v>44</v>
      </c>
      <c r="AI73" s="71" t="str">
        <f t="shared" si="77"/>
        <v/>
      </c>
      <c r="AJ73" s="71" t="str">
        <f t="shared" si="78"/>
        <v/>
      </c>
      <c r="AK73" s="71" t="str">
        <f t="shared" si="79"/>
        <v/>
      </c>
      <c r="AL73" s="71">
        <f t="shared" si="80"/>
        <v>44</v>
      </c>
      <c r="AM73" s="71">
        <f t="shared" si="81"/>
        <v>0</v>
      </c>
      <c r="AN73" s="72">
        <f t="shared" si="82"/>
        <v>0</v>
      </c>
      <c r="AO73" s="73">
        <f t="shared" si="83"/>
        <v>0</v>
      </c>
      <c r="AP73" s="72" t="str">
        <f t="shared" si="84"/>
        <v>Yes</v>
      </c>
      <c r="AQ73" s="72">
        <f t="shared" si="85"/>
        <v>6.2499999999999778E-3</v>
      </c>
      <c r="AR73" s="72" t="str">
        <f t="shared" si="86"/>
        <v>Yes</v>
      </c>
      <c r="AS73" s="72" t="str">
        <f t="shared" si="87"/>
        <v>No</v>
      </c>
      <c r="AT73" s="72" t="str">
        <f t="shared" si="88"/>
        <v>No</v>
      </c>
      <c r="AU73" s="3"/>
      <c r="AV73" s="3"/>
      <c r="AW73" s="3"/>
      <c r="AX73" s="3"/>
      <c r="AY73" s="20"/>
      <c r="AZ73" s="46"/>
      <c r="BA73" s="20"/>
      <c r="BB73" s="46"/>
      <c r="BC73" s="20"/>
      <c r="BD73" s="20"/>
      <c r="BE73" s="20"/>
      <c r="BF73" s="47" t="str">
        <f t="shared" si="71"/>
        <v/>
      </c>
      <c r="BG73" s="3"/>
      <c r="BH73" s="154" t="s">
        <v>461</v>
      </c>
      <c r="BI73" s="155"/>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89"/>
        <v>0</v>
      </c>
      <c r="CO73" s="78">
        <f t="shared" si="90"/>
        <v>0</v>
      </c>
      <c r="CP73" s="78">
        <f t="shared" si="91"/>
        <v>0</v>
      </c>
      <c r="CQ73" s="78">
        <f t="shared" si="92"/>
        <v>0</v>
      </c>
      <c r="CR73" s="78">
        <f t="shared" si="93"/>
        <v>0</v>
      </c>
      <c r="CS73" s="78">
        <f t="shared" si="94"/>
        <v>0</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0</v>
      </c>
      <c r="DC73" s="78">
        <f t="shared" si="103"/>
        <v>0</v>
      </c>
      <c r="DD73" s="78">
        <f t="shared" si="104"/>
        <v>0</v>
      </c>
      <c r="DE73" s="78">
        <f t="shared" si="105"/>
        <v>1</v>
      </c>
      <c r="DF73" s="78">
        <f t="shared" si="106"/>
        <v>1</v>
      </c>
      <c r="DG73" s="78">
        <f t="shared" si="107"/>
        <v>1</v>
      </c>
      <c r="DH73" s="78" t="str">
        <f t="shared" si="108"/>
        <v>1</v>
      </c>
      <c r="DI73" s="79">
        <f>IFERROR(IF(J73="","",VLOOKUP(J73,Lists!$D$3:$E$13,2,FALSE)),1)</f>
        <v>0</v>
      </c>
      <c r="DJ73" s="79">
        <f>IFERROR(IF(K73="","",VLOOKUP(K73,Lists!$F$3:$G$14,2,FALSE)),1)</f>
        <v>0</v>
      </c>
      <c r="DK73" s="79" t="str">
        <f>IFERROR(IF(M73="","",VLOOKUP(M73,Lists!$AA$3:$AB$18,2,FALSE)),1)</f>
        <v/>
      </c>
      <c r="DL73" s="79" t="str">
        <f>IFERROR(IF(N73="","",VLOOKUP(N73,Lists!$AC$3:$AD$13,2,FALSE)),1)</f>
        <v/>
      </c>
    </row>
    <row r="74" spans="1:116" ht="15" customHeight="1" x14ac:dyDescent="0.25">
      <c r="A74" s="20">
        <v>331561</v>
      </c>
      <c r="B74" s="19">
        <v>45671</v>
      </c>
      <c r="C74" s="64">
        <v>0.58333333333333337</v>
      </c>
      <c r="D74" s="64" t="s">
        <v>1130</v>
      </c>
      <c r="E74" s="19">
        <v>45671</v>
      </c>
      <c r="F74" s="20">
        <v>13</v>
      </c>
      <c r="G74" s="18" t="s">
        <v>1108</v>
      </c>
      <c r="H74" s="65"/>
      <c r="I74" s="18" t="s">
        <v>1121</v>
      </c>
      <c r="J74" s="66" t="s">
        <v>33</v>
      </c>
      <c r="K74" s="66" t="s">
        <v>420</v>
      </c>
      <c r="L74" s="67" t="s">
        <v>1131</v>
      </c>
      <c r="M74" s="68"/>
      <c r="N74" s="68"/>
      <c r="O74" s="69"/>
      <c r="P74" s="134">
        <v>0.57291666666666663</v>
      </c>
      <c r="Q74" s="70"/>
      <c r="R74" s="134">
        <v>0.57986111111111105</v>
      </c>
      <c r="S74" s="70"/>
      <c r="T74" s="134">
        <v>0.59722222222222221</v>
      </c>
      <c r="U74" s="70"/>
      <c r="V74" s="134">
        <v>0.60069444444444442</v>
      </c>
      <c r="W74" s="70"/>
      <c r="X74" s="134">
        <v>0.60138888888888886</v>
      </c>
      <c r="Y74" s="70"/>
      <c r="Z74" s="134">
        <v>0.60763888888888895</v>
      </c>
      <c r="AA74" s="70" t="s">
        <v>1121</v>
      </c>
      <c r="AB74" s="19">
        <v>45671</v>
      </c>
      <c r="AC74" s="20" t="s">
        <v>1108</v>
      </c>
      <c r="AD74" s="19"/>
      <c r="AE74" s="71">
        <f t="shared" si="73"/>
        <v>825</v>
      </c>
      <c r="AF74" s="71">
        <f t="shared" si="74"/>
        <v>865</v>
      </c>
      <c r="AG74" s="71">
        <f t="shared" si="75"/>
        <v>40</v>
      </c>
      <c r="AH74" s="71">
        <f t="shared" si="76"/>
        <v>40</v>
      </c>
      <c r="AI74" s="71" t="str">
        <f t="shared" si="77"/>
        <v/>
      </c>
      <c r="AJ74" s="71" t="str">
        <f t="shared" si="78"/>
        <v/>
      </c>
      <c r="AK74" s="71" t="str">
        <f t="shared" si="79"/>
        <v/>
      </c>
      <c r="AL74" s="71">
        <f t="shared" si="80"/>
        <v>40</v>
      </c>
      <c r="AM74" s="71">
        <f t="shared" si="81"/>
        <v>0</v>
      </c>
      <c r="AN74" s="72">
        <f t="shared" si="82"/>
        <v>0</v>
      </c>
      <c r="AO74" s="73">
        <f t="shared" si="83"/>
        <v>0</v>
      </c>
      <c r="AP74" s="72" t="str">
        <f t="shared" si="84"/>
        <v>Yes</v>
      </c>
      <c r="AQ74" s="72">
        <f t="shared" si="85"/>
        <v>6.2500000000000888E-3</v>
      </c>
      <c r="AR74" s="72" t="str">
        <f t="shared" si="86"/>
        <v>Yes</v>
      </c>
      <c r="AS74" s="72" t="str">
        <f t="shared" si="87"/>
        <v>No</v>
      </c>
      <c r="AT74" s="72" t="str">
        <f t="shared" si="88"/>
        <v>No</v>
      </c>
      <c r="AU74" s="3"/>
      <c r="AV74" s="3"/>
      <c r="AW74" s="3"/>
      <c r="AX74" s="3"/>
      <c r="AY74" s="20"/>
      <c r="AZ74" s="46"/>
      <c r="BA74" s="20"/>
      <c r="BB74" s="46"/>
      <c r="BC74" s="20"/>
      <c r="BD74" s="20"/>
      <c r="BE74" s="20"/>
      <c r="BF74" s="47" t="str">
        <f t="shared" si="71"/>
        <v/>
      </c>
      <c r="BG74" s="3"/>
      <c r="BH74" s="156" t="s">
        <v>1</v>
      </c>
      <c r="BI74" s="157"/>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89"/>
        <v>0</v>
      </c>
      <c r="CO74" s="78">
        <f t="shared" si="90"/>
        <v>0</v>
      </c>
      <c r="CP74" s="78">
        <f t="shared" si="91"/>
        <v>0</v>
      </c>
      <c r="CQ74" s="78">
        <f t="shared" si="92"/>
        <v>0</v>
      </c>
      <c r="CR74" s="78">
        <f t="shared" si="93"/>
        <v>0</v>
      </c>
      <c r="CS74" s="78">
        <f t="shared" si="94"/>
        <v>0</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1</v>
      </c>
      <c r="DC74" s="78">
        <f t="shared" si="103"/>
        <v>0</v>
      </c>
      <c r="DD74" s="78">
        <f t="shared" si="104"/>
        <v>0</v>
      </c>
      <c r="DE74" s="78">
        <f t="shared" si="105"/>
        <v>1</v>
      </c>
      <c r="DF74" s="78">
        <f t="shared" si="106"/>
        <v>1</v>
      </c>
      <c r="DG74" s="78">
        <f t="shared" si="107"/>
        <v>1</v>
      </c>
      <c r="DH74" s="78" t="str">
        <f t="shared" si="108"/>
        <v>1</v>
      </c>
      <c r="DI74" s="79">
        <f>IFERROR(IF(J74="","",VLOOKUP(J74,Lists!$D$3:$E$13,2,FALSE)),1)</f>
        <v>0</v>
      </c>
      <c r="DJ74" s="79">
        <f>IFERROR(IF(K74="","",VLOOKUP(K74,Lists!$F$3:$G$14,2,FALSE)),1)</f>
        <v>0</v>
      </c>
      <c r="DK74" s="79" t="str">
        <f>IFERROR(IF(M74="","",VLOOKUP(M74,Lists!$AA$3:$AB$18,2,FALSE)),1)</f>
        <v/>
      </c>
      <c r="DL74" s="79" t="str">
        <f>IFERROR(IF(N74="","",VLOOKUP(N74,Lists!$AC$3:$AD$13,2,FALSE)),1)</f>
        <v/>
      </c>
    </row>
    <row r="75" spans="1:116" ht="15" customHeight="1" x14ac:dyDescent="0.25">
      <c r="A75" s="20">
        <v>304473</v>
      </c>
      <c r="B75" s="19">
        <v>45671</v>
      </c>
      <c r="C75" s="64">
        <v>0.625</v>
      </c>
      <c r="D75" s="64" t="s">
        <v>1130</v>
      </c>
      <c r="E75" s="19">
        <v>45671</v>
      </c>
      <c r="F75" s="20">
        <v>13</v>
      </c>
      <c r="G75" s="18" t="s">
        <v>1108</v>
      </c>
      <c r="H75" s="65"/>
      <c r="I75" s="18" t="s">
        <v>1121</v>
      </c>
      <c r="J75" s="66" t="s">
        <v>33</v>
      </c>
      <c r="K75" s="66" t="s">
        <v>420</v>
      </c>
      <c r="L75" s="67" t="s">
        <v>1131</v>
      </c>
      <c r="M75" s="68"/>
      <c r="N75" s="68"/>
      <c r="O75" s="69"/>
      <c r="P75" s="134">
        <v>0.61805555555555558</v>
      </c>
      <c r="Q75" s="70"/>
      <c r="R75" s="134">
        <v>0.62152777777777779</v>
      </c>
      <c r="S75" s="70"/>
      <c r="T75" s="134">
        <v>0.64236111111111105</v>
      </c>
      <c r="U75" s="70"/>
      <c r="V75" s="134">
        <v>0.64583333333333337</v>
      </c>
      <c r="W75" s="70"/>
      <c r="X75" s="134">
        <v>0.64652777777777781</v>
      </c>
      <c r="Y75" s="70"/>
      <c r="Z75" s="134">
        <v>0.65277777777777779</v>
      </c>
      <c r="AA75" s="70" t="s">
        <v>1121</v>
      </c>
      <c r="AB75" s="19">
        <v>45671</v>
      </c>
      <c r="AC75" s="20" t="s">
        <v>1108</v>
      </c>
      <c r="AD75" s="19"/>
      <c r="AE75" s="71">
        <f t="shared" si="73"/>
        <v>890</v>
      </c>
      <c r="AF75" s="71">
        <f t="shared" si="74"/>
        <v>930</v>
      </c>
      <c r="AG75" s="71">
        <f t="shared" si="75"/>
        <v>40</v>
      </c>
      <c r="AH75" s="71">
        <f t="shared" si="76"/>
        <v>40</v>
      </c>
      <c r="AI75" s="71" t="str">
        <f t="shared" si="77"/>
        <v/>
      </c>
      <c r="AJ75" s="71" t="str">
        <f t="shared" si="78"/>
        <v/>
      </c>
      <c r="AK75" s="71" t="str">
        <f t="shared" si="79"/>
        <v/>
      </c>
      <c r="AL75" s="71">
        <f t="shared" si="80"/>
        <v>40</v>
      </c>
      <c r="AM75" s="71">
        <f t="shared" si="81"/>
        <v>0</v>
      </c>
      <c r="AN75" s="72">
        <f t="shared" si="82"/>
        <v>0</v>
      </c>
      <c r="AO75" s="73">
        <f t="shared" si="83"/>
        <v>0</v>
      </c>
      <c r="AP75" s="72" t="str">
        <f t="shared" si="84"/>
        <v>Yes</v>
      </c>
      <c r="AQ75" s="72">
        <f t="shared" si="85"/>
        <v>6.2499999999999778E-3</v>
      </c>
      <c r="AR75" s="72" t="str">
        <f t="shared" si="86"/>
        <v>Yes</v>
      </c>
      <c r="AS75" s="72" t="str">
        <f t="shared" si="87"/>
        <v>No</v>
      </c>
      <c r="AT75" s="72" t="str">
        <f t="shared" si="88"/>
        <v>No</v>
      </c>
      <c r="AU75" s="3"/>
      <c r="AV75" s="3"/>
      <c r="AW75" s="3"/>
      <c r="AX75" s="3"/>
      <c r="AY75" s="20"/>
      <c r="AZ75" s="46"/>
      <c r="BA75" s="20"/>
      <c r="BB75" s="46"/>
      <c r="BC75" s="20"/>
      <c r="BD75" s="20"/>
      <c r="BE75" s="20"/>
      <c r="BF75" s="47" t="str">
        <f t="shared" si="71"/>
        <v/>
      </c>
      <c r="BG75" s="3"/>
      <c r="BH75" s="156" t="s">
        <v>462</v>
      </c>
      <c r="BI75" s="157"/>
      <c r="BJ75" s="45" t="str">
        <f>'Summary Sheet'!A1</f>
        <v>Version: 2025 January</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89"/>
        <v>0</v>
      </c>
      <c r="CO75" s="78">
        <f t="shared" si="90"/>
        <v>0</v>
      </c>
      <c r="CP75" s="78">
        <f t="shared" si="91"/>
        <v>0</v>
      </c>
      <c r="CQ75" s="78">
        <f t="shared" si="92"/>
        <v>0</v>
      </c>
      <c r="CR75" s="78">
        <f t="shared" si="93"/>
        <v>0</v>
      </c>
      <c r="CS75" s="78">
        <f t="shared" si="94"/>
        <v>0</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0</v>
      </c>
      <c r="DC75" s="78">
        <f t="shared" si="103"/>
        <v>0</v>
      </c>
      <c r="DD75" s="78">
        <f t="shared" si="104"/>
        <v>0</v>
      </c>
      <c r="DE75" s="78">
        <f t="shared" si="105"/>
        <v>1</v>
      </c>
      <c r="DF75" s="78">
        <f t="shared" si="106"/>
        <v>1</v>
      </c>
      <c r="DG75" s="78">
        <f t="shared" si="107"/>
        <v>1</v>
      </c>
      <c r="DH75" s="78" t="str">
        <f t="shared" si="108"/>
        <v>1</v>
      </c>
      <c r="DI75" s="79">
        <f>IFERROR(IF(J75="","",VLOOKUP(J75,Lists!$D$3:$E$13,2,FALSE)),1)</f>
        <v>0</v>
      </c>
      <c r="DJ75" s="79">
        <f>IFERROR(IF(K75="","",VLOOKUP(K75,Lists!$F$3:$G$14,2,FALSE)),1)</f>
        <v>0</v>
      </c>
      <c r="DK75" s="79" t="str">
        <f>IFERROR(IF(M75="","",VLOOKUP(M75,Lists!$AA$3:$AB$18,2,FALSE)),1)</f>
        <v/>
      </c>
      <c r="DL75" s="79" t="str">
        <f>IFERROR(IF(N75="","",VLOOKUP(N75,Lists!$AC$3:$AD$13,2,FALSE)),1)</f>
        <v/>
      </c>
    </row>
    <row r="76" spans="1:116" ht="15" customHeight="1" x14ac:dyDescent="0.25">
      <c r="A76" s="20">
        <v>17049</v>
      </c>
      <c r="B76" s="19">
        <v>45671</v>
      </c>
      <c r="C76" s="64">
        <v>0.64583333333333337</v>
      </c>
      <c r="D76" s="64" t="s">
        <v>1130</v>
      </c>
      <c r="E76" s="19">
        <v>45671</v>
      </c>
      <c r="F76" s="20">
        <v>13</v>
      </c>
      <c r="G76" s="18" t="s">
        <v>1108</v>
      </c>
      <c r="H76" s="65"/>
      <c r="I76" s="18" t="s">
        <v>1121</v>
      </c>
      <c r="J76" s="66" t="s">
        <v>33</v>
      </c>
      <c r="K76" s="66" t="s">
        <v>420</v>
      </c>
      <c r="L76" s="67" t="s">
        <v>1131</v>
      </c>
      <c r="M76" s="68"/>
      <c r="N76" s="68"/>
      <c r="O76" s="69"/>
      <c r="P76" s="134">
        <v>0.65625</v>
      </c>
      <c r="Q76" s="70"/>
      <c r="R76" s="134">
        <v>0.65972222222222221</v>
      </c>
      <c r="S76" s="70"/>
      <c r="T76" s="134">
        <v>0.6875</v>
      </c>
      <c r="U76" s="70"/>
      <c r="V76" s="134">
        <v>0.69444444444444453</v>
      </c>
      <c r="W76" s="70"/>
      <c r="X76" s="134">
        <v>0.69513888888888886</v>
      </c>
      <c r="Y76" s="70"/>
      <c r="Z76" s="134">
        <v>0.70138888888888884</v>
      </c>
      <c r="AA76" s="70" t="s">
        <v>1121</v>
      </c>
      <c r="AB76" s="19">
        <v>45671</v>
      </c>
      <c r="AC76" s="20" t="s">
        <v>1108</v>
      </c>
      <c r="AD76" s="19"/>
      <c r="AE76" s="71">
        <f t="shared" si="73"/>
        <v>945</v>
      </c>
      <c r="AF76" s="71">
        <f t="shared" si="74"/>
        <v>1000</v>
      </c>
      <c r="AG76" s="71">
        <f t="shared" si="75"/>
        <v>55</v>
      </c>
      <c r="AH76" s="71" t="str">
        <f t="shared" si="76"/>
        <v/>
      </c>
      <c r="AI76" s="71" t="str">
        <f t="shared" si="77"/>
        <v/>
      </c>
      <c r="AJ76" s="71">
        <f t="shared" si="78"/>
        <v>15</v>
      </c>
      <c r="AK76" s="71" t="str">
        <f t="shared" si="79"/>
        <v/>
      </c>
      <c r="AL76" s="71">
        <f t="shared" si="80"/>
        <v>15</v>
      </c>
      <c r="AM76" s="71">
        <f t="shared" si="81"/>
        <v>40</v>
      </c>
      <c r="AN76" s="72">
        <f t="shared" si="82"/>
        <v>1.388888888888884E-2</v>
      </c>
      <c r="AO76" s="73">
        <f t="shared" si="83"/>
        <v>0</v>
      </c>
      <c r="AP76" s="72" t="str">
        <f t="shared" si="84"/>
        <v>No</v>
      </c>
      <c r="AQ76" s="72">
        <f t="shared" si="85"/>
        <v>6.2499999999999778E-3</v>
      </c>
      <c r="AR76" s="72" t="str">
        <f t="shared" si="86"/>
        <v>Yes</v>
      </c>
      <c r="AS76" s="72" t="str">
        <f t="shared" si="87"/>
        <v>No</v>
      </c>
      <c r="AT76" s="72" t="str">
        <f t="shared" si="88"/>
        <v>No</v>
      </c>
      <c r="AU76" s="3"/>
      <c r="AV76" s="3"/>
      <c r="AW76" s="3"/>
      <c r="AX76" s="3"/>
      <c r="AY76" s="20"/>
      <c r="AZ76" s="46"/>
      <c r="BA76" s="20"/>
      <c r="BB76" s="46"/>
      <c r="BC76" s="20"/>
      <c r="BD76" s="20"/>
      <c r="BE76" s="20"/>
      <c r="BF76" s="47" t="str">
        <f t="shared" si="71"/>
        <v/>
      </c>
      <c r="BG76" s="3"/>
      <c r="BH76" s="154" t="s">
        <v>463</v>
      </c>
      <c r="BI76" s="155"/>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89"/>
        <v>0</v>
      </c>
      <c r="CO76" s="78">
        <f t="shared" si="90"/>
        <v>0</v>
      </c>
      <c r="CP76" s="78">
        <f t="shared" si="91"/>
        <v>0</v>
      </c>
      <c r="CQ76" s="78">
        <f t="shared" si="92"/>
        <v>0</v>
      </c>
      <c r="CR76" s="78">
        <f t="shared" si="93"/>
        <v>0</v>
      </c>
      <c r="CS76" s="78">
        <f t="shared" si="94"/>
        <v>0</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0</v>
      </c>
      <c r="DC76" s="78">
        <f t="shared" si="103"/>
        <v>0</v>
      </c>
      <c r="DD76" s="78">
        <f t="shared" si="104"/>
        <v>0</v>
      </c>
      <c r="DE76" s="78">
        <f t="shared" si="105"/>
        <v>1</v>
      </c>
      <c r="DF76" s="78">
        <f t="shared" si="106"/>
        <v>1</v>
      </c>
      <c r="DG76" s="78">
        <f t="shared" si="107"/>
        <v>1</v>
      </c>
      <c r="DH76" s="78" t="str">
        <f t="shared" si="108"/>
        <v>1</v>
      </c>
      <c r="DI76" s="79">
        <f>IFERROR(IF(J76="","",VLOOKUP(J76,Lists!$D$3:$E$13,2,FALSE)),1)</f>
        <v>0</v>
      </c>
      <c r="DJ76" s="79">
        <f>IFERROR(IF(K76="","",VLOOKUP(K76,Lists!$F$3:$G$14,2,FALSE)),1)</f>
        <v>0</v>
      </c>
      <c r="DK76" s="79" t="str">
        <f>IFERROR(IF(M76="","",VLOOKUP(M76,Lists!$AA$3:$AB$18,2,FALSE)),1)</f>
        <v/>
      </c>
      <c r="DL76" s="79" t="str">
        <f>IFERROR(IF(N76="","",VLOOKUP(N76,Lists!$AC$3:$AD$13,2,FALSE)),1)</f>
        <v/>
      </c>
    </row>
    <row r="77" spans="1:116" ht="15" customHeight="1" x14ac:dyDescent="0.25">
      <c r="A77" s="20">
        <v>406835</v>
      </c>
      <c r="B77" s="19">
        <v>45672</v>
      </c>
      <c r="C77" s="64">
        <v>0.35416666666666669</v>
      </c>
      <c r="D77" s="64" t="s">
        <v>1126</v>
      </c>
      <c r="E77" s="19">
        <v>45672</v>
      </c>
      <c r="F77" s="20">
        <v>4</v>
      </c>
      <c r="G77" s="18" t="s">
        <v>1108</v>
      </c>
      <c r="H77" s="65"/>
      <c r="I77" s="18" t="s">
        <v>1121</v>
      </c>
      <c r="J77" s="66" t="s">
        <v>48</v>
      </c>
      <c r="K77" s="66" t="s">
        <v>420</v>
      </c>
      <c r="L77" s="67" t="s">
        <v>1226</v>
      </c>
      <c r="M77" s="68"/>
      <c r="N77" s="68"/>
      <c r="O77" s="69"/>
      <c r="P77" s="134">
        <v>0.35000000000000003</v>
      </c>
      <c r="Q77" s="70"/>
      <c r="R77" s="134">
        <v>0.37847222222222227</v>
      </c>
      <c r="S77" s="70"/>
      <c r="T77" s="134">
        <v>0.4861111111111111</v>
      </c>
      <c r="U77" s="70"/>
      <c r="V77" s="134">
        <v>0.49652777777777773</v>
      </c>
      <c r="W77" s="70"/>
      <c r="X77" s="134">
        <v>0.49722222222222223</v>
      </c>
      <c r="Y77" s="70"/>
      <c r="Z77" s="134">
        <v>0.50347222222222221</v>
      </c>
      <c r="AA77" s="70" t="s">
        <v>1121</v>
      </c>
      <c r="AB77" s="19">
        <v>45672</v>
      </c>
      <c r="AC77" s="20" t="s">
        <v>1108</v>
      </c>
      <c r="AD77" s="19"/>
      <c r="AE77" s="71">
        <f t="shared" si="73"/>
        <v>504</v>
      </c>
      <c r="AF77" s="71">
        <f t="shared" si="74"/>
        <v>715</v>
      </c>
      <c r="AG77" s="71">
        <f t="shared" si="75"/>
        <v>211</v>
      </c>
      <c r="AH77" s="71">
        <f t="shared" si="76"/>
        <v>211</v>
      </c>
      <c r="AI77" s="71" t="str">
        <f t="shared" si="77"/>
        <v/>
      </c>
      <c r="AJ77" s="71" t="str">
        <f t="shared" si="78"/>
        <v/>
      </c>
      <c r="AK77" s="71" t="str">
        <f t="shared" si="79"/>
        <v/>
      </c>
      <c r="AL77" s="71">
        <f t="shared" si="80"/>
        <v>211</v>
      </c>
      <c r="AM77" s="71">
        <f t="shared" si="81"/>
        <v>0</v>
      </c>
      <c r="AN77" s="72">
        <f t="shared" si="82"/>
        <v>2.430555555555558E-2</v>
      </c>
      <c r="AO77" s="73">
        <f t="shared" si="83"/>
        <v>0</v>
      </c>
      <c r="AP77" s="72" t="str">
        <f t="shared" si="84"/>
        <v>No</v>
      </c>
      <c r="AQ77" s="72">
        <f t="shared" si="85"/>
        <v>6.2499999999999778E-3</v>
      </c>
      <c r="AR77" s="72" t="str">
        <f t="shared" si="86"/>
        <v>Yes</v>
      </c>
      <c r="AS77" s="72" t="str">
        <f t="shared" si="87"/>
        <v>No</v>
      </c>
      <c r="AT77" s="72" t="str">
        <f t="shared" si="88"/>
        <v>No</v>
      </c>
      <c r="AU77" s="3"/>
      <c r="AV77" s="3"/>
      <c r="AW77" s="3"/>
      <c r="AX77" s="3"/>
      <c r="AY77" s="20"/>
      <c r="AZ77" s="46"/>
      <c r="BA77" s="20"/>
      <c r="BB77" s="46"/>
      <c r="BC77" s="20"/>
      <c r="BD77" s="20"/>
      <c r="BE77" s="20"/>
      <c r="BF77" s="47" t="str">
        <f t="shared" si="71"/>
        <v/>
      </c>
      <c r="BG77" s="3"/>
      <c r="BH77" s="156" t="s">
        <v>464</v>
      </c>
      <c r="BI77" s="157"/>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89"/>
        <v>0</v>
      </c>
      <c r="CO77" s="78">
        <f t="shared" si="90"/>
        <v>0</v>
      </c>
      <c r="CP77" s="78">
        <f t="shared" si="91"/>
        <v>0</v>
      </c>
      <c r="CQ77" s="78">
        <f t="shared" si="92"/>
        <v>0</v>
      </c>
      <c r="CR77" s="78">
        <f t="shared" si="93"/>
        <v>0</v>
      </c>
      <c r="CS77" s="78">
        <f t="shared" si="94"/>
        <v>0</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0</v>
      </c>
      <c r="DB77" s="78">
        <f t="shared" si="102"/>
        <v>0</v>
      </c>
      <c r="DC77" s="78">
        <f t="shared" si="103"/>
        <v>0</v>
      </c>
      <c r="DD77" s="78">
        <f t="shared" si="104"/>
        <v>0</v>
      </c>
      <c r="DE77" s="78">
        <f t="shared" si="105"/>
        <v>1</v>
      </c>
      <c r="DF77" s="78">
        <f t="shared" si="106"/>
        <v>1</v>
      </c>
      <c r="DG77" s="78">
        <f t="shared" si="107"/>
        <v>1</v>
      </c>
      <c r="DH77" s="78" t="str">
        <f t="shared" si="108"/>
        <v>1</v>
      </c>
      <c r="DI77" s="79">
        <f>IFERROR(IF(J77="","",VLOOKUP(J77,Lists!$D$3:$E$13,2,FALSE)),1)</f>
        <v>0</v>
      </c>
      <c r="DJ77" s="79">
        <f>IFERROR(IF(K77="","",VLOOKUP(K77,Lists!$F$3:$G$14,2,FALSE)),1)</f>
        <v>0</v>
      </c>
      <c r="DK77" s="79" t="str">
        <f>IFERROR(IF(M77="","",VLOOKUP(M77,Lists!$AA$3:$AB$18,2,FALSE)),1)</f>
        <v/>
      </c>
      <c r="DL77" s="79" t="str">
        <f>IFERROR(IF(N77="","",VLOOKUP(N77,Lists!$AC$3:$AD$13,2,FALSE)),1)</f>
        <v/>
      </c>
    </row>
    <row r="78" spans="1:116" ht="15" customHeight="1" x14ac:dyDescent="0.25">
      <c r="A78" s="20">
        <v>170047</v>
      </c>
      <c r="B78" s="19">
        <v>45672</v>
      </c>
      <c r="C78" s="64">
        <v>0.52083333333333337</v>
      </c>
      <c r="D78" s="64" t="s">
        <v>1126</v>
      </c>
      <c r="E78" s="19">
        <v>45671</v>
      </c>
      <c r="F78" s="20">
        <v>4</v>
      </c>
      <c r="G78" s="18" t="s">
        <v>1108</v>
      </c>
      <c r="H78" s="65"/>
      <c r="I78" s="18" t="s">
        <v>1108</v>
      </c>
      <c r="J78" s="66"/>
      <c r="K78" s="66"/>
      <c r="L78" s="67"/>
      <c r="M78" s="68" t="s">
        <v>48</v>
      </c>
      <c r="N78" s="68" t="s">
        <v>420</v>
      </c>
      <c r="O78" s="69" t="s">
        <v>1226</v>
      </c>
      <c r="P78" s="134">
        <v>0.52430555555555558</v>
      </c>
      <c r="Q78" s="70"/>
      <c r="R78" s="134">
        <v>0.55347222222222225</v>
      </c>
      <c r="S78" s="70"/>
      <c r="T78" s="134">
        <v>0.57986111111111105</v>
      </c>
      <c r="U78" s="70"/>
      <c r="V78" s="134">
        <v>0.58333333333333337</v>
      </c>
      <c r="W78" s="70"/>
      <c r="X78" s="134">
        <v>0.58402777777777781</v>
      </c>
      <c r="Y78" s="70"/>
      <c r="Z78" s="134">
        <v>0.59027777777777779</v>
      </c>
      <c r="AA78" s="70" t="s">
        <v>1121</v>
      </c>
      <c r="AB78" s="19">
        <v>45672</v>
      </c>
      <c r="AC78" s="20" t="s">
        <v>1108</v>
      </c>
      <c r="AD78" s="19"/>
      <c r="AE78" s="71">
        <f t="shared" si="73"/>
        <v>755</v>
      </c>
      <c r="AF78" s="71">
        <f t="shared" si="74"/>
        <v>840</v>
      </c>
      <c r="AG78" s="71">
        <f t="shared" si="75"/>
        <v>85</v>
      </c>
      <c r="AH78" s="71">
        <f t="shared" si="76"/>
        <v>85</v>
      </c>
      <c r="AI78" s="71" t="str">
        <f t="shared" si="77"/>
        <v/>
      </c>
      <c r="AJ78" s="71" t="str">
        <f t="shared" si="78"/>
        <v/>
      </c>
      <c r="AK78" s="71" t="str">
        <f t="shared" si="79"/>
        <v/>
      </c>
      <c r="AL78" s="71">
        <f t="shared" si="80"/>
        <v>85</v>
      </c>
      <c r="AM78" s="71">
        <f t="shared" si="81"/>
        <v>0</v>
      </c>
      <c r="AN78" s="72">
        <f t="shared" si="82"/>
        <v>3.2638888888888884E-2</v>
      </c>
      <c r="AO78" s="73">
        <f t="shared" si="83"/>
        <v>1</v>
      </c>
      <c r="AP78" s="72" t="str">
        <f t="shared" si="84"/>
        <v>No</v>
      </c>
      <c r="AQ78" s="72">
        <f t="shared" si="85"/>
        <v>6.2499999999999778E-3</v>
      </c>
      <c r="AR78" s="72" t="str">
        <f t="shared" si="86"/>
        <v/>
      </c>
      <c r="AS78" s="72" t="str">
        <f t="shared" si="87"/>
        <v/>
      </c>
      <c r="AT78" s="72" t="str">
        <f t="shared" si="88"/>
        <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89"/>
        <v>0</v>
      </c>
      <c r="CO78" s="78">
        <f t="shared" si="90"/>
        <v>0</v>
      </c>
      <c r="CP78" s="78">
        <f t="shared" si="91"/>
        <v>0</v>
      </c>
      <c r="CQ78" s="78">
        <f t="shared" si="92"/>
        <v>0</v>
      </c>
      <c r="CR78" s="78">
        <f t="shared" si="93"/>
        <v>0</v>
      </c>
      <c r="CS78" s="78">
        <f t="shared" si="94"/>
        <v>0</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0</v>
      </c>
      <c r="DB78" s="78">
        <f t="shared" si="102"/>
        <v>0</v>
      </c>
      <c r="DC78" s="78">
        <f t="shared" si="103"/>
        <v>0</v>
      </c>
      <c r="DD78" s="78">
        <f t="shared" si="104"/>
        <v>0</v>
      </c>
      <c r="DE78" s="78">
        <f t="shared" si="105"/>
        <v>1</v>
      </c>
      <c r="DF78" s="78">
        <f t="shared" si="106"/>
        <v>1</v>
      </c>
      <c r="DG78" s="78">
        <f t="shared" si="107"/>
        <v>1</v>
      </c>
      <c r="DH78" s="78" t="str">
        <f t="shared" si="108"/>
        <v>1</v>
      </c>
      <c r="DI78" s="79" t="str">
        <f>IFERROR(IF(J78="","",VLOOKUP(J78,Lists!$D$3:$E$13,2,FALSE)),1)</f>
        <v/>
      </c>
      <c r="DJ78" s="79" t="str">
        <f>IFERROR(IF(K78="","",VLOOKUP(K78,Lists!$F$3:$G$14,2,FALSE)),1)</f>
        <v/>
      </c>
      <c r="DK78" s="79">
        <f>IFERROR(IF(M78="","",VLOOKUP(M78,Lists!$AA$3:$AB$18,2,FALSE)),1)</f>
        <v>0</v>
      </c>
      <c r="DL78" s="79">
        <f>IFERROR(IF(N78="","",VLOOKUP(N78,Lists!$AC$3:$AD$13,2,FALSE)),1)</f>
        <v>0</v>
      </c>
    </row>
    <row r="79" spans="1:116" ht="15" customHeight="1" x14ac:dyDescent="0.25">
      <c r="A79" s="20">
        <v>421659</v>
      </c>
      <c r="B79" s="19">
        <v>45672</v>
      </c>
      <c r="C79" s="64">
        <v>0.60416666666666663</v>
      </c>
      <c r="D79" s="64" t="s">
        <v>1112</v>
      </c>
      <c r="E79" s="19">
        <v>45656</v>
      </c>
      <c r="F79" s="20">
        <v>4</v>
      </c>
      <c r="G79" s="18" t="s">
        <v>1108</v>
      </c>
      <c r="H79" s="65"/>
      <c r="I79" s="18" t="s">
        <v>1108</v>
      </c>
      <c r="J79" s="66"/>
      <c r="K79" s="66"/>
      <c r="L79" s="67"/>
      <c r="M79" s="68" t="s">
        <v>27</v>
      </c>
      <c r="N79" s="68" t="s">
        <v>420</v>
      </c>
      <c r="O79" s="69" t="s">
        <v>1227</v>
      </c>
      <c r="P79" s="134">
        <v>0.60416666666666663</v>
      </c>
      <c r="Q79" s="70"/>
      <c r="R79" s="134">
        <v>0.625</v>
      </c>
      <c r="S79" s="70"/>
      <c r="T79" s="134">
        <v>0.64583333333333337</v>
      </c>
      <c r="U79" s="70"/>
      <c r="V79" s="134">
        <v>0.66319444444444442</v>
      </c>
      <c r="W79" s="70"/>
      <c r="X79" s="134">
        <v>0.66388888888888886</v>
      </c>
      <c r="Y79" s="70"/>
      <c r="Z79" s="134">
        <v>0.67013888888888884</v>
      </c>
      <c r="AA79" s="70" t="s">
        <v>1121</v>
      </c>
      <c r="AB79" s="19">
        <v>45672</v>
      </c>
      <c r="AC79" s="20" t="s">
        <v>1108</v>
      </c>
      <c r="AD79" s="19"/>
      <c r="AE79" s="71">
        <f t="shared" si="73"/>
        <v>870</v>
      </c>
      <c r="AF79" s="71">
        <f t="shared" si="74"/>
        <v>955</v>
      </c>
      <c r="AG79" s="71">
        <f t="shared" si="75"/>
        <v>85</v>
      </c>
      <c r="AH79" s="71">
        <f t="shared" si="76"/>
        <v>85</v>
      </c>
      <c r="AI79" s="71" t="str">
        <f t="shared" si="77"/>
        <v/>
      </c>
      <c r="AJ79" s="71" t="str">
        <f t="shared" si="78"/>
        <v/>
      </c>
      <c r="AK79" s="71" t="str">
        <f t="shared" si="79"/>
        <v/>
      </c>
      <c r="AL79" s="71">
        <f t="shared" si="80"/>
        <v>85</v>
      </c>
      <c r="AM79" s="71">
        <f t="shared" si="81"/>
        <v>0</v>
      </c>
      <c r="AN79" s="72">
        <f t="shared" si="82"/>
        <v>2.083333333333337E-2</v>
      </c>
      <c r="AO79" s="73">
        <f t="shared" si="83"/>
        <v>16</v>
      </c>
      <c r="AP79" s="72" t="str">
        <f t="shared" si="84"/>
        <v>No</v>
      </c>
      <c r="AQ79" s="72">
        <f t="shared" si="85"/>
        <v>6.2499999999999778E-3</v>
      </c>
      <c r="AR79" s="72" t="str">
        <f t="shared" si="86"/>
        <v/>
      </c>
      <c r="AS79" s="72" t="str">
        <f t="shared" si="87"/>
        <v/>
      </c>
      <c r="AT79" s="72" t="str">
        <f t="shared" si="88"/>
        <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89"/>
        <v>0</v>
      </c>
      <c r="CO79" s="78">
        <f t="shared" si="90"/>
        <v>0</v>
      </c>
      <c r="CP79" s="78">
        <f t="shared" si="91"/>
        <v>0</v>
      </c>
      <c r="CQ79" s="78">
        <f t="shared" si="92"/>
        <v>0</v>
      </c>
      <c r="CR79" s="78">
        <f t="shared" si="93"/>
        <v>0</v>
      </c>
      <c r="CS79" s="78">
        <f t="shared" si="94"/>
        <v>0</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0</v>
      </c>
      <c r="DC79" s="78">
        <f t="shared" si="103"/>
        <v>0</v>
      </c>
      <c r="DD79" s="78">
        <f t="shared" si="104"/>
        <v>0</v>
      </c>
      <c r="DE79" s="78">
        <f t="shared" si="105"/>
        <v>1</v>
      </c>
      <c r="DF79" s="78">
        <f t="shared" si="106"/>
        <v>1</v>
      </c>
      <c r="DG79" s="78">
        <f t="shared" si="107"/>
        <v>1</v>
      </c>
      <c r="DH79" s="78" t="str">
        <f t="shared" si="108"/>
        <v>1</v>
      </c>
      <c r="DI79" s="79" t="str">
        <f>IFERROR(IF(J79="","",VLOOKUP(J79,Lists!$D$3:$E$13,2,FALSE)),1)</f>
        <v/>
      </c>
      <c r="DJ79" s="79" t="str">
        <f>IFERROR(IF(K79="","",VLOOKUP(K79,Lists!$F$3:$G$14,2,FALSE)),1)</f>
        <v/>
      </c>
      <c r="DK79" s="79">
        <f>IFERROR(IF(M79="","",VLOOKUP(M79,Lists!$AA$3:$AB$18,2,FALSE)),1)</f>
        <v>0</v>
      </c>
      <c r="DL79" s="79">
        <f>IFERROR(IF(N79="","",VLOOKUP(N79,Lists!$AC$3:$AD$13,2,FALSE)),1)</f>
        <v>0</v>
      </c>
    </row>
    <row r="80" spans="1:116" ht="15" customHeight="1" x14ac:dyDescent="0.25">
      <c r="A80" s="20">
        <v>55404</v>
      </c>
      <c r="B80" s="19">
        <v>45672</v>
      </c>
      <c r="C80" s="64">
        <v>0.35416666666666669</v>
      </c>
      <c r="D80" s="64" t="s">
        <v>1141</v>
      </c>
      <c r="E80" s="19">
        <v>45671</v>
      </c>
      <c r="F80" s="20">
        <v>7</v>
      </c>
      <c r="G80" s="18" t="s">
        <v>1108</v>
      </c>
      <c r="H80" s="65"/>
      <c r="I80" s="18" t="s">
        <v>1108</v>
      </c>
      <c r="J80" s="66"/>
      <c r="K80" s="66"/>
      <c r="L80" s="67"/>
      <c r="M80" s="68" t="s">
        <v>39</v>
      </c>
      <c r="N80" s="68" t="s">
        <v>420</v>
      </c>
      <c r="O80" s="69" t="s">
        <v>1142</v>
      </c>
      <c r="P80" s="134">
        <v>0.35069444444444442</v>
      </c>
      <c r="Q80" s="70"/>
      <c r="R80" s="134">
        <v>0.38194444444444442</v>
      </c>
      <c r="S80" s="70"/>
      <c r="T80" s="134">
        <v>0.46875</v>
      </c>
      <c r="U80" s="70"/>
      <c r="V80" s="134">
        <v>0.47569444444444442</v>
      </c>
      <c r="W80" s="70"/>
      <c r="X80" s="134">
        <v>0.47638888888888892</v>
      </c>
      <c r="Y80" s="70"/>
      <c r="Z80" s="134">
        <v>0.4826388888888889</v>
      </c>
      <c r="AA80" s="70" t="s">
        <v>1108</v>
      </c>
      <c r="AB80" s="19"/>
      <c r="AC80" s="20" t="s">
        <v>1108</v>
      </c>
      <c r="AD80" s="19"/>
      <c r="AE80" s="71">
        <f t="shared" si="73"/>
        <v>505</v>
      </c>
      <c r="AF80" s="71">
        <f t="shared" si="74"/>
        <v>685</v>
      </c>
      <c r="AG80" s="71">
        <f t="shared" si="75"/>
        <v>180</v>
      </c>
      <c r="AH80" s="71">
        <f t="shared" si="76"/>
        <v>180</v>
      </c>
      <c r="AI80" s="71" t="str">
        <f t="shared" si="77"/>
        <v/>
      </c>
      <c r="AJ80" s="71" t="str">
        <f t="shared" si="78"/>
        <v/>
      </c>
      <c r="AK80" s="71" t="str">
        <f t="shared" si="79"/>
        <v/>
      </c>
      <c r="AL80" s="71">
        <f t="shared" si="80"/>
        <v>180</v>
      </c>
      <c r="AM80" s="71">
        <f t="shared" si="81"/>
        <v>0</v>
      </c>
      <c r="AN80" s="72">
        <f t="shared" si="82"/>
        <v>2.7777777777777735E-2</v>
      </c>
      <c r="AO80" s="73">
        <f t="shared" si="83"/>
        <v>1</v>
      </c>
      <c r="AP80" s="72" t="str">
        <f t="shared" si="84"/>
        <v>No</v>
      </c>
      <c r="AQ80" s="72">
        <f t="shared" si="85"/>
        <v>6.2499999999999778E-3</v>
      </c>
      <c r="AR80" s="72" t="str">
        <f t="shared" si="86"/>
        <v/>
      </c>
      <c r="AS80" s="72" t="str">
        <f t="shared" si="87"/>
        <v/>
      </c>
      <c r="AT80" s="72" t="str">
        <f t="shared" si="88"/>
        <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89"/>
        <v>0</v>
      </c>
      <c r="CO80" s="78">
        <f t="shared" si="90"/>
        <v>0</v>
      </c>
      <c r="CP80" s="78">
        <f t="shared" si="91"/>
        <v>0</v>
      </c>
      <c r="CQ80" s="78">
        <f t="shared" si="92"/>
        <v>0</v>
      </c>
      <c r="CR80" s="78">
        <f t="shared" si="93"/>
        <v>0</v>
      </c>
      <c r="CS80" s="78">
        <f t="shared" si="94"/>
        <v>0</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0</v>
      </c>
      <c r="DC80" s="78">
        <f t="shared" si="103"/>
        <v>0</v>
      </c>
      <c r="DD80" s="78">
        <f t="shared" si="104"/>
        <v>0</v>
      </c>
      <c r="DE80" s="78">
        <f t="shared" si="105"/>
        <v>1</v>
      </c>
      <c r="DF80" s="78">
        <f t="shared" si="106"/>
        <v>1</v>
      </c>
      <c r="DG80" s="78" t="str">
        <f t="shared" si="107"/>
        <v>1</v>
      </c>
      <c r="DH80" s="78" t="str">
        <f t="shared" si="108"/>
        <v>1</v>
      </c>
      <c r="DI80" s="79" t="str">
        <f>IFERROR(IF(J80="","",VLOOKUP(J80,Lists!$D$3:$E$13,2,FALSE)),1)</f>
        <v/>
      </c>
      <c r="DJ80" s="79" t="str">
        <f>IFERROR(IF(K80="","",VLOOKUP(K80,Lists!$F$3:$G$14,2,FALSE)),1)</f>
        <v/>
      </c>
      <c r="DK80" s="79">
        <f>IFERROR(IF(M80="","",VLOOKUP(M80,Lists!$AA$3:$AB$18,2,FALSE)),1)</f>
        <v>0</v>
      </c>
      <c r="DL80" s="79">
        <f>IFERROR(IF(N80="","",VLOOKUP(N80,Lists!$AC$3:$AD$13,2,FALSE)),1)</f>
        <v>0</v>
      </c>
    </row>
    <row r="81" spans="1:116" ht="15" customHeight="1" x14ac:dyDescent="0.25">
      <c r="A81" s="20">
        <v>207626</v>
      </c>
      <c r="B81" s="19">
        <v>45672</v>
      </c>
      <c r="C81" s="64">
        <v>0.5</v>
      </c>
      <c r="D81" s="64" t="s">
        <v>1141</v>
      </c>
      <c r="E81" s="19">
        <v>45671</v>
      </c>
      <c r="F81" s="20">
        <v>7</v>
      </c>
      <c r="G81" s="18" t="s">
        <v>1108</v>
      </c>
      <c r="H81" s="65"/>
      <c r="I81" s="18" t="s">
        <v>1108</v>
      </c>
      <c r="J81" s="66"/>
      <c r="K81" s="66"/>
      <c r="L81" s="67"/>
      <c r="M81" s="68" t="s">
        <v>39</v>
      </c>
      <c r="N81" s="68" t="s">
        <v>420</v>
      </c>
      <c r="O81" s="69" t="s">
        <v>1228</v>
      </c>
      <c r="P81" s="134">
        <v>0.5</v>
      </c>
      <c r="Q81" s="70"/>
      <c r="R81" s="134">
        <v>0.52083333333333337</v>
      </c>
      <c r="S81" s="70"/>
      <c r="T81" s="134">
        <v>0.61111111111111105</v>
      </c>
      <c r="U81" s="70"/>
      <c r="V81" s="134">
        <v>0.61458333333333337</v>
      </c>
      <c r="W81" s="70"/>
      <c r="X81" s="134">
        <v>0.61527777777777781</v>
      </c>
      <c r="Y81" s="70"/>
      <c r="Z81" s="134">
        <v>0.62152777777777779</v>
      </c>
      <c r="AA81" s="70" t="s">
        <v>1108</v>
      </c>
      <c r="AB81" s="19"/>
      <c r="AC81" s="20" t="s">
        <v>1108</v>
      </c>
      <c r="AD81" s="19"/>
      <c r="AE81" s="71">
        <f t="shared" si="73"/>
        <v>720</v>
      </c>
      <c r="AF81" s="71">
        <f t="shared" si="74"/>
        <v>885</v>
      </c>
      <c r="AG81" s="71">
        <f t="shared" si="75"/>
        <v>165</v>
      </c>
      <c r="AH81" s="71">
        <f t="shared" si="76"/>
        <v>165</v>
      </c>
      <c r="AI81" s="71" t="str">
        <f t="shared" si="77"/>
        <v/>
      </c>
      <c r="AJ81" s="71" t="str">
        <f t="shared" si="78"/>
        <v/>
      </c>
      <c r="AK81" s="71" t="str">
        <f t="shared" si="79"/>
        <v/>
      </c>
      <c r="AL81" s="71">
        <f t="shared" si="80"/>
        <v>165</v>
      </c>
      <c r="AM81" s="71">
        <f t="shared" si="81"/>
        <v>0</v>
      </c>
      <c r="AN81" s="72">
        <f t="shared" si="82"/>
        <v>2.083333333333337E-2</v>
      </c>
      <c r="AO81" s="73">
        <f t="shared" si="83"/>
        <v>1</v>
      </c>
      <c r="AP81" s="72" t="str">
        <f t="shared" si="84"/>
        <v>No</v>
      </c>
      <c r="AQ81" s="72">
        <f t="shared" si="85"/>
        <v>6.2499999999999778E-3</v>
      </c>
      <c r="AR81" s="72" t="str">
        <f t="shared" si="86"/>
        <v/>
      </c>
      <c r="AS81" s="72" t="str">
        <f t="shared" si="87"/>
        <v/>
      </c>
      <c r="AT81" s="72" t="str">
        <f t="shared" si="88"/>
        <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89"/>
        <v>0</v>
      </c>
      <c r="CO81" s="78">
        <f t="shared" si="90"/>
        <v>0</v>
      </c>
      <c r="CP81" s="78">
        <f t="shared" si="91"/>
        <v>0</v>
      </c>
      <c r="CQ81" s="78">
        <f t="shared" si="92"/>
        <v>0</v>
      </c>
      <c r="CR81" s="78">
        <f t="shared" si="93"/>
        <v>0</v>
      </c>
      <c r="CS81" s="78">
        <f t="shared" si="94"/>
        <v>0</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0</v>
      </c>
      <c r="DC81" s="78">
        <f t="shared" si="103"/>
        <v>0</v>
      </c>
      <c r="DD81" s="78">
        <f t="shared" si="104"/>
        <v>0</v>
      </c>
      <c r="DE81" s="78">
        <f t="shared" si="105"/>
        <v>1</v>
      </c>
      <c r="DF81" s="78">
        <f t="shared" si="106"/>
        <v>1</v>
      </c>
      <c r="DG81" s="78" t="str">
        <f t="shared" si="107"/>
        <v>1</v>
      </c>
      <c r="DH81" s="78" t="str">
        <f t="shared" si="108"/>
        <v>1</v>
      </c>
      <c r="DI81" s="79" t="str">
        <f>IFERROR(IF(J81="","",VLOOKUP(J81,Lists!$D$3:$E$13,2,FALSE)),1)</f>
        <v/>
      </c>
      <c r="DJ81" s="79" t="str">
        <f>IFERROR(IF(K81="","",VLOOKUP(K81,Lists!$F$3:$G$14,2,FALSE)),1)</f>
        <v/>
      </c>
      <c r="DK81" s="79">
        <f>IFERROR(IF(M81="","",VLOOKUP(M81,Lists!$AA$3:$AB$18,2,FALSE)),1)</f>
        <v>0</v>
      </c>
      <c r="DL81" s="79">
        <f>IFERROR(IF(N81="","",VLOOKUP(N81,Lists!$AC$3:$AD$13,2,FALSE)),1)</f>
        <v>0</v>
      </c>
    </row>
    <row r="82" spans="1:116" ht="15" customHeight="1" x14ac:dyDescent="0.25">
      <c r="A82" s="20">
        <v>421509</v>
      </c>
      <c r="B82" s="19">
        <v>45672</v>
      </c>
      <c r="C82" s="64">
        <v>0.625</v>
      </c>
      <c r="D82" s="64" t="s">
        <v>1115</v>
      </c>
      <c r="E82" s="19">
        <v>45655</v>
      </c>
      <c r="F82" s="20">
        <v>7</v>
      </c>
      <c r="G82" s="18" t="s">
        <v>1108</v>
      </c>
      <c r="H82" s="65"/>
      <c r="I82" s="18" t="s">
        <v>1108</v>
      </c>
      <c r="J82" s="66"/>
      <c r="K82" s="66"/>
      <c r="L82" s="67"/>
      <c r="M82" s="68" t="s">
        <v>39</v>
      </c>
      <c r="N82" s="68" t="s">
        <v>420</v>
      </c>
      <c r="O82" s="69" t="s">
        <v>1133</v>
      </c>
      <c r="P82" s="134">
        <v>0.625</v>
      </c>
      <c r="Q82" s="70"/>
      <c r="R82" s="134">
        <v>0.64583333333333337</v>
      </c>
      <c r="S82" s="70"/>
      <c r="T82" s="134">
        <v>0.66666666666666663</v>
      </c>
      <c r="U82" s="70"/>
      <c r="V82" s="134">
        <v>0.67708333333333337</v>
      </c>
      <c r="W82" s="70"/>
      <c r="X82" s="134">
        <v>0.6777777777777777</v>
      </c>
      <c r="Y82" s="70"/>
      <c r="Z82" s="134">
        <v>0.69791666666666663</v>
      </c>
      <c r="AA82" s="70" t="s">
        <v>1108</v>
      </c>
      <c r="AB82" s="19"/>
      <c r="AC82" s="20" t="s">
        <v>1108</v>
      </c>
      <c r="AD82" s="19"/>
      <c r="AE82" s="71">
        <f t="shared" si="73"/>
        <v>900</v>
      </c>
      <c r="AF82" s="71">
        <f t="shared" si="74"/>
        <v>975</v>
      </c>
      <c r="AG82" s="71">
        <f t="shared" si="75"/>
        <v>75</v>
      </c>
      <c r="AH82" s="71" t="str">
        <f t="shared" si="76"/>
        <v/>
      </c>
      <c r="AI82" s="71" t="str">
        <f t="shared" si="77"/>
        <v/>
      </c>
      <c r="AJ82" s="71">
        <f t="shared" si="78"/>
        <v>60</v>
      </c>
      <c r="AK82" s="71" t="str">
        <f t="shared" si="79"/>
        <v/>
      </c>
      <c r="AL82" s="71">
        <f t="shared" si="80"/>
        <v>60</v>
      </c>
      <c r="AM82" s="71">
        <f t="shared" si="81"/>
        <v>15</v>
      </c>
      <c r="AN82" s="72">
        <f t="shared" si="82"/>
        <v>2.083333333333337E-2</v>
      </c>
      <c r="AO82" s="73">
        <f t="shared" si="83"/>
        <v>17</v>
      </c>
      <c r="AP82" s="72" t="str">
        <f t="shared" si="84"/>
        <v>No</v>
      </c>
      <c r="AQ82" s="72">
        <f t="shared" si="85"/>
        <v>2.0138888888888928E-2</v>
      </c>
      <c r="AR82" s="72" t="str">
        <f t="shared" si="86"/>
        <v/>
      </c>
      <c r="AS82" s="72" t="str">
        <f t="shared" si="87"/>
        <v/>
      </c>
      <c r="AT82" s="72" t="str">
        <f t="shared" si="88"/>
        <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89"/>
        <v>0</v>
      </c>
      <c r="CO82" s="78">
        <f t="shared" si="90"/>
        <v>0</v>
      </c>
      <c r="CP82" s="78">
        <f t="shared" si="91"/>
        <v>0</v>
      </c>
      <c r="CQ82" s="78">
        <f t="shared" si="92"/>
        <v>0</v>
      </c>
      <c r="CR82" s="78">
        <f t="shared" si="93"/>
        <v>0</v>
      </c>
      <c r="CS82" s="78">
        <f t="shared" si="94"/>
        <v>0</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0</v>
      </c>
      <c r="DC82" s="78">
        <f t="shared" si="103"/>
        <v>0</v>
      </c>
      <c r="DD82" s="78">
        <f t="shared" si="104"/>
        <v>0</v>
      </c>
      <c r="DE82" s="78">
        <f t="shared" si="105"/>
        <v>1</v>
      </c>
      <c r="DF82" s="78">
        <f t="shared" si="106"/>
        <v>1</v>
      </c>
      <c r="DG82" s="78" t="str">
        <f t="shared" si="107"/>
        <v>1</v>
      </c>
      <c r="DH82" s="78" t="str">
        <f t="shared" si="108"/>
        <v>1</v>
      </c>
      <c r="DI82" s="79" t="str">
        <f>IFERROR(IF(J82="","",VLOOKUP(J82,Lists!$D$3:$E$13,2,FALSE)),1)</f>
        <v/>
      </c>
      <c r="DJ82" s="79" t="str">
        <f>IFERROR(IF(K82="","",VLOOKUP(K82,Lists!$F$3:$G$14,2,FALSE)),1)</f>
        <v/>
      </c>
      <c r="DK82" s="79">
        <f>IFERROR(IF(M82="","",VLOOKUP(M82,Lists!$AA$3:$AB$18,2,FALSE)),1)</f>
        <v>0</v>
      </c>
      <c r="DL82" s="79">
        <f>IFERROR(IF(N82="","",VLOOKUP(N82,Lists!$AC$3:$AD$13,2,FALSE)),1)</f>
        <v>0</v>
      </c>
    </row>
    <row r="83" spans="1:116" ht="15" customHeight="1" x14ac:dyDescent="0.25">
      <c r="A83" s="20">
        <v>409332</v>
      </c>
      <c r="B83" s="19">
        <v>45672</v>
      </c>
      <c r="C83" s="64">
        <v>0.35416666666666669</v>
      </c>
      <c r="D83" s="64" t="s">
        <v>1139</v>
      </c>
      <c r="E83" s="19">
        <v>45671</v>
      </c>
      <c r="F83" s="20">
        <v>3</v>
      </c>
      <c r="G83" s="18" t="s">
        <v>1108</v>
      </c>
      <c r="H83" s="65"/>
      <c r="I83" s="18" t="s">
        <v>1108</v>
      </c>
      <c r="J83" s="66"/>
      <c r="K83" s="66"/>
      <c r="L83" s="67"/>
      <c r="M83" s="68" t="s">
        <v>29</v>
      </c>
      <c r="N83" s="68" t="s">
        <v>420</v>
      </c>
      <c r="O83" s="69" t="s">
        <v>1229</v>
      </c>
      <c r="P83" s="134">
        <v>0.34722222222222227</v>
      </c>
      <c r="Q83" s="70"/>
      <c r="R83" s="134">
        <v>0.37986111111111115</v>
      </c>
      <c r="S83" s="70"/>
      <c r="T83" s="134">
        <v>0.5</v>
      </c>
      <c r="U83" s="70"/>
      <c r="V83" s="134">
        <v>0.53055555555555556</v>
      </c>
      <c r="W83" s="70"/>
      <c r="X83" s="134">
        <v>0.53125</v>
      </c>
      <c r="Y83" s="70"/>
      <c r="Z83" s="134">
        <v>0.53819444444444442</v>
      </c>
      <c r="AA83" s="70" t="s">
        <v>1108</v>
      </c>
      <c r="AB83" s="19"/>
      <c r="AC83" s="20" t="s">
        <v>1108</v>
      </c>
      <c r="AD83" s="19"/>
      <c r="AE83" s="71">
        <f t="shared" si="73"/>
        <v>500</v>
      </c>
      <c r="AF83" s="71">
        <f t="shared" si="74"/>
        <v>764</v>
      </c>
      <c r="AG83" s="71">
        <f t="shared" si="75"/>
        <v>264</v>
      </c>
      <c r="AH83" s="71">
        <f t="shared" si="76"/>
        <v>264</v>
      </c>
      <c r="AI83" s="71" t="str">
        <f t="shared" si="77"/>
        <v/>
      </c>
      <c r="AJ83" s="71" t="str">
        <f t="shared" si="78"/>
        <v/>
      </c>
      <c r="AK83" s="71" t="str">
        <f t="shared" si="79"/>
        <v/>
      </c>
      <c r="AL83" s="71">
        <f t="shared" si="80"/>
        <v>264</v>
      </c>
      <c r="AM83" s="71">
        <f t="shared" si="81"/>
        <v>0</v>
      </c>
      <c r="AN83" s="72">
        <f t="shared" si="82"/>
        <v>2.5694444444444464E-2</v>
      </c>
      <c r="AO83" s="73">
        <f t="shared" si="83"/>
        <v>1</v>
      </c>
      <c r="AP83" s="72" t="str">
        <f t="shared" si="84"/>
        <v>No</v>
      </c>
      <c r="AQ83" s="72">
        <f t="shared" si="85"/>
        <v>6.9444444444444198E-3</v>
      </c>
      <c r="AR83" s="72" t="str">
        <f t="shared" si="86"/>
        <v/>
      </c>
      <c r="AS83" s="72" t="str">
        <f t="shared" si="87"/>
        <v/>
      </c>
      <c r="AT83" s="72" t="str">
        <f t="shared" si="88"/>
        <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89"/>
        <v>0</v>
      </c>
      <c r="CO83" s="78">
        <f t="shared" si="90"/>
        <v>0</v>
      </c>
      <c r="CP83" s="78">
        <f t="shared" si="91"/>
        <v>0</v>
      </c>
      <c r="CQ83" s="78">
        <f t="shared" si="92"/>
        <v>0</v>
      </c>
      <c r="CR83" s="78">
        <f t="shared" si="93"/>
        <v>0</v>
      </c>
      <c r="CS83" s="78">
        <f t="shared" si="94"/>
        <v>0</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0</v>
      </c>
      <c r="DC83" s="78">
        <f t="shared" si="103"/>
        <v>0</v>
      </c>
      <c r="DD83" s="78">
        <f t="shared" si="104"/>
        <v>0</v>
      </c>
      <c r="DE83" s="78">
        <f t="shared" si="105"/>
        <v>1</v>
      </c>
      <c r="DF83" s="78">
        <f t="shared" si="106"/>
        <v>1</v>
      </c>
      <c r="DG83" s="78" t="str">
        <f t="shared" si="107"/>
        <v>1</v>
      </c>
      <c r="DH83" s="78" t="str">
        <f t="shared" si="108"/>
        <v>1</v>
      </c>
      <c r="DI83" s="79" t="str">
        <f>IFERROR(IF(J83="","",VLOOKUP(J83,Lists!$D$3:$E$13,2,FALSE)),1)</f>
        <v/>
      </c>
      <c r="DJ83" s="79" t="str">
        <f>IFERROR(IF(K83="","",VLOOKUP(K83,Lists!$F$3:$G$14,2,FALSE)),1)</f>
        <v/>
      </c>
      <c r="DK83" s="79">
        <f>IFERROR(IF(M83="","",VLOOKUP(M83,Lists!$AA$3:$AB$18,2,FALSE)),1)</f>
        <v>0</v>
      </c>
      <c r="DL83" s="79">
        <f>IFERROR(IF(N83="","",VLOOKUP(N83,Lists!$AC$3:$AD$13,2,FALSE)),1)</f>
        <v>0</v>
      </c>
    </row>
    <row r="84" spans="1:116" ht="15" customHeight="1" x14ac:dyDescent="0.25">
      <c r="A84" s="20">
        <v>396731</v>
      </c>
      <c r="B84" s="19">
        <v>45672</v>
      </c>
      <c r="C84" s="64">
        <v>0.5</v>
      </c>
      <c r="D84" s="64" t="s">
        <v>1140</v>
      </c>
      <c r="E84" s="19">
        <v>45672</v>
      </c>
      <c r="F84" s="20">
        <v>3</v>
      </c>
      <c r="G84" s="18" t="s">
        <v>1108</v>
      </c>
      <c r="H84" s="65"/>
      <c r="I84" s="18" t="s">
        <v>1108</v>
      </c>
      <c r="J84" s="66"/>
      <c r="K84" s="66"/>
      <c r="L84" s="67"/>
      <c r="M84" s="68" t="s">
        <v>35</v>
      </c>
      <c r="N84" s="68" t="s">
        <v>420</v>
      </c>
      <c r="O84" s="69" t="s">
        <v>1190</v>
      </c>
      <c r="P84" s="134">
        <v>0.5</v>
      </c>
      <c r="Q84" s="70"/>
      <c r="R84" s="134">
        <v>0.51388888888888895</v>
      </c>
      <c r="S84" s="70"/>
      <c r="T84" s="134">
        <v>0.53472222222222221</v>
      </c>
      <c r="U84" s="70"/>
      <c r="V84" s="134">
        <v>0.54513888888888895</v>
      </c>
      <c r="W84" s="70"/>
      <c r="X84" s="134">
        <v>0.54583333333333328</v>
      </c>
      <c r="Y84" s="70"/>
      <c r="Z84" s="134">
        <v>0.55208333333333337</v>
      </c>
      <c r="AA84" s="70" t="s">
        <v>1108</v>
      </c>
      <c r="AB84" s="19"/>
      <c r="AC84" s="20" t="s">
        <v>1108</v>
      </c>
      <c r="AD84" s="19"/>
      <c r="AE84" s="71">
        <f t="shared" si="73"/>
        <v>720</v>
      </c>
      <c r="AF84" s="71">
        <f t="shared" si="74"/>
        <v>785</v>
      </c>
      <c r="AG84" s="71">
        <f t="shared" si="75"/>
        <v>65</v>
      </c>
      <c r="AH84" s="71">
        <f t="shared" si="76"/>
        <v>65</v>
      </c>
      <c r="AI84" s="71" t="str">
        <f t="shared" si="77"/>
        <v/>
      </c>
      <c r="AJ84" s="71" t="str">
        <f t="shared" si="78"/>
        <v/>
      </c>
      <c r="AK84" s="71" t="str">
        <f t="shared" si="79"/>
        <v/>
      </c>
      <c r="AL84" s="71">
        <f t="shared" si="80"/>
        <v>65</v>
      </c>
      <c r="AM84" s="71">
        <f t="shared" si="81"/>
        <v>0</v>
      </c>
      <c r="AN84" s="72">
        <f t="shared" si="82"/>
        <v>1.3888888888888951E-2</v>
      </c>
      <c r="AO84" s="73">
        <f t="shared" si="83"/>
        <v>0</v>
      </c>
      <c r="AP84" s="72" t="str">
        <f t="shared" si="84"/>
        <v>No</v>
      </c>
      <c r="AQ84" s="72">
        <f t="shared" si="85"/>
        <v>6.2500000000000888E-3</v>
      </c>
      <c r="AR84" s="72" t="str">
        <f t="shared" si="86"/>
        <v/>
      </c>
      <c r="AS84" s="72" t="str">
        <f t="shared" si="87"/>
        <v/>
      </c>
      <c r="AT84" s="72" t="str">
        <f t="shared" si="88"/>
        <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89"/>
        <v>0</v>
      </c>
      <c r="CO84" s="78">
        <f t="shared" si="90"/>
        <v>0</v>
      </c>
      <c r="CP84" s="78">
        <f t="shared" si="91"/>
        <v>0</v>
      </c>
      <c r="CQ84" s="78">
        <f t="shared" si="92"/>
        <v>0</v>
      </c>
      <c r="CR84" s="78">
        <f t="shared" si="93"/>
        <v>0</v>
      </c>
      <c r="CS84" s="78">
        <f t="shared" si="94"/>
        <v>0</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1</v>
      </c>
      <c r="DC84" s="78">
        <f t="shared" si="103"/>
        <v>0</v>
      </c>
      <c r="DD84" s="78">
        <f t="shared" si="104"/>
        <v>0</v>
      </c>
      <c r="DE84" s="78">
        <f t="shared" si="105"/>
        <v>1</v>
      </c>
      <c r="DF84" s="78">
        <f t="shared" si="106"/>
        <v>1</v>
      </c>
      <c r="DG84" s="78" t="str">
        <f t="shared" si="107"/>
        <v>1</v>
      </c>
      <c r="DH84" s="78" t="str">
        <f t="shared" si="108"/>
        <v>1</v>
      </c>
      <c r="DI84" s="79" t="str">
        <f>IFERROR(IF(J84="","",VLOOKUP(J84,Lists!$D$3:$E$13,2,FALSE)),1)</f>
        <v/>
      </c>
      <c r="DJ84" s="79" t="str">
        <f>IFERROR(IF(K84="","",VLOOKUP(K84,Lists!$F$3:$G$14,2,FALSE)),1)</f>
        <v/>
      </c>
      <c r="DK84" s="79">
        <f>IFERROR(IF(M84="","",VLOOKUP(M84,Lists!$AA$3:$AB$18,2,FALSE)),1)</f>
        <v>0</v>
      </c>
      <c r="DL84" s="79">
        <f>IFERROR(IF(N84="","",VLOOKUP(N84,Lists!$AC$3:$AD$13,2,FALSE)),1)</f>
        <v>0</v>
      </c>
    </row>
    <row r="85" spans="1:116" ht="15" customHeight="1" x14ac:dyDescent="0.25">
      <c r="A85" s="20">
        <v>49046</v>
      </c>
      <c r="B85" s="19">
        <v>45672</v>
      </c>
      <c r="C85" s="64">
        <v>0.5625</v>
      </c>
      <c r="D85" s="64" t="s">
        <v>1110</v>
      </c>
      <c r="E85" s="19">
        <v>45672</v>
      </c>
      <c r="F85" s="20">
        <v>3</v>
      </c>
      <c r="G85" s="18" t="s">
        <v>1108</v>
      </c>
      <c r="H85" s="65"/>
      <c r="I85" s="18" t="s">
        <v>1108</v>
      </c>
      <c r="J85" s="66"/>
      <c r="K85" s="66"/>
      <c r="L85" s="67"/>
      <c r="M85" s="68" t="s">
        <v>35</v>
      </c>
      <c r="N85" s="68" t="s">
        <v>420</v>
      </c>
      <c r="O85" s="69" t="s">
        <v>1109</v>
      </c>
      <c r="P85" s="134">
        <v>0.55555555555555558</v>
      </c>
      <c r="Q85" s="70"/>
      <c r="R85" s="134">
        <v>0.56597222222222221</v>
      </c>
      <c r="S85" s="70"/>
      <c r="T85" s="134">
        <v>0.61111111111111105</v>
      </c>
      <c r="U85" s="70"/>
      <c r="V85" s="134">
        <v>0.625</v>
      </c>
      <c r="W85" s="70"/>
      <c r="X85" s="134">
        <v>0.62569444444444444</v>
      </c>
      <c r="Y85" s="70"/>
      <c r="Z85" s="134">
        <v>0.63194444444444442</v>
      </c>
      <c r="AA85" s="70" t="s">
        <v>1108</v>
      </c>
      <c r="AB85" s="19"/>
      <c r="AC85" s="20" t="s">
        <v>1108</v>
      </c>
      <c r="AD85" s="19"/>
      <c r="AE85" s="71">
        <f t="shared" si="73"/>
        <v>800</v>
      </c>
      <c r="AF85" s="71">
        <f t="shared" si="74"/>
        <v>900</v>
      </c>
      <c r="AG85" s="71">
        <f t="shared" si="75"/>
        <v>100</v>
      </c>
      <c r="AH85" s="71">
        <f t="shared" si="76"/>
        <v>100</v>
      </c>
      <c r="AI85" s="71" t="str">
        <f t="shared" si="77"/>
        <v/>
      </c>
      <c r="AJ85" s="71" t="str">
        <f t="shared" si="78"/>
        <v/>
      </c>
      <c r="AK85" s="71" t="str">
        <f t="shared" si="79"/>
        <v/>
      </c>
      <c r="AL85" s="71">
        <f t="shared" si="80"/>
        <v>100</v>
      </c>
      <c r="AM85" s="71">
        <f t="shared" si="81"/>
        <v>0</v>
      </c>
      <c r="AN85" s="72">
        <f t="shared" si="82"/>
        <v>3.4722222222222099E-3</v>
      </c>
      <c r="AO85" s="73">
        <f t="shared" si="83"/>
        <v>0</v>
      </c>
      <c r="AP85" s="72" t="str">
        <f t="shared" si="84"/>
        <v>Yes</v>
      </c>
      <c r="AQ85" s="72">
        <f t="shared" si="85"/>
        <v>6.2499999999999778E-3</v>
      </c>
      <c r="AR85" s="72" t="str">
        <f t="shared" si="86"/>
        <v/>
      </c>
      <c r="AS85" s="72" t="str">
        <f t="shared" si="87"/>
        <v/>
      </c>
      <c r="AT85" s="72" t="str">
        <f t="shared" si="88"/>
        <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89"/>
        <v>0</v>
      </c>
      <c r="CO85" s="78">
        <f t="shared" si="90"/>
        <v>0</v>
      </c>
      <c r="CP85" s="78">
        <f t="shared" si="91"/>
        <v>0</v>
      </c>
      <c r="CQ85" s="78">
        <f t="shared" si="92"/>
        <v>0</v>
      </c>
      <c r="CR85" s="78">
        <f t="shared" si="93"/>
        <v>0</v>
      </c>
      <c r="CS85" s="78">
        <f t="shared" si="94"/>
        <v>0</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0</v>
      </c>
      <c r="DC85" s="78">
        <f t="shared" si="103"/>
        <v>0</v>
      </c>
      <c r="DD85" s="78">
        <f t="shared" si="104"/>
        <v>0</v>
      </c>
      <c r="DE85" s="78">
        <f t="shared" si="105"/>
        <v>1</v>
      </c>
      <c r="DF85" s="78">
        <f t="shared" si="106"/>
        <v>1</v>
      </c>
      <c r="DG85" s="78" t="str">
        <f t="shared" si="107"/>
        <v>1</v>
      </c>
      <c r="DH85" s="78" t="str">
        <f t="shared" si="108"/>
        <v>1</v>
      </c>
      <c r="DI85" s="79" t="str">
        <f>IFERROR(IF(J85="","",VLOOKUP(J85,Lists!$D$3:$E$13,2,FALSE)),1)</f>
        <v/>
      </c>
      <c r="DJ85" s="79" t="str">
        <f>IFERROR(IF(K85="","",VLOOKUP(K85,Lists!$F$3:$G$14,2,FALSE)),1)</f>
        <v/>
      </c>
      <c r="DK85" s="79">
        <f>IFERROR(IF(M85="","",VLOOKUP(M85,Lists!$AA$3:$AB$18,2,FALSE)),1)</f>
        <v>0</v>
      </c>
      <c r="DL85" s="79">
        <f>IFERROR(IF(N85="","",VLOOKUP(N85,Lists!$AC$3:$AD$13,2,FALSE)),1)</f>
        <v>0</v>
      </c>
    </row>
    <row r="86" spans="1:116" ht="15" customHeight="1" x14ac:dyDescent="0.25">
      <c r="A86" s="20">
        <v>21107</v>
      </c>
      <c r="B86" s="19">
        <v>45672</v>
      </c>
      <c r="C86" s="64">
        <v>0.64583333333333337</v>
      </c>
      <c r="D86" s="64" t="s">
        <v>1110</v>
      </c>
      <c r="E86" s="19">
        <v>45672</v>
      </c>
      <c r="F86" s="20">
        <v>3</v>
      </c>
      <c r="G86" s="18" t="s">
        <v>1108</v>
      </c>
      <c r="H86" s="65"/>
      <c r="I86" s="18" t="s">
        <v>1108</v>
      </c>
      <c r="J86" s="66"/>
      <c r="K86" s="66"/>
      <c r="L86" s="67"/>
      <c r="M86" s="68" t="s">
        <v>35</v>
      </c>
      <c r="N86" s="68" t="s">
        <v>420</v>
      </c>
      <c r="O86" s="69" t="s">
        <v>1109</v>
      </c>
      <c r="P86" s="134">
        <v>0.63541666666666663</v>
      </c>
      <c r="Q86" s="70"/>
      <c r="R86" s="134">
        <v>0.65625</v>
      </c>
      <c r="S86" s="70"/>
      <c r="T86" s="134">
        <v>0.68541666666666667</v>
      </c>
      <c r="U86" s="70"/>
      <c r="V86" s="134">
        <v>0.6958333333333333</v>
      </c>
      <c r="W86" s="70"/>
      <c r="X86" s="134">
        <v>0.69652777777777775</v>
      </c>
      <c r="Y86" s="70"/>
      <c r="Z86" s="134">
        <v>0.70486111111111116</v>
      </c>
      <c r="AA86" s="70" t="s">
        <v>1108</v>
      </c>
      <c r="AB86" s="19"/>
      <c r="AC86" s="20" t="s">
        <v>1108</v>
      </c>
      <c r="AD86" s="19"/>
      <c r="AE86" s="71">
        <f t="shared" si="73"/>
        <v>915</v>
      </c>
      <c r="AF86" s="71">
        <f t="shared" si="74"/>
        <v>1002</v>
      </c>
      <c r="AG86" s="71">
        <f t="shared" si="75"/>
        <v>87</v>
      </c>
      <c r="AH86" s="71" t="str">
        <f t="shared" si="76"/>
        <v/>
      </c>
      <c r="AI86" s="71" t="str">
        <f t="shared" si="77"/>
        <v/>
      </c>
      <c r="AJ86" s="71">
        <f t="shared" si="78"/>
        <v>45</v>
      </c>
      <c r="AK86" s="71" t="str">
        <f t="shared" si="79"/>
        <v/>
      </c>
      <c r="AL86" s="71">
        <f t="shared" si="80"/>
        <v>45</v>
      </c>
      <c r="AM86" s="71">
        <f t="shared" si="81"/>
        <v>42</v>
      </c>
      <c r="AN86" s="72">
        <f t="shared" si="82"/>
        <v>1.041666666666663E-2</v>
      </c>
      <c r="AO86" s="73">
        <f t="shared" si="83"/>
        <v>0</v>
      </c>
      <c r="AP86" s="72" t="str">
        <f t="shared" si="84"/>
        <v>Yes</v>
      </c>
      <c r="AQ86" s="72">
        <f t="shared" si="85"/>
        <v>8.3333333333334147E-3</v>
      </c>
      <c r="AR86" s="72" t="str">
        <f t="shared" si="86"/>
        <v/>
      </c>
      <c r="AS86" s="72" t="str">
        <f t="shared" si="87"/>
        <v/>
      </c>
      <c r="AT86" s="72" t="str">
        <f t="shared" si="88"/>
        <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89"/>
        <v>0</v>
      </c>
      <c r="CO86" s="78">
        <f t="shared" si="90"/>
        <v>0</v>
      </c>
      <c r="CP86" s="78">
        <f t="shared" si="91"/>
        <v>0</v>
      </c>
      <c r="CQ86" s="78">
        <f t="shared" si="92"/>
        <v>0</v>
      </c>
      <c r="CR86" s="78">
        <f t="shared" si="93"/>
        <v>0</v>
      </c>
      <c r="CS86" s="78">
        <f t="shared" si="94"/>
        <v>0</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f t="shared" si="105"/>
        <v>1</v>
      </c>
      <c r="DF86" s="78">
        <f t="shared" si="106"/>
        <v>1</v>
      </c>
      <c r="DG86" s="78" t="str">
        <f t="shared" si="107"/>
        <v>1</v>
      </c>
      <c r="DH86" s="78" t="str">
        <f t="shared" si="108"/>
        <v>1</v>
      </c>
      <c r="DI86" s="79" t="str">
        <f>IFERROR(IF(J86="","",VLOOKUP(J86,Lists!$D$3:$E$13,2,FALSE)),1)</f>
        <v/>
      </c>
      <c r="DJ86" s="79" t="str">
        <f>IFERROR(IF(K86="","",VLOOKUP(K86,Lists!$F$3:$G$14,2,FALSE)),1)</f>
        <v/>
      </c>
      <c r="DK86" s="79">
        <f>IFERROR(IF(M86="","",VLOOKUP(M86,Lists!$AA$3:$AB$18,2,FALSE)),1)</f>
        <v>0</v>
      </c>
      <c r="DL86" s="79">
        <f>IFERROR(IF(N86="","",VLOOKUP(N86,Lists!$AC$3:$AD$13,2,FALSE)),1)</f>
        <v>0</v>
      </c>
    </row>
    <row r="87" spans="1:116" ht="15" customHeight="1" x14ac:dyDescent="0.25">
      <c r="A87" s="20">
        <v>422924</v>
      </c>
      <c r="B87" s="19">
        <v>45672</v>
      </c>
      <c r="C87" s="64">
        <v>0.35416666666666669</v>
      </c>
      <c r="D87" s="64" t="s">
        <v>1127</v>
      </c>
      <c r="E87" s="19">
        <v>45666</v>
      </c>
      <c r="F87" s="20">
        <v>5</v>
      </c>
      <c r="G87" s="18" t="s">
        <v>1108</v>
      </c>
      <c r="H87" s="65"/>
      <c r="I87" s="18" t="s">
        <v>1108</v>
      </c>
      <c r="J87" s="66"/>
      <c r="K87" s="66"/>
      <c r="L87" s="67"/>
      <c r="M87" s="68" t="s">
        <v>39</v>
      </c>
      <c r="N87" s="68" t="s">
        <v>420</v>
      </c>
      <c r="O87" s="69" t="s">
        <v>1114</v>
      </c>
      <c r="P87" s="134">
        <v>0.35069444444444442</v>
      </c>
      <c r="Q87" s="70"/>
      <c r="R87" s="134">
        <v>0.37986111111111115</v>
      </c>
      <c r="S87" s="70"/>
      <c r="T87" s="134">
        <v>0.4826388888888889</v>
      </c>
      <c r="U87" s="70"/>
      <c r="V87" s="134">
        <v>0.49305555555555558</v>
      </c>
      <c r="W87" s="70"/>
      <c r="X87" s="134">
        <v>0.49374999999999997</v>
      </c>
      <c r="Y87" s="70"/>
      <c r="Z87" s="134">
        <v>0.5</v>
      </c>
      <c r="AA87" s="70" t="s">
        <v>1108</v>
      </c>
      <c r="AB87" s="19"/>
      <c r="AC87" s="20" t="s">
        <v>1108</v>
      </c>
      <c r="AD87" s="19"/>
      <c r="AE87" s="71">
        <f t="shared" si="73"/>
        <v>505</v>
      </c>
      <c r="AF87" s="71">
        <f t="shared" si="74"/>
        <v>710</v>
      </c>
      <c r="AG87" s="71">
        <f t="shared" si="75"/>
        <v>205</v>
      </c>
      <c r="AH87" s="71">
        <f t="shared" si="76"/>
        <v>205</v>
      </c>
      <c r="AI87" s="71" t="str">
        <f t="shared" si="77"/>
        <v/>
      </c>
      <c r="AJ87" s="71" t="str">
        <f t="shared" si="78"/>
        <v/>
      </c>
      <c r="AK87" s="71" t="str">
        <f t="shared" si="79"/>
        <v/>
      </c>
      <c r="AL87" s="71">
        <f t="shared" si="80"/>
        <v>205</v>
      </c>
      <c r="AM87" s="71">
        <f t="shared" si="81"/>
        <v>0</v>
      </c>
      <c r="AN87" s="72">
        <f t="shared" si="82"/>
        <v>2.5694444444444464E-2</v>
      </c>
      <c r="AO87" s="73">
        <f t="shared" si="83"/>
        <v>6</v>
      </c>
      <c r="AP87" s="72" t="str">
        <f t="shared" si="84"/>
        <v>No</v>
      </c>
      <c r="AQ87" s="72">
        <f t="shared" si="85"/>
        <v>6.2500000000000333E-3</v>
      </c>
      <c r="AR87" s="72" t="str">
        <f t="shared" si="86"/>
        <v/>
      </c>
      <c r="AS87" s="72" t="str">
        <f t="shared" si="87"/>
        <v/>
      </c>
      <c r="AT87" s="72" t="str">
        <f t="shared" si="88"/>
        <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89"/>
        <v>0</v>
      </c>
      <c r="CO87" s="78">
        <f t="shared" si="90"/>
        <v>0</v>
      </c>
      <c r="CP87" s="78">
        <f t="shared" si="91"/>
        <v>0</v>
      </c>
      <c r="CQ87" s="78">
        <f t="shared" si="92"/>
        <v>0</v>
      </c>
      <c r="CR87" s="78">
        <f t="shared" si="93"/>
        <v>0</v>
      </c>
      <c r="CS87" s="78">
        <f t="shared" si="94"/>
        <v>0</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0</v>
      </c>
      <c r="DB87" s="78">
        <f t="shared" si="102"/>
        <v>0</v>
      </c>
      <c r="DC87" s="78">
        <f t="shared" si="103"/>
        <v>0</v>
      </c>
      <c r="DD87" s="78">
        <f t="shared" si="104"/>
        <v>0</v>
      </c>
      <c r="DE87" s="78">
        <f t="shared" si="105"/>
        <v>1</v>
      </c>
      <c r="DF87" s="78">
        <f t="shared" si="106"/>
        <v>1</v>
      </c>
      <c r="DG87" s="78" t="str">
        <f t="shared" si="107"/>
        <v>1</v>
      </c>
      <c r="DH87" s="78" t="str">
        <f t="shared" si="108"/>
        <v>1</v>
      </c>
      <c r="DI87" s="79" t="str">
        <f>IFERROR(IF(J87="","",VLOOKUP(J87,Lists!$D$3:$E$13,2,FALSE)),1)</f>
        <v/>
      </c>
      <c r="DJ87" s="79" t="str">
        <f>IFERROR(IF(K87="","",VLOOKUP(K87,Lists!$F$3:$G$14,2,FALSE)),1)</f>
        <v/>
      </c>
      <c r="DK87" s="79">
        <f>IFERROR(IF(M87="","",VLOOKUP(M87,Lists!$AA$3:$AB$18,2,FALSE)),1)</f>
        <v>0</v>
      </c>
      <c r="DL87" s="79">
        <f>IFERROR(IF(N87="","",VLOOKUP(N87,Lists!$AC$3:$AD$13,2,FALSE)),1)</f>
        <v>0</v>
      </c>
    </row>
    <row r="88" spans="1:116" ht="15" customHeight="1" x14ac:dyDescent="0.25">
      <c r="A88" s="20">
        <v>404348</v>
      </c>
      <c r="B88" s="19">
        <v>45672</v>
      </c>
      <c r="C88" s="64">
        <v>0.5</v>
      </c>
      <c r="D88" s="64" t="s">
        <v>1138</v>
      </c>
      <c r="E88" s="19">
        <v>45672</v>
      </c>
      <c r="F88" s="20">
        <v>5</v>
      </c>
      <c r="G88" s="18" t="s">
        <v>1108</v>
      </c>
      <c r="H88" s="65"/>
      <c r="I88" s="18" t="s">
        <v>1121</v>
      </c>
      <c r="J88" s="66" t="s">
        <v>56</v>
      </c>
      <c r="K88" s="66" t="s">
        <v>420</v>
      </c>
      <c r="L88" s="67" t="s">
        <v>475</v>
      </c>
      <c r="M88" s="68"/>
      <c r="N88" s="68"/>
      <c r="O88" s="69"/>
      <c r="P88" s="134">
        <v>0.50347222222222221</v>
      </c>
      <c r="Q88" s="70"/>
      <c r="R88" s="134">
        <v>0.51388888888888895</v>
      </c>
      <c r="S88" s="70"/>
      <c r="T88" s="134">
        <v>0.56944444444444442</v>
      </c>
      <c r="U88" s="70"/>
      <c r="V88" s="134">
        <v>0.57986111111111105</v>
      </c>
      <c r="W88" s="70"/>
      <c r="X88" s="134">
        <v>0.5805555555555556</v>
      </c>
      <c r="Y88" s="70"/>
      <c r="Z88" s="134">
        <v>0.58680555555555558</v>
      </c>
      <c r="AA88" s="70" t="s">
        <v>1121</v>
      </c>
      <c r="AB88" s="19">
        <v>45672</v>
      </c>
      <c r="AC88" s="20" t="s">
        <v>1108</v>
      </c>
      <c r="AD88" s="19"/>
      <c r="AE88" s="71">
        <f t="shared" si="73"/>
        <v>725</v>
      </c>
      <c r="AF88" s="71">
        <f t="shared" si="74"/>
        <v>835</v>
      </c>
      <c r="AG88" s="71">
        <f t="shared" si="75"/>
        <v>110</v>
      </c>
      <c r="AH88" s="71">
        <f t="shared" si="76"/>
        <v>110</v>
      </c>
      <c r="AI88" s="71" t="str">
        <f t="shared" si="77"/>
        <v/>
      </c>
      <c r="AJ88" s="71" t="str">
        <f t="shared" si="78"/>
        <v/>
      </c>
      <c r="AK88" s="71" t="str">
        <f t="shared" si="79"/>
        <v/>
      </c>
      <c r="AL88" s="71">
        <f t="shared" si="80"/>
        <v>110</v>
      </c>
      <c r="AM88" s="71">
        <f t="shared" si="81"/>
        <v>0</v>
      </c>
      <c r="AN88" s="72">
        <f t="shared" si="82"/>
        <v>1.3888888888888951E-2</v>
      </c>
      <c r="AO88" s="73">
        <f t="shared" si="83"/>
        <v>0</v>
      </c>
      <c r="AP88" s="72" t="str">
        <f t="shared" si="84"/>
        <v>No</v>
      </c>
      <c r="AQ88" s="72">
        <f t="shared" si="85"/>
        <v>6.2499999999999778E-3</v>
      </c>
      <c r="AR88" s="72" t="str">
        <f t="shared" si="86"/>
        <v>Yes</v>
      </c>
      <c r="AS88" s="72" t="str">
        <f t="shared" si="87"/>
        <v>No</v>
      </c>
      <c r="AT88" s="72" t="str">
        <f t="shared" si="88"/>
        <v>No</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89"/>
        <v>0</v>
      </c>
      <c r="CO88" s="78">
        <f t="shared" si="90"/>
        <v>0</v>
      </c>
      <c r="CP88" s="78">
        <f t="shared" si="91"/>
        <v>0</v>
      </c>
      <c r="CQ88" s="78">
        <f t="shared" si="92"/>
        <v>0</v>
      </c>
      <c r="CR88" s="78">
        <f t="shared" si="93"/>
        <v>0</v>
      </c>
      <c r="CS88" s="78">
        <f t="shared" si="94"/>
        <v>0</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0</v>
      </c>
      <c r="DB88" s="78">
        <f t="shared" si="102"/>
        <v>0</v>
      </c>
      <c r="DC88" s="78">
        <f t="shared" si="103"/>
        <v>0</v>
      </c>
      <c r="DD88" s="78">
        <f t="shared" si="104"/>
        <v>0</v>
      </c>
      <c r="DE88" s="78">
        <f t="shared" si="105"/>
        <v>1</v>
      </c>
      <c r="DF88" s="78">
        <f t="shared" si="106"/>
        <v>1</v>
      </c>
      <c r="DG88" s="78">
        <f t="shared" si="107"/>
        <v>1</v>
      </c>
      <c r="DH88" s="78" t="str">
        <f t="shared" si="108"/>
        <v>1</v>
      </c>
      <c r="DI88" s="79">
        <f>IFERROR(IF(J88="","",VLOOKUP(J88,Lists!$D$3:$E$13,2,FALSE)),1)</f>
        <v>0</v>
      </c>
      <c r="DJ88" s="79">
        <f>IFERROR(IF(K88="","",VLOOKUP(K88,Lists!$F$3:$G$14,2,FALSE)),1)</f>
        <v>0</v>
      </c>
      <c r="DK88" s="79" t="str">
        <f>IFERROR(IF(M88="","",VLOOKUP(M88,Lists!$AA$3:$AB$18,2,FALSE)),1)</f>
        <v/>
      </c>
      <c r="DL88" s="79" t="str">
        <f>IFERROR(IF(N88="","",VLOOKUP(N88,Lists!$AC$3:$AD$13,2,FALSE)),1)</f>
        <v/>
      </c>
    </row>
    <row r="89" spans="1:116" ht="15" customHeight="1" x14ac:dyDescent="0.2">
      <c r="A89" s="20">
        <v>399949</v>
      </c>
      <c r="B89" s="19">
        <v>45672</v>
      </c>
      <c r="C89" s="64">
        <v>0.58333333333333337</v>
      </c>
      <c r="D89" s="64" t="s">
        <v>1138</v>
      </c>
      <c r="E89" s="19">
        <v>45671</v>
      </c>
      <c r="F89" s="20">
        <v>5</v>
      </c>
      <c r="G89" s="18" t="s">
        <v>1108</v>
      </c>
      <c r="H89" s="65"/>
      <c r="I89" s="18" t="s">
        <v>1108</v>
      </c>
      <c r="J89" s="66"/>
      <c r="K89" s="66"/>
      <c r="L89" s="67"/>
      <c r="M89" s="68" t="s">
        <v>1087</v>
      </c>
      <c r="N89" s="68" t="s">
        <v>420</v>
      </c>
      <c r="O89" s="69" t="s">
        <v>475</v>
      </c>
      <c r="P89" s="134">
        <v>0.59027777777777779</v>
      </c>
      <c r="Q89" s="70"/>
      <c r="R89" s="134">
        <v>0.60069444444444442</v>
      </c>
      <c r="S89" s="70"/>
      <c r="T89" s="134">
        <v>0.625</v>
      </c>
      <c r="U89" s="70"/>
      <c r="V89" s="134">
        <v>0.63541666666666663</v>
      </c>
      <c r="W89" s="70"/>
      <c r="X89" s="134">
        <v>0.63611111111111118</v>
      </c>
      <c r="Y89" s="70"/>
      <c r="Z89" s="134">
        <v>0.64236111111111105</v>
      </c>
      <c r="AA89" s="70" t="s">
        <v>1108</v>
      </c>
      <c r="AB89" s="19"/>
      <c r="AC89" s="20" t="s">
        <v>1108</v>
      </c>
      <c r="AD89" s="19"/>
      <c r="AE89" s="71">
        <f t="shared" si="73"/>
        <v>850</v>
      </c>
      <c r="AF89" s="71">
        <f t="shared" si="74"/>
        <v>915</v>
      </c>
      <c r="AG89" s="71">
        <f t="shared" si="75"/>
        <v>65</v>
      </c>
      <c r="AH89" s="71">
        <f t="shared" si="76"/>
        <v>65</v>
      </c>
      <c r="AI89" s="71" t="str">
        <f t="shared" si="77"/>
        <v/>
      </c>
      <c r="AJ89" s="71" t="str">
        <f t="shared" si="78"/>
        <v/>
      </c>
      <c r="AK89" s="71" t="str">
        <f t="shared" si="79"/>
        <v/>
      </c>
      <c r="AL89" s="71">
        <f t="shared" si="80"/>
        <v>65</v>
      </c>
      <c r="AM89" s="71">
        <f t="shared" si="81"/>
        <v>0</v>
      </c>
      <c r="AN89" s="72">
        <f t="shared" si="82"/>
        <v>1.7361111111111049E-2</v>
      </c>
      <c r="AO89" s="73">
        <f t="shared" si="83"/>
        <v>1</v>
      </c>
      <c r="AP89" s="72" t="str">
        <f t="shared" si="84"/>
        <v>No</v>
      </c>
      <c r="AQ89" s="72">
        <f t="shared" si="85"/>
        <v>6.2499999999998668E-3</v>
      </c>
      <c r="AR89" s="72" t="str">
        <f t="shared" si="86"/>
        <v/>
      </c>
      <c r="AS89" s="72" t="str">
        <f t="shared" si="87"/>
        <v/>
      </c>
      <c r="AT89" s="72" t="str">
        <f t="shared" si="88"/>
        <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89"/>
        <v>0</v>
      </c>
      <c r="CO89" s="78">
        <f t="shared" si="90"/>
        <v>0</v>
      </c>
      <c r="CP89" s="78">
        <f t="shared" si="91"/>
        <v>0</v>
      </c>
      <c r="CQ89" s="78">
        <f t="shared" si="92"/>
        <v>0</v>
      </c>
      <c r="CR89" s="78">
        <f t="shared" si="93"/>
        <v>0</v>
      </c>
      <c r="CS89" s="78">
        <f t="shared" si="94"/>
        <v>0</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f t="shared" si="105"/>
        <v>1</v>
      </c>
      <c r="DF89" s="78">
        <f t="shared" si="106"/>
        <v>1</v>
      </c>
      <c r="DG89" s="78" t="str">
        <f t="shared" si="107"/>
        <v>1</v>
      </c>
      <c r="DH89" s="78" t="str">
        <f t="shared" si="108"/>
        <v>1</v>
      </c>
      <c r="DI89" s="79" t="str">
        <f>IFERROR(IF(J89="","",VLOOKUP(J89,Lists!$D$3:$E$13,2,FALSE)),1)</f>
        <v/>
      </c>
      <c r="DJ89" s="79" t="str">
        <f>IFERROR(IF(K89="","",VLOOKUP(K89,Lists!$F$3:$G$14,2,FALSE)),1)</f>
        <v/>
      </c>
      <c r="DK89" s="79">
        <f>IFERROR(IF(M89="","",VLOOKUP(M89,Lists!$AA$3:$AB$18,2,FALSE)),1)</f>
        <v>0</v>
      </c>
      <c r="DL89" s="79">
        <f>IFERROR(IF(N89="","",VLOOKUP(N89,Lists!$AC$3:$AD$13,2,FALSE)),1)</f>
        <v>0</v>
      </c>
    </row>
    <row r="90" spans="1:116" ht="15" customHeight="1" x14ac:dyDescent="0.2">
      <c r="A90" s="20">
        <v>413695</v>
      </c>
      <c r="B90" s="19">
        <v>45672</v>
      </c>
      <c r="C90" s="64">
        <v>0.64583333333333337</v>
      </c>
      <c r="D90" s="64" t="s">
        <v>1138</v>
      </c>
      <c r="E90" s="19">
        <v>45672</v>
      </c>
      <c r="F90" s="20">
        <v>5</v>
      </c>
      <c r="G90" s="18" t="s">
        <v>1108</v>
      </c>
      <c r="H90" s="65"/>
      <c r="I90" s="18" t="s">
        <v>1121</v>
      </c>
      <c r="J90" s="66" t="s">
        <v>56</v>
      </c>
      <c r="K90" s="66" t="s">
        <v>420</v>
      </c>
      <c r="L90" s="67" t="s">
        <v>475</v>
      </c>
      <c r="M90" s="68"/>
      <c r="N90" s="68"/>
      <c r="O90" s="69"/>
      <c r="P90" s="134">
        <v>0.64583333333333337</v>
      </c>
      <c r="Q90" s="70"/>
      <c r="R90" s="134">
        <v>0.65625</v>
      </c>
      <c r="S90" s="70"/>
      <c r="T90" s="134">
        <v>0.67708333333333337</v>
      </c>
      <c r="U90" s="70"/>
      <c r="V90" s="134">
        <v>0.68402777777777779</v>
      </c>
      <c r="W90" s="70"/>
      <c r="X90" s="134">
        <v>0.68472222222222223</v>
      </c>
      <c r="Y90" s="70"/>
      <c r="Z90" s="134">
        <v>0.69097222222222221</v>
      </c>
      <c r="AA90" s="70" t="s">
        <v>1121</v>
      </c>
      <c r="AB90" s="19">
        <v>45672</v>
      </c>
      <c r="AC90" s="20" t="s">
        <v>1108</v>
      </c>
      <c r="AD90" s="19"/>
      <c r="AE90" s="71">
        <f t="shared" si="73"/>
        <v>930</v>
      </c>
      <c r="AF90" s="71">
        <f t="shared" si="74"/>
        <v>985</v>
      </c>
      <c r="AG90" s="71">
        <f t="shared" si="75"/>
        <v>55</v>
      </c>
      <c r="AH90" s="71" t="str">
        <f t="shared" si="76"/>
        <v/>
      </c>
      <c r="AI90" s="71" t="str">
        <f t="shared" si="77"/>
        <v/>
      </c>
      <c r="AJ90" s="71">
        <f t="shared" si="78"/>
        <v>30</v>
      </c>
      <c r="AK90" s="71" t="str">
        <f t="shared" si="79"/>
        <v/>
      </c>
      <c r="AL90" s="71">
        <f t="shared" si="80"/>
        <v>30</v>
      </c>
      <c r="AM90" s="71">
        <f t="shared" si="81"/>
        <v>25</v>
      </c>
      <c r="AN90" s="72">
        <f t="shared" si="82"/>
        <v>1.041666666666663E-2</v>
      </c>
      <c r="AO90" s="73">
        <f t="shared" si="83"/>
        <v>0</v>
      </c>
      <c r="AP90" s="72" t="str">
        <f t="shared" si="84"/>
        <v>Yes</v>
      </c>
      <c r="AQ90" s="72">
        <f t="shared" si="85"/>
        <v>6.2499999999999778E-3</v>
      </c>
      <c r="AR90" s="72" t="str">
        <f t="shared" si="86"/>
        <v>Yes</v>
      </c>
      <c r="AS90" s="72" t="str">
        <f t="shared" si="87"/>
        <v>No</v>
      </c>
      <c r="AT90" s="72" t="str">
        <f t="shared" si="88"/>
        <v>No</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89"/>
        <v>0</v>
      </c>
      <c r="CO90" s="78">
        <f t="shared" si="90"/>
        <v>0</v>
      </c>
      <c r="CP90" s="78">
        <f t="shared" si="91"/>
        <v>0</v>
      </c>
      <c r="CQ90" s="78">
        <f t="shared" si="92"/>
        <v>0</v>
      </c>
      <c r="CR90" s="78">
        <f t="shared" si="93"/>
        <v>0</v>
      </c>
      <c r="CS90" s="78">
        <f t="shared" si="94"/>
        <v>0</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0</v>
      </c>
      <c r="DC90" s="78">
        <f t="shared" si="103"/>
        <v>0</v>
      </c>
      <c r="DD90" s="78">
        <f t="shared" si="104"/>
        <v>0</v>
      </c>
      <c r="DE90" s="78">
        <f t="shared" si="105"/>
        <v>1</v>
      </c>
      <c r="DF90" s="78">
        <f t="shared" si="106"/>
        <v>1</v>
      </c>
      <c r="DG90" s="78">
        <f t="shared" si="107"/>
        <v>1</v>
      </c>
      <c r="DH90" s="78" t="str">
        <f t="shared" si="108"/>
        <v>1</v>
      </c>
      <c r="DI90" s="79">
        <f>IFERROR(IF(J90="","",VLOOKUP(J90,Lists!$D$3:$E$13,2,FALSE)),1)</f>
        <v>0</v>
      </c>
      <c r="DJ90" s="79">
        <f>IFERROR(IF(K90="","",VLOOKUP(K90,Lists!$F$3:$G$14,2,FALSE)),1)</f>
        <v>0</v>
      </c>
      <c r="DK90" s="79" t="str">
        <f>IFERROR(IF(M90="","",VLOOKUP(M90,Lists!$AA$3:$AB$18,2,FALSE)),1)</f>
        <v/>
      </c>
      <c r="DL90" s="79" t="str">
        <f>IFERROR(IF(N90="","",VLOOKUP(N90,Lists!$AC$3:$AD$13,2,FALSE)),1)</f>
        <v/>
      </c>
    </row>
    <row r="91" spans="1:116" ht="15" customHeight="1" x14ac:dyDescent="0.2">
      <c r="A91" s="20">
        <v>423363</v>
      </c>
      <c r="B91" s="19">
        <v>45672</v>
      </c>
      <c r="C91" s="64">
        <v>0.35416666666666669</v>
      </c>
      <c r="D91" s="64" t="s">
        <v>1153</v>
      </c>
      <c r="E91" s="19">
        <v>45671</v>
      </c>
      <c r="F91" s="20">
        <v>1</v>
      </c>
      <c r="G91" s="18" t="s">
        <v>1108</v>
      </c>
      <c r="H91" s="65"/>
      <c r="I91" s="18" t="s">
        <v>1108</v>
      </c>
      <c r="J91" s="66"/>
      <c r="K91" s="66"/>
      <c r="L91" s="67"/>
      <c r="M91" s="68" t="s">
        <v>33</v>
      </c>
      <c r="N91" s="68" t="s">
        <v>420</v>
      </c>
      <c r="O91" s="69" t="s">
        <v>1230</v>
      </c>
      <c r="P91" s="134">
        <v>0.33819444444444446</v>
      </c>
      <c r="Q91" s="70"/>
      <c r="R91" s="134">
        <v>0.3659722222222222</v>
      </c>
      <c r="S91" s="70"/>
      <c r="T91" s="134">
        <v>0.4777777777777778</v>
      </c>
      <c r="U91" s="70"/>
      <c r="V91" s="134">
        <v>0.50208333333333333</v>
      </c>
      <c r="W91" s="70"/>
      <c r="X91" s="134">
        <v>0.50277777777777777</v>
      </c>
      <c r="Y91" s="70"/>
      <c r="Z91" s="134">
        <v>0.51041666666666663</v>
      </c>
      <c r="AA91" s="70" t="s">
        <v>1108</v>
      </c>
      <c r="AB91" s="19"/>
      <c r="AC91" s="20" t="s">
        <v>1108</v>
      </c>
      <c r="AD91" s="19"/>
      <c r="AE91" s="71">
        <f t="shared" si="73"/>
        <v>487</v>
      </c>
      <c r="AF91" s="71">
        <f t="shared" si="74"/>
        <v>723</v>
      </c>
      <c r="AG91" s="71">
        <f t="shared" si="75"/>
        <v>236</v>
      </c>
      <c r="AH91" s="71">
        <f t="shared" si="76"/>
        <v>236</v>
      </c>
      <c r="AI91" s="71" t="str">
        <f t="shared" si="77"/>
        <v/>
      </c>
      <c r="AJ91" s="71" t="str">
        <f t="shared" si="78"/>
        <v/>
      </c>
      <c r="AK91" s="71" t="str">
        <f t="shared" si="79"/>
        <v/>
      </c>
      <c r="AL91" s="71">
        <f t="shared" si="80"/>
        <v>236</v>
      </c>
      <c r="AM91" s="71">
        <f t="shared" si="81"/>
        <v>0</v>
      </c>
      <c r="AN91" s="72">
        <f t="shared" si="82"/>
        <v>1.1805555555555514E-2</v>
      </c>
      <c r="AO91" s="73">
        <f t="shared" si="83"/>
        <v>1</v>
      </c>
      <c r="AP91" s="72" t="str">
        <f t="shared" si="84"/>
        <v>No</v>
      </c>
      <c r="AQ91" s="72">
        <f t="shared" si="85"/>
        <v>7.6388888888888618E-3</v>
      </c>
      <c r="AR91" s="72" t="str">
        <f t="shared" si="86"/>
        <v/>
      </c>
      <c r="AS91" s="72" t="str">
        <f t="shared" si="87"/>
        <v/>
      </c>
      <c r="AT91" s="72" t="str">
        <f t="shared" si="88"/>
        <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89"/>
        <v>0</v>
      </c>
      <c r="CO91" s="78">
        <f t="shared" si="90"/>
        <v>0</v>
      </c>
      <c r="CP91" s="78">
        <f t="shared" si="91"/>
        <v>0</v>
      </c>
      <c r="CQ91" s="78">
        <f t="shared" si="92"/>
        <v>0</v>
      </c>
      <c r="CR91" s="78">
        <f t="shared" si="93"/>
        <v>0</v>
      </c>
      <c r="CS91" s="78">
        <f t="shared" si="94"/>
        <v>0</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0</v>
      </c>
      <c r="DC91" s="78">
        <f t="shared" si="103"/>
        <v>0</v>
      </c>
      <c r="DD91" s="78">
        <f t="shared" si="104"/>
        <v>0</v>
      </c>
      <c r="DE91" s="78">
        <f t="shared" si="105"/>
        <v>1</v>
      </c>
      <c r="DF91" s="78">
        <f t="shared" si="106"/>
        <v>1</v>
      </c>
      <c r="DG91" s="78" t="str">
        <f t="shared" si="107"/>
        <v>1</v>
      </c>
      <c r="DH91" s="78" t="str">
        <f t="shared" si="108"/>
        <v>1</v>
      </c>
      <c r="DI91" s="79" t="str">
        <f>IFERROR(IF(J91="","",VLOOKUP(J91,Lists!$D$3:$E$13,2,FALSE)),1)</f>
        <v/>
      </c>
      <c r="DJ91" s="79" t="str">
        <f>IFERROR(IF(K91="","",VLOOKUP(K91,Lists!$F$3:$G$14,2,FALSE)),1)</f>
        <v/>
      </c>
      <c r="DK91" s="79">
        <f>IFERROR(IF(M91="","",VLOOKUP(M91,Lists!$AA$3:$AB$18,2,FALSE)),1)</f>
        <v>0</v>
      </c>
      <c r="DL91" s="79">
        <f>IFERROR(IF(N91="","",VLOOKUP(N91,Lists!$AC$3:$AD$13,2,FALSE)),1)</f>
        <v>0</v>
      </c>
    </row>
    <row r="92" spans="1:116" ht="15" customHeight="1" x14ac:dyDescent="0.2">
      <c r="A92" s="20">
        <v>421998</v>
      </c>
      <c r="B92" s="19">
        <v>45672</v>
      </c>
      <c r="C92" s="64">
        <v>0.52083333333333337</v>
      </c>
      <c r="D92" s="64" t="s">
        <v>1130</v>
      </c>
      <c r="E92" s="19">
        <v>45672</v>
      </c>
      <c r="F92" s="20">
        <v>1</v>
      </c>
      <c r="G92" s="18" t="s">
        <v>1108</v>
      </c>
      <c r="H92" s="65"/>
      <c r="I92" s="18" t="s">
        <v>1121</v>
      </c>
      <c r="J92" s="66" t="s">
        <v>33</v>
      </c>
      <c r="K92" s="66" t="s">
        <v>420</v>
      </c>
      <c r="L92" s="67" t="s">
        <v>1131</v>
      </c>
      <c r="M92" s="68"/>
      <c r="N92" s="68"/>
      <c r="O92" s="69"/>
      <c r="P92" s="134">
        <v>0.51388888888888895</v>
      </c>
      <c r="Q92" s="70"/>
      <c r="R92" s="134">
        <v>0.52083333333333337</v>
      </c>
      <c r="S92" s="70"/>
      <c r="T92" s="134">
        <v>0.54166666666666663</v>
      </c>
      <c r="U92" s="70"/>
      <c r="V92" s="134">
        <v>0.54513888888888895</v>
      </c>
      <c r="W92" s="70"/>
      <c r="X92" s="134">
        <v>0.54583333333333328</v>
      </c>
      <c r="Y92" s="70"/>
      <c r="Z92" s="134">
        <v>0.55208333333333337</v>
      </c>
      <c r="AA92" s="70" t="s">
        <v>1121</v>
      </c>
      <c r="AB92" s="19">
        <v>45672</v>
      </c>
      <c r="AC92" s="20" t="s">
        <v>1108</v>
      </c>
      <c r="AD92" s="19"/>
      <c r="AE92" s="71">
        <f t="shared" si="73"/>
        <v>740</v>
      </c>
      <c r="AF92" s="71">
        <f t="shared" si="74"/>
        <v>785</v>
      </c>
      <c r="AG92" s="71">
        <f t="shared" si="75"/>
        <v>45</v>
      </c>
      <c r="AH92" s="71">
        <f t="shared" si="76"/>
        <v>45</v>
      </c>
      <c r="AI92" s="71" t="str">
        <f t="shared" si="77"/>
        <v/>
      </c>
      <c r="AJ92" s="71" t="str">
        <f t="shared" si="78"/>
        <v/>
      </c>
      <c r="AK92" s="71" t="str">
        <f t="shared" si="79"/>
        <v/>
      </c>
      <c r="AL92" s="71">
        <f t="shared" si="80"/>
        <v>45</v>
      </c>
      <c r="AM92" s="71">
        <f t="shared" si="81"/>
        <v>0</v>
      </c>
      <c r="AN92" s="72">
        <f t="shared" si="82"/>
        <v>0</v>
      </c>
      <c r="AO92" s="73">
        <f t="shared" si="83"/>
        <v>0</v>
      </c>
      <c r="AP92" s="72" t="str">
        <f t="shared" si="84"/>
        <v>Yes</v>
      </c>
      <c r="AQ92" s="72">
        <f t="shared" si="85"/>
        <v>6.2500000000000888E-3</v>
      </c>
      <c r="AR92" s="72" t="str">
        <f t="shared" si="86"/>
        <v>Yes</v>
      </c>
      <c r="AS92" s="72" t="str">
        <f t="shared" si="87"/>
        <v>No</v>
      </c>
      <c r="AT92" s="72" t="str">
        <f t="shared" si="88"/>
        <v>No</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89"/>
        <v>0</v>
      </c>
      <c r="CO92" s="78">
        <f t="shared" si="90"/>
        <v>0</v>
      </c>
      <c r="CP92" s="78">
        <f t="shared" si="91"/>
        <v>0</v>
      </c>
      <c r="CQ92" s="78">
        <f t="shared" si="92"/>
        <v>0</v>
      </c>
      <c r="CR92" s="78">
        <f t="shared" si="93"/>
        <v>0</v>
      </c>
      <c r="CS92" s="78">
        <f t="shared" si="94"/>
        <v>0</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1</v>
      </c>
      <c r="DC92" s="78">
        <f t="shared" si="103"/>
        <v>0</v>
      </c>
      <c r="DD92" s="78">
        <f t="shared" si="104"/>
        <v>0</v>
      </c>
      <c r="DE92" s="78">
        <f t="shared" si="105"/>
        <v>1</v>
      </c>
      <c r="DF92" s="78">
        <f t="shared" si="106"/>
        <v>1</v>
      </c>
      <c r="DG92" s="78">
        <f t="shared" si="107"/>
        <v>1</v>
      </c>
      <c r="DH92" s="78" t="str">
        <f t="shared" si="108"/>
        <v>1</v>
      </c>
      <c r="DI92" s="79">
        <f>IFERROR(IF(J92="","",VLOOKUP(J92,Lists!$D$3:$E$13,2,FALSE)),1)</f>
        <v>0</v>
      </c>
      <c r="DJ92" s="79">
        <f>IFERROR(IF(K92="","",VLOOKUP(K92,Lists!$F$3:$G$14,2,FALSE)),1)</f>
        <v>0</v>
      </c>
      <c r="DK92" s="79" t="str">
        <f>IFERROR(IF(M92="","",VLOOKUP(M92,Lists!$AA$3:$AB$18,2,FALSE)),1)</f>
        <v/>
      </c>
      <c r="DL92" s="79" t="str">
        <f>IFERROR(IF(N92="","",VLOOKUP(N92,Lists!$AC$3:$AD$13,2,FALSE)),1)</f>
        <v/>
      </c>
    </row>
    <row r="93" spans="1:116" ht="15" customHeight="1" x14ac:dyDescent="0.2">
      <c r="A93" s="20">
        <v>359951</v>
      </c>
      <c r="B93" s="19">
        <v>45672</v>
      </c>
      <c r="C93" s="64">
        <v>0.5625</v>
      </c>
      <c r="D93" s="64" t="s">
        <v>1130</v>
      </c>
      <c r="E93" s="19">
        <v>45672</v>
      </c>
      <c r="F93" s="20">
        <v>1</v>
      </c>
      <c r="G93" s="18" t="s">
        <v>1108</v>
      </c>
      <c r="H93" s="65"/>
      <c r="I93" s="18" t="s">
        <v>1121</v>
      </c>
      <c r="J93" s="66" t="s">
        <v>33</v>
      </c>
      <c r="K93" s="66" t="s">
        <v>420</v>
      </c>
      <c r="L93" s="67" t="s">
        <v>1131</v>
      </c>
      <c r="M93" s="68"/>
      <c r="N93" s="68"/>
      <c r="O93" s="69"/>
      <c r="P93" s="134">
        <v>0.55555555555555558</v>
      </c>
      <c r="Q93" s="70"/>
      <c r="R93" s="134">
        <v>0.56944444444444442</v>
      </c>
      <c r="S93" s="70"/>
      <c r="T93" s="134">
        <v>0.59722222222222221</v>
      </c>
      <c r="U93" s="70"/>
      <c r="V93" s="134">
        <v>0.60069444444444442</v>
      </c>
      <c r="W93" s="70"/>
      <c r="X93" s="134">
        <v>0.60138888888888886</v>
      </c>
      <c r="Y93" s="70"/>
      <c r="Z93" s="134">
        <v>0.60763888888888895</v>
      </c>
      <c r="AA93" s="70" t="s">
        <v>1121</v>
      </c>
      <c r="AB93" s="19">
        <v>45672</v>
      </c>
      <c r="AC93" s="20" t="s">
        <v>1108</v>
      </c>
      <c r="AD93" s="19"/>
      <c r="AE93" s="71">
        <f t="shared" si="73"/>
        <v>800</v>
      </c>
      <c r="AF93" s="71">
        <f t="shared" si="74"/>
        <v>865</v>
      </c>
      <c r="AG93" s="71">
        <f t="shared" si="75"/>
        <v>65</v>
      </c>
      <c r="AH93" s="71">
        <f t="shared" si="76"/>
        <v>65</v>
      </c>
      <c r="AI93" s="71" t="str">
        <f t="shared" si="77"/>
        <v/>
      </c>
      <c r="AJ93" s="71" t="str">
        <f t="shared" si="78"/>
        <v/>
      </c>
      <c r="AK93" s="71" t="str">
        <f t="shared" si="79"/>
        <v/>
      </c>
      <c r="AL93" s="71">
        <f t="shared" si="80"/>
        <v>65</v>
      </c>
      <c r="AM93" s="71">
        <f t="shared" si="81"/>
        <v>0</v>
      </c>
      <c r="AN93" s="72">
        <f t="shared" si="82"/>
        <v>6.9444444444444198E-3</v>
      </c>
      <c r="AO93" s="73">
        <f t="shared" si="83"/>
        <v>0</v>
      </c>
      <c r="AP93" s="72" t="str">
        <f t="shared" si="84"/>
        <v>Yes</v>
      </c>
      <c r="AQ93" s="72">
        <f t="shared" si="85"/>
        <v>6.2500000000000888E-3</v>
      </c>
      <c r="AR93" s="72" t="str">
        <f t="shared" si="86"/>
        <v>Yes</v>
      </c>
      <c r="AS93" s="72" t="str">
        <f t="shared" si="87"/>
        <v>No</v>
      </c>
      <c r="AT93" s="72" t="str">
        <f t="shared" si="88"/>
        <v>No</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89"/>
        <v>0</v>
      </c>
      <c r="CO93" s="78">
        <f t="shared" si="90"/>
        <v>0</v>
      </c>
      <c r="CP93" s="78">
        <f t="shared" si="91"/>
        <v>0</v>
      </c>
      <c r="CQ93" s="78">
        <f t="shared" si="92"/>
        <v>0</v>
      </c>
      <c r="CR93" s="78">
        <f t="shared" si="93"/>
        <v>0</v>
      </c>
      <c r="CS93" s="78">
        <f t="shared" si="94"/>
        <v>0</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1</v>
      </c>
      <c r="DC93" s="78">
        <f t="shared" si="103"/>
        <v>0</v>
      </c>
      <c r="DD93" s="78">
        <f t="shared" si="104"/>
        <v>0</v>
      </c>
      <c r="DE93" s="78">
        <f t="shared" si="105"/>
        <v>1</v>
      </c>
      <c r="DF93" s="78">
        <f t="shared" si="106"/>
        <v>1</v>
      </c>
      <c r="DG93" s="78">
        <f t="shared" si="107"/>
        <v>1</v>
      </c>
      <c r="DH93" s="78" t="str">
        <f t="shared" si="108"/>
        <v>1</v>
      </c>
      <c r="DI93" s="79">
        <f>IFERROR(IF(J93="","",VLOOKUP(J93,Lists!$D$3:$E$13,2,FALSE)),1)</f>
        <v>0</v>
      </c>
      <c r="DJ93" s="79">
        <f>IFERROR(IF(K93="","",VLOOKUP(K93,Lists!$F$3:$G$14,2,FALSE)),1)</f>
        <v>0</v>
      </c>
      <c r="DK93" s="79" t="str">
        <f>IFERROR(IF(M93="","",VLOOKUP(M93,Lists!$AA$3:$AB$18,2,FALSE)),1)</f>
        <v/>
      </c>
      <c r="DL93" s="79" t="str">
        <f>IFERROR(IF(N93="","",VLOOKUP(N93,Lists!$AC$3:$AD$13,2,FALSE)),1)</f>
        <v/>
      </c>
    </row>
    <row r="94" spans="1:116" ht="15" customHeight="1" x14ac:dyDescent="0.2">
      <c r="A94" s="20">
        <v>414807</v>
      </c>
      <c r="B94" s="19">
        <v>45672</v>
      </c>
      <c r="C94" s="64">
        <v>0.625</v>
      </c>
      <c r="D94" s="64" t="s">
        <v>1130</v>
      </c>
      <c r="E94" s="19">
        <v>45672</v>
      </c>
      <c r="F94" s="20">
        <v>1</v>
      </c>
      <c r="G94" s="18" t="s">
        <v>1108</v>
      </c>
      <c r="H94" s="65"/>
      <c r="I94" s="18" t="s">
        <v>1121</v>
      </c>
      <c r="J94" s="66" t="s">
        <v>33</v>
      </c>
      <c r="K94" s="66" t="s">
        <v>420</v>
      </c>
      <c r="L94" s="67" t="s">
        <v>1131</v>
      </c>
      <c r="M94" s="68"/>
      <c r="N94" s="68"/>
      <c r="O94" s="69"/>
      <c r="P94" s="134">
        <v>0.625</v>
      </c>
      <c r="Q94" s="70"/>
      <c r="R94" s="134">
        <v>0.63194444444444442</v>
      </c>
      <c r="S94" s="70"/>
      <c r="T94" s="134">
        <v>0.65277777777777779</v>
      </c>
      <c r="U94" s="70"/>
      <c r="V94" s="134">
        <v>0.66319444444444442</v>
      </c>
      <c r="W94" s="70"/>
      <c r="X94" s="134">
        <v>0.66388888888888886</v>
      </c>
      <c r="Y94" s="70"/>
      <c r="Z94" s="134">
        <v>0.67361111111111116</v>
      </c>
      <c r="AA94" s="70" t="s">
        <v>1121</v>
      </c>
      <c r="AB94" s="19">
        <v>45672</v>
      </c>
      <c r="AC94" s="20" t="s">
        <v>1108</v>
      </c>
      <c r="AD94" s="19"/>
      <c r="AE94" s="71">
        <f t="shared" si="73"/>
        <v>900</v>
      </c>
      <c r="AF94" s="71">
        <f t="shared" si="74"/>
        <v>955</v>
      </c>
      <c r="AG94" s="71">
        <f t="shared" si="75"/>
        <v>55</v>
      </c>
      <c r="AH94" s="71">
        <f t="shared" si="76"/>
        <v>55</v>
      </c>
      <c r="AI94" s="71" t="str">
        <f t="shared" si="77"/>
        <v/>
      </c>
      <c r="AJ94" s="71" t="str">
        <f t="shared" si="78"/>
        <v/>
      </c>
      <c r="AK94" s="71" t="str">
        <f t="shared" si="79"/>
        <v/>
      </c>
      <c r="AL94" s="71">
        <f t="shared" si="80"/>
        <v>55</v>
      </c>
      <c r="AM94" s="71">
        <f t="shared" si="81"/>
        <v>0</v>
      </c>
      <c r="AN94" s="72">
        <f t="shared" si="82"/>
        <v>6.9444444444444198E-3</v>
      </c>
      <c r="AO94" s="73">
        <f t="shared" si="83"/>
        <v>0</v>
      </c>
      <c r="AP94" s="72" t="str">
        <f t="shared" si="84"/>
        <v>Yes</v>
      </c>
      <c r="AQ94" s="72">
        <f t="shared" si="85"/>
        <v>9.7222222222222987E-3</v>
      </c>
      <c r="AR94" s="72" t="str">
        <f t="shared" si="86"/>
        <v>Yes</v>
      </c>
      <c r="AS94" s="72" t="str">
        <f t="shared" si="87"/>
        <v>No</v>
      </c>
      <c r="AT94" s="72" t="str">
        <f t="shared" si="88"/>
        <v>No</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89"/>
        <v>0</v>
      </c>
      <c r="CO94" s="78">
        <f t="shared" si="90"/>
        <v>0</v>
      </c>
      <c r="CP94" s="78">
        <f t="shared" si="91"/>
        <v>0</v>
      </c>
      <c r="CQ94" s="78">
        <f t="shared" si="92"/>
        <v>0</v>
      </c>
      <c r="CR94" s="78">
        <f t="shared" si="93"/>
        <v>0</v>
      </c>
      <c r="CS94" s="78">
        <f t="shared" si="94"/>
        <v>0</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1</v>
      </c>
      <c r="DC94" s="78">
        <f t="shared" si="103"/>
        <v>0</v>
      </c>
      <c r="DD94" s="78">
        <f t="shared" si="104"/>
        <v>0</v>
      </c>
      <c r="DE94" s="78">
        <f t="shared" si="105"/>
        <v>1</v>
      </c>
      <c r="DF94" s="78">
        <f t="shared" si="106"/>
        <v>1</v>
      </c>
      <c r="DG94" s="78">
        <f t="shared" si="107"/>
        <v>1</v>
      </c>
      <c r="DH94" s="78" t="str">
        <f t="shared" si="108"/>
        <v>1</v>
      </c>
      <c r="DI94" s="79">
        <f>IFERROR(IF(J94="","",VLOOKUP(J94,Lists!$D$3:$E$13,2,FALSE)),1)</f>
        <v>0</v>
      </c>
      <c r="DJ94" s="79">
        <f>IFERROR(IF(K94="","",VLOOKUP(K94,Lists!$F$3:$G$14,2,FALSE)),1)</f>
        <v>0</v>
      </c>
      <c r="DK94" s="79" t="str">
        <f>IFERROR(IF(M94="","",VLOOKUP(M94,Lists!$AA$3:$AB$18,2,FALSE)),1)</f>
        <v/>
      </c>
      <c r="DL94" s="79" t="str">
        <f>IFERROR(IF(N94="","",VLOOKUP(N94,Lists!$AC$3:$AD$13,2,FALSE)),1)</f>
        <v/>
      </c>
    </row>
    <row r="95" spans="1:116" ht="15" customHeight="1" x14ac:dyDescent="0.2">
      <c r="A95" s="20">
        <v>420486</v>
      </c>
      <c r="B95" s="19">
        <v>45672</v>
      </c>
      <c r="C95" s="64">
        <v>0.35416666666666669</v>
      </c>
      <c r="D95" s="64" t="s">
        <v>1119</v>
      </c>
      <c r="E95" s="19">
        <v>45672</v>
      </c>
      <c r="F95" s="20">
        <v>2</v>
      </c>
      <c r="G95" s="18" t="s">
        <v>1108</v>
      </c>
      <c r="H95" s="65"/>
      <c r="I95" s="18" t="s">
        <v>1121</v>
      </c>
      <c r="J95" s="66" t="s">
        <v>42</v>
      </c>
      <c r="K95" s="66" t="s">
        <v>420</v>
      </c>
      <c r="L95" s="67" t="s">
        <v>1145</v>
      </c>
      <c r="M95" s="68"/>
      <c r="N95" s="68"/>
      <c r="O95" s="69"/>
      <c r="P95" s="134">
        <v>0.34722222222222227</v>
      </c>
      <c r="Q95" s="70"/>
      <c r="R95" s="134">
        <v>0.3576388888888889</v>
      </c>
      <c r="S95" s="70"/>
      <c r="T95" s="134">
        <v>0.36805555555555558</v>
      </c>
      <c r="U95" s="70"/>
      <c r="V95" s="134">
        <v>0.37222222222222223</v>
      </c>
      <c r="W95" s="70"/>
      <c r="X95" s="134">
        <v>0.37291666666666662</v>
      </c>
      <c r="Y95" s="70"/>
      <c r="Z95" s="134">
        <v>0.37847222222222227</v>
      </c>
      <c r="AA95" s="70" t="s">
        <v>1121</v>
      </c>
      <c r="AB95" s="19">
        <v>45672</v>
      </c>
      <c r="AC95" s="20" t="s">
        <v>1108</v>
      </c>
      <c r="AD95" s="19"/>
      <c r="AE95" s="71">
        <f t="shared" si="73"/>
        <v>500</v>
      </c>
      <c r="AF95" s="71">
        <f t="shared" si="74"/>
        <v>536</v>
      </c>
      <c r="AG95" s="71">
        <f t="shared" si="75"/>
        <v>36</v>
      </c>
      <c r="AH95" s="71">
        <f t="shared" si="76"/>
        <v>36</v>
      </c>
      <c r="AI95" s="71" t="str">
        <f t="shared" si="77"/>
        <v/>
      </c>
      <c r="AJ95" s="71" t="str">
        <f t="shared" si="78"/>
        <v/>
      </c>
      <c r="AK95" s="71" t="str">
        <f t="shared" si="79"/>
        <v/>
      </c>
      <c r="AL95" s="71">
        <f t="shared" si="80"/>
        <v>36</v>
      </c>
      <c r="AM95" s="71">
        <f t="shared" si="81"/>
        <v>0</v>
      </c>
      <c r="AN95" s="72">
        <f t="shared" si="82"/>
        <v>3.4722222222222099E-3</v>
      </c>
      <c r="AO95" s="73">
        <f t="shared" si="83"/>
        <v>0</v>
      </c>
      <c r="AP95" s="72" t="str">
        <f t="shared" si="84"/>
        <v>Yes</v>
      </c>
      <c r="AQ95" s="72">
        <f t="shared" si="85"/>
        <v>5.5555555555556468E-3</v>
      </c>
      <c r="AR95" s="72" t="str">
        <f t="shared" si="86"/>
        <v>Yes</v>
      </c>
      <c r="AS95" s="72" t="str">
        <f t="shared" si="87"/>
        <v>No</v>
      </c>
      <c r="AT95" s="72" t="str">
        <f t="shared" si="88"/>
        <v>No</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89"/>
        <v>0</v>
      </c>
      <c r="CO95" s="78">
        <f t="shared" si="90"/>
        <v>0</v>
      </c>
      <c r="CP95" s="78">
        <f t="shared" si="91"/>
        <v>0</v>
      </c>
      <c r="CQ95" s="78">
        <f t="shared" si="92"/>
        <v>0</v>
      </c>
      <c r="CR95" s="78">
        <f t="shared" si="93"/>
        <v>0</v>
      </c>
      <c r="CS95" s="78">
        <f t="shared" si="94"/>
        <v>0</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0</v>
      </c>
      <c r="DC95" s="78">
        <f t="shared" si="103"/>
        <v>0</v>
      </c>
      <c r="DD95" s="78">
        <f t="shared" si="104"/>
        <v>0</v>
      </c>
      <c r="DE95" s="78">
        <f t="shared" si="105"/>
        <v>1</v>
      </c>
      <c r="DF95" s="78">
        <f t="shared" si="106"/>
        <v>1</v>
      </c>
      <c r="DG95" s="78">
        <f t="shared" si="107"/>
        <v>1</v>
      </c>
      <c r="DH95" s="78" t="str">
        <f t="shared" si="108"/>
        <v>1</v>
      </c>
      <c r="DI95" s="79">
        <f>IFERROR(IF(J95="","",VLOOKUP(J95,Lists!$D$3:$E$13,2,FALSE)),1)</f>
        <v>0</v>
      </c>
      <c r="DJ95" s="79">
        <f>IFERROR(IF(K95="","",VLOOKUP(K95,Lists!$F$3:$G$14,2,FALSE)),1)</f>
        <v>0</v>
      </c>
      <c r="DK95" s="79" t="str">
        <f>IFERROR(IF(M95="","",VLOOKUP(M95,Lists!$AA$3:$AB$18,2,FALSE)),1)</f>
        <v/>
      </c>
      <c r="DL95" s="79" t="str">
        <f>IFERROR(IF(N95="","",VLOOKUP(N95,Lists!$AC$3:$AD$13,2,FALSE)),1)</f>
        <v/>
      </c>
    </row>
    <row r="96" spans="1:116" ht="15" customHeight="1" x14ac:dyDescent="0.2">
      <c r="A96" s="20">
        <v>418371</v>
      </c>
      <c r="B96" s="19">
        <v>45672</v>
      </c>
      <c r="C96" s="64">
        <v>0.39583333333333331</v>
      </c>
      <c r="D96" s="64" t="s">
        <v>1119</v>
      </c>
      <c r="E96" s="19">
        <v>45672</v>
      </c>
      <c r="F96" s="20">
        <v>2</v>
      </c>
      <c r="G96" s="18" t="s">
        <v>1108</v>
      </c>
      <c r="H96" s="65"/>
      <c r="I96" s="18" t="s">
        <v>1121</v>
      </c>
      <c r="J96" s="66" t="s">
        <v>42</v>
      </c>
      <c r="K96" s="66" t="s">
        <v>420</v>
      </c>
      <c r="L96" s="67" t="s">
        <v>1145</v>
      </c>
      <c r="M96" s="68"/>
      <c r="N96" s="68"/>
      <c r="O96" s="69"/>
      <c r="P96" s="134">
        <v>0.38194444444444442</v>
      </c>
      <c r="Q96" s="70"/>
      <c r="R96" s="134">
        <v>0.38541666666666669</v>
      </c>
      <c r="S96" s="70"/>
      <c r="T96" s="134">
        <v>0.39583333333333331</v>
      </c>
      <c r="U96" s="70"/>
      <c r="V96" s="134">
        <v>0.40277777777777773</v>
      </c>
      <c r="W96" s="70"/>
      <c r="X96" s="134">
        <v>0.40347222222222223</v>
      </c>
      <c r="Y96" s="70"/>
      <c r="Z96" s="134">
        <v>0.40972222222222227</v>
      </c>
      <c r="AA96" s="70" t="s">
        <v>1121</v>
      </c>
      <c r="AB96" s="19">
        <v>45672</v>
      </c>
      <c r="AC96" s="20" t="s">
        <v>1108</v>
      </c>
      <c r="AD96" s="19"/>
      <c r="AE96" s="71">
        <f t="shared" si="73"/>
        <v>550</v>
      </c>
      <c r="AF96" s="71">
        <f t="shared" si="74"/>
        <v>580</v>
      </c>
      <c r="AG96" s="71">
        <f t="shared" si="75"/>
        <v>30</v>
      </c>
      <c r="AH96" s="71">
        <f t="shared" si="76"/>
        <v>30</v>
      </c>
      <c r="AI96" s="71" t="str">
        <f t="shared" si="77"/>
        <v/>
      </c>
      <c r="AJ96" s="71" t="str">
        <f t="shared" si="78"/>
        <v/>
      </c>
      <c r="AK96" s="71" t="str">
        <f t="shared" si="79"/>
        <v/>
      </c>
      <c r="AL96" s="71">
        <f t="shared" si="80"/>
        <v>30</v>
      </c>
      <c r="AM96" s="71">
        <f t="shared" si="81"/>
        <v>0</v>
      </c>
      <c r="AN96" s="72">
        <f t="shared" si="82"/>
        <v>0</v>
      </c>
      <c r="AO96" s="73">
        <f t="shared" si="83"/>
        <v>0</v>
      </c>
      <c r="AP96" s="72" t="str">
        <f t="shared" si="84"/>
        <v>Yes</v>
      </c>
      <c r="AQ96" s="72">
        <f t="shared" si="85"/>
        <v>6.2500000000000333E-3</v>
      </c>
      <c r="AR96" s="72" t="str">
        <f t="shared" si="86"/>
        <v>Yes</v>
      </c>
      <c r="AS96" s="72" t="str">
        <f t="shared" si="87"/>
        <v>No</v>
      </c>
      <c r="AT96" s="72" t="str">
        <f t="shared" si="88"/>
        <v>No</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89"/>
        <v>0</v>
      </c>
      <c r="CO96" s="78">
        <f t="shared" si="90"/>
        <v>0</v>
      </c>
      <c r="CP96" s="78">
        <f t="shared" si="91"/>
        <v>0</v>
      </c>
      <c r="CQ96" s="78">
        <f t="shared" si="92"/>
        <v>0</v>
      </c>
      <c r="CR96" s="78">
        <f t="shared" si="93"/>
        <v>0</v>
      </c>
      <c r="CS96" s="78">
        <f t="shared" si="94"/>
        <v>0</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0</v>
      </c>
      <c r="DC96" s="78">
        <f t="shared" si="103"/>
        <v>0</v>
      </c>
      <c r="DD96" s="78">
        <f t="shared" si="104"/>
        <v>0</v>
      </c>
      <c r="DE96" s="78">
        <f t="shared" si="105"/>
        <v>1</v>
      </c>
      <c r="DF96" s="78">
        <f t="shared" si="106"/>
        <v>1</v>
      </c>
      <c r="DG96" s="78">
        <f t="shared" si="107"/>
        <v>1</v>
      </c>
      <c r="DH96" s="78" t="str">
        <f t="shared" si="108"/>
        <v>1</v>
      </c>
      <c r="DI96" s="79">
        <f>IFERROR(IF(J96="","",VLOOKUP(J96,Lists!$D$3:$E$13,2,FALSE)),1)</f>
        <v>0</v>
      </c>
      <c r="DJ96" s="79">
        <f>IFERROR(IF(K96="","",VLOOKUP(K96,Lists!$F$3:$G$14,2,FALSE)),1)</f>
        <v>0</v>
      </c>
      <c r="DK96" s="79" t="str">
        <f>IFERROR(IF(M96="","",VLOOKUP(M96,Lists!$AA$3:$AB$18,2,FALSE)),1)</f>
        <v/>
      </c>
      <c r="DL96" s="79" t="str">
        <f>IFERROR(IF(N96="","",VLOOKUP(N96,Lists!$AC$3:$AD$13,2,FALSE)),1)</f>
        <v/>
      </c>
    </row>
    <row r="97" spans="1:116" ht="15" customHeight="1" x14ac:dyDescent="0.2">
      <c r="A97" s="20">
        <v>423332</v>
      </c>
      <c r="B97" s="19">
        <v>45672</v>
      </c>
      <c r="C97" s="64">
        <v>0.41666666666666669</v>
      </c>
      <c r="D97" s="64" t="s">
        <v>1119</v>
      </c>
      <c r="E97" s="19">
        <v>45670</v>
      </c>
      <c r="F97" s="20">
        <v>2</v>
      </c>
      <c r="G97" s="18" t="s">
        <v>1108</v>
      </c>
      <c r="H97" s="65"/>
      <c r="I97" s="18" t="s">
        <v>1108</v>
      </c>
      <c r="J97" s="66"/>
      <c r="K97" s="66"/>
      <c r="L97" s="67"/>
      <c r="M97" s="68" t="s">
        <v>42</v>
      </c>
      <c r="N97" s="68" t="s">
        <v>420</v>
      </c>
      <c r="O97" s="69" t="s">
        <v>1145</v>
      </c>
      <c r="P97" s="134">
        <v>0.41666666666666669</v>
      </c>
      <c r="Q97" s="70"/>
      <c r="R97" s="134">
        <v>0.43055555555555558</v>
      </c>
      <c r="S97" s="70"/>
      <c r="T97" s="134">
        <v>0.44097222222222227</v>
      </c>
      <c r="U97" s="70"/>
      <c r="V97" s="134">
        <v>0.44513888888888892</v>
      </c>
      <c r="W97" s="70"/>
      <c r="X97" s="134">
        <v>0.4458333333333333</v>
      </c>
      <c r="Y97" s="70"/>
      <c r="Z97" s="134">
        <v>0.4513888888888889</v>
      </c>
      <c r="AA97" s="70" t="s">
        <v>1121</v>
      </c>
      <c r="AB97" s="19">
        <v>45672</v>
      </c>
      <c r="AC97" s="20" t="s">
        <v>1108</v>
      </c>
      <c r="AD97" s="19"/>
      <c r="AE97" s="71">
        <f t="shared" si="73"/>
        <v>600</v>
      </c>
      <c r="AF97" s="71">
        <f t="shared" si="74"/>
        <v>641</v>
      </c>
      <c r="AG97" s="71">
        <f t="shared" si="75"/>
        <v>41</v>
      </c>
      <c r="AH97" s="71">
        <f t="shared" si="76"/>
        <v>41</v>
      </c>
      <c r="AI97" s="71" t="str">
        <f t="shared" si="77"/>
        <v/>
      </c>
      <c r="AJ97" s="71" t="str">
        <f t="shared" si="78"/>
        <v/>
      </c>
      <c r="AK97" s="71" t="str">
        <f t="shared" si="79"/>
        <v/>
      </c>
      <c r="AL97" s="71">
        <f t="shared" si="80"/>
        <v>41</v>
      </c>
      <c r="AM97" s="71">
        <f t="shared" si="81"/>
        <v>0</v>
      </c>
      <c r="AN97" s="72">
        <f t="shared" si="82"/>
        <v>1.3888888888888895E-2</v>
      </c>
      <c r="AO97" s="73">
        <f t="shared" si="83"/>
        <v>2</v>
      </c>
      <c r="AP97" s="72" t="str">
        <f t="shared" si="84"/>
        <v>No</v>
      </c>
      <c r="AQ97" s="72">
        <f t="shared" si="85"/>
        <v>5.5555555555555913E-3</v>
      </c>
      <c r="AR97" s="72" t="str">
        <f t="shared" si="86"/>
        <v/>
      </c>
      <c r="AS97" s="72" t="str">
        <f t="shared" si="87"/>
        <v/>
      </c>
      <c r="AT97" s="72" t="str">
        <f t="shared" si="88"/>
        <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89"/>
        <v>0</v>
      </c>
      <c r="CO97" s="78">
        <f t="shared" si="90"/>
        <v>0</v>
      </c>
      <c r="CP97" s="78">
        <f t="shared" si="91"/>
        <v>0</v>
      </c>
      <c r="CQ97" s="78">
        <f t="shared" si="92"/>
        <v>0</v>
      </c>
      <c r="CR97" s="78">
        <f t="shared" si="93"/>
        <v>0</v>
      </c>
      <c r="CS97" s="78">
        <f t="shared" si="94"/>
        <v>0</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0</v>
      </c>
      <c r="DC97" s="78">
        <f t="shared" si="103"/>
        <v>0</v>
      </c>
      <c r="DD97" s="78">
        <f t="shared" si="104"/>
        <v>0</v>
      </c>
      <c r="DE97" s="78">
        <f t="shared" si="105"/>
        <v>1</v>
      </c>
      <c r="DF97" s="78">
        <f t="shared" si="106"/>
        <v>1</v>
      </c>
      <c r="DG97" s="78">
        <f t="shared" si="107"/>
        <v>1</v>
      </c>
      <c r="DH97" s="78" t="str">
        <f t="shared" si="108"/>
        <v>1</v>
      </c>
      <c r="DI97" s="79" t="str">
        <f>IFERROR(IF(J97="","",VLOOKUP(J97,Lists!$D$3:$E$13,2,FALSE)),1)</f>
        <v/>
      </c>
      <c r="DJ97" s="79" t="str">
        <f>IFERROR(IF(K97="","",VLOOKUP(K97,Lists!$F$3:$G$14,2,FALSE)),1)</f>
        <v/>
      </c>
      <c r="DK97" s="79">
        <f>IFERROR(IF(M97="","",VLOOKUP(M97,Lists!$AA$3:$AB$18,2,FALSE)),1)</f>
        <v>0</v>
      </c>
      <c r="DL97" s="79">
        <f>IFERROR(IF(N97="","",VLOOKUP(N97,Lists!$AC$3:$AD$13,2,FALSE)),1)</f>
        <v>0</v>
      </c>
    </row>
    <row r="98" spans="1:116" ht="15" customHeight="1" x14ac:dyDescent="0.25">
      <c r="A98" s="20">
        <v>423526</v>
      </c>
      <c r="B98" s="19">
        <v>45672</v>
      </c>
      <c r="C98" s="64">
        <v>0.47916666666666669</v>
      </c>
      <c r="D98" s="64" t="s">
        <v>1119</v>
      </c>
      <c r="E98" s="19">
        <v>45671</v>
      </c>
      <c r="F98" s="20">
        <v>2</v>
      </c>
      <c r="G98" s="18" t="s">
        <v>1108</v>
      </c>
      <c r="H98" s="65"/>
      <c r="I98" s="18" t="s">
        <v>1108</v>
      </c>
      <c r="J98" s="66"/>
      <c r="K98" s="66"/>
      <c r="L98" s="67"/>
      <c r="M98" s="68" t="s">
        <v>42</v>
      </c>
      <c r="N98" s="68" t="s">
        <v>420</v>
      </c>
      <c r="O98" s="69" t="s">
        <v>1145</v>
      </c>
      <c r="P98" s="134">
        <v>0.47222222222222227</v>
      </c>
      <c r="Q98" s="70"/>
      <c r="R98" s="134">
        <v>0.47916666666666669</v>
      </c>
      <c r="S98" s="70"/>
      <c r="T98" s="134">
        <v>0.49305555555555558</v>
      </c>
      <c r="U98" s="70"/>
      <c r="V98" s="134">
        <v>0.51041666666666663</v>
      </c>
      <c r="W98" s="70"/>
      <c r="X98" s="134">
        <v>0.51111111111111118</v>
      </c>
      <c r="Y98" s="70"/>
      <c r="Z98" s="134">
        <v>0.51736111111111105</v>
      </c>
      <c r="AA98" s="70" t="s">
        <v>1121</v>
      </c>
      <c r="AB98" s="19">
        <v>45673</v>
      </c>
      <c r="AC98" s="20" t="s">
        <v>1108</v>
      </c>
      <c r="AD98" s="19"/>
      <c r="AE98" s="71">
        <f t="shared" si="73"/>
        <v>680</v>
      </c>
      <c r="AF98" s="71">
        <f t="shared" si="74"/>
        <v>735</v>
      </c>
      <c r="AG98" s="71">
        <f t="shared" si="75"/>
        <v>55</v>
      </c>
      <c r="AH98" s="71">
        <f t="shared" si="76"/>
        <v>55</v>
      </c>
      <c r="AI98" s="71" t="str">
        <f t="shared" si="77"/>
        <v/>
      </c>
      <c r="AJ98" s="71" t="str">
        <f t="shared" si="78"/>
        <v/>
      </c>
      <c r="AK98" s="71" t="str">
        <f t="shared" si="79"/>
        <v/>
      </c>
      <c r="AL98" s="71">
        <f t="shared" si="80"/>
        <v>55</v>
      </c>
      <c r="AM98" s="71">
        <f t="shared" si="81"/>
        <v>0</v>
      </c>
      <c r="AN98" s="72">
        <f t="shared" si="82"/>
        <v>0</v>
      </c>
      <c r="AO98" s="73">
        <f t="shared" si="83"/>
        <v>1</v>
      </c>
      <c r="AP98" s="72" t="str">
        <f t="shared" si="84"/>
        <v>Yes</v>
      </c>
      <c r="AQ98" s="72">
        <f t="shared" si="85"/>
        <v>6.2499999999998668E-3</v>
      </c>
      <c r="AR98" s="72" t="str">
        <f t="shared" si="86"/>
        <v/>
      </c>
      <c r="AS98" s="72" t="str">
        <f t="shared" si="87"/>
        <v/>
      </c>
      <c r="AT98" s="72" t="str">
        <f t="shared" si="88"/>
        <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89"/>
        <v>0</v>
      </c>
      <c r="CO98" s="78">
        <f t="shared" si="90"/>
        <v>0</v>
      </c>
      <c r="CP98" s="78">
        <f t="shared" si="91"/>
        <v>0</v>
      </c>
      <c r="CQ98" s="78">
        <f t="shared" si="92"/>
        <v>0</v>
      </c>
      <c r="CR98" s="78">
        <f t="shared" si="93"/>
        <v>0</v>
      </c>
      <c r="CS98" s="78">
        <f t="shared" si="94"/>
        <v>0</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0</v>
      </c>
      <c r="DB98" s="78">
        <f t="shared" si="102"/>
        <v>0</v>
      </c>
      <c r="DC98" s="78">
        <f t="shared" si="103"/>
        <v>0</v>
      </c>
      <c r="DD98" s="78">
        <f t="shared" si="104"/>
        <v>0</v>
      </c>
      <c r="DE98" s="78">
        <f t="shared" si="105"/>
        <v>1</v>
      </c>
      <c r="DF98" s="78">
        <f t="shared" si="106"/>
        <v>1</v>
      </c>
      <c r="DG98" s="78">
        <f t="shared" si="107"/>
        <v>1</v>
      </c>
      <c r="DH98" s="78" t="str">
        <f t="shared" si="108"/>
        <v>1</v>
      </c>
      <c r="DI98" s="79" t="str">
        <f>IFERROR(IF(J98="","",VLOOKUP(J98,Lists!$D$3:$E$13,2,FALSE)),1)</f>
        <v/>
      </c>
      <c r="DJ98" s="79" t="str">
        <f>IFERROR(IF(K98="","",VLOOKUP(K98,Lists!$F$3:$G$14,2,FALSE)),1)</f>
        <v/>
      </c>
      <c r="DK98" s="79">
        <f>IFERROR(IF(M98="","",VLOOKUP(M98,Lists!$AA$3:$AB$18,2,FALSE)),1)</f>
        <v>0</v>
      </c>
      <c r="DL98" s="79">
        <f>IFERROR(IF(N98="","",VLOOKUP(N98,Lists!$AC$3:$AD$13,2,FALSE)),1)</f>
        <v>0</v>
      </c>
    </row>
    <row r="99" spans="1:116" ht="15" customHeight="1" x14ac:dyDescent="0.2">
      <c r="A99" s="20">
        <v>423325</v>
      </c>
      <c r="B99" s="19">
        <v>45672</v>
      </c>
      <c r="C99" s="64">
        <v>0.54166666666666663</v>
      </c>
      <c r="D99" s="64" t="s">
        <v>1119</v>
      </c>
      <c r="E99" s="19">
        <v>45669</v>
      </c>
      <c r="F99" s="20">
        <v>2</v>
      </c>
      <c r="G99" s="18" t="s">
        <v>1108</v>
      </c>
      <c r="H99" s="65"/>
      <c r="I99" s="18" t="s">
        <v>1108</v>
      </c>
      <c r="J99" s="66"/>
      <c r="K99" s="66"/>
      <c r="L99" s="67"/>
      <c r="M99" s="68" t="s">
        <v>42</v>
      </c>
      <c r="N99" s="68" t="s">
        <v>420</v>
      </c>
      <c r="O99" s="69" t="s">
        <v>1145</v>
      </c>
      <c r="P99" s="134">
        <v>0.54166666666666663</v>
      </c>
      <c r="Q99" s="70"/>
      <c r="R99" s="134">
        <v>0.55208333333333337</v>
      </c>
      <c r="S99" s="70"/>
      <c r="T99" s="134">
        <v>0.57291666666666663</v>
      </c>
      <c r="U99" s="70"/>
      <c r="V99" s="134">
        <v>0.58333333333333337</v>
      </c>
      <c r="W99" s="70"/>
      <c r="X99" s="134">
        <v>0.58402777777777781</v>
      </c>
      <c r="Y99" s="70"/>
      <c r="Z99" s="134">
        <v>0.59027777777777779</v>
      </c>
      <c r="AA99" s="70" t="s">
        <v>1108</v>
      </c>
      <c r="AB99" s="19"/>
      <c r="AC99" s="20" t="s">
        <v>1108</v>
      </c>
      <c r="AD99" s="19"/>
      <c r="AE99" s="71">
        <f t="shared" si="73"/>
        <v>780</v>
      </c>
      <c r="AF99" s="71">
        <f t="shared" si="74"/>
        <v>840</v>
      </c>
      <c r="AG99" s="71">
        <f t="shared" si="75"/>
        <v>60</v>
      </c>
      <c r="AH99" s="71">
        <f t="shared" si="76"/>
        <v>60</v>
      </c>
      <c r="AI99" s="71" t="str">
        <f t="shared" si="77"/>
        <v/>
      </c>
      <c r="AJ99" s="71" t="str">
        <f t="shared" si="78"/>
        <v/>
      </c>
      <c r="AK99" s="71" t="str">
        <f t="shared" si="79"/>
        <v/>
      </c>
      <c r="AL99" s="71">
        <f t="shared" si="80"/>
        <v>60</v>
      </c>
      <c r="AM99" s="71">
        <f t="shared" si="81"/>
        <v>0</v>
      </c>
      <c r="AN99" s="72">
        <f t="shared" si="82"/>
        <v>1.0416666666666741E-2</v>
      </c>
      <c r="AO99" s="73">
        <f t="shared" si="83"/>
        <v>3</v>
      </c>
      <c r="AP99" s="72" t="str">
        <f t="shared" si="84"/>
        <v>Yes</v>
      </c>
      <c r="AQ99" s="72">
        <f t="shared" si="85"/>
        <v>6.2499999999999778E-3</v>
      </c>
      <c r="AR99" s="72" t="str">
        <f t="shared" si="86"/>
        <v/>
      </c>
      <c r="AS99" s="72" t="str">
        <f t="shared" si="87"/>
        <v/>
      </c>
      <c r="AT99" s="72" t="str">
        <f t="shared" si="88"/>
        <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89"/>
        <v>0</v>
      </c>
      <c r="CO99" s="78">
        <f t="shared" si="90"/>
        <v>0</v>
      </c>
      <c r="CP99" s="78">
        <f t="shared" si="91"/>
        <v>0</v>
      </c>
      <c r="CQ99" s="78">
        <f t="shared" si="92"/>
        <v>0</v>
      </c>
      <c r="CR99" s="78">
        <f t="shared" si="93"/>
        <v>0</v>
      </c>
      <c r="CS99" s="78">
        <f t="shared" si="94"/>
        <v>0</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0</v>
      </c>
      <c r="DB99" s="78">
        <f t="shared" si="102"/>
        <v>1</v>
      </c>
      <c r="DC99" s="78">
        <f t="shared" si="103"/>
        <v>0</v>
      </c>
      <c r="DD99" s="78">
        <f t="shared" si="104"/>
        <v>0</v>
      </c>
      <c r="DE99" s="78">
        <f t="shared" si="105"/>
        <v>1</v>
      </c>
      <c r="DF99" s="78">
        <f t="shared" si="106"/>
        <v>1</v>
      </c>
      <c r="DG99" s="78" t="str">
        <f t="shared" si="107"/>
        <v>1</v>
      </c>
      <c r="DH99" s="78" t="str">
        <f t="shared" si="108"/>
        <v>1</v>
      </c>
      <c r="DI99" s="79" t="str">
        <f>IFERROR(IF(J99="","",VLOOKUP(J99,Lists!$D$3:$E$13,2,FALSE)),1)</f>
        <v/>
      </c>
      <c r="DJ99" s="79" t="str">
        <f>IFERROR(IF(K99="","",VLOOKUP(K99,Lists!$F$3:$G$14,2,FALSE)),1)</f>
        <v/>
      </c>
      <c r="DK99" s="79">
        <f>IFERROR(IF(M99="","",VLOOKUP(M99,Lists!$AA$3:$AB$18,2,FALSE)),1)</f>
        <v>0</v>
      </c>
      <c r="DL99" s="79">
        <f>IFERROR(IF(N99="","",VLOOKUP(N99,Lists!$AC$3:$AD$13,2,FALSE)),1)</f>
        <v>0</v>
      </c>
    </row>
    <row r="100" spans="1:116" ht="15" customHeight="1" x14ac:dyDescent="0.2">
      <c r="A100" s="20">
        <v>423697</v>
      </c>
      <c r="B100" s="19">
        <v>45672</v>
      </c>
      <c r="C100" s="64">
        <v>0.60416666666666663</v>
      </c>
      <c r="D100" s="64" t="s">
        <v>1119</v>
      </c>
      <c r="E100" s="19">
        <v>45672</v>
      </c>
      <c r="F100" s="20">
        <v>2</v>
      </c>
      <c r="G100" s="18" t="s">
        <v>1108</v>
      </c>
      <c r="H100" s="65"/>
      <c r="I100" s="18" t="s">
        <v>1108</v>
      </c>
      <c r="J100" s="66"/>
      <c r="K100" s="66"/>
      <c r="L100" s="67"/>
      <c r="M100" s="68" t="s">
        <v>42</v>
      </c>
      <c r="N100" s="68" t="s">
        <v>420</v>
      </c>
      <c r="O100" s="69" t="s">
        <v>1125</v>
      </c>
      <c r="P100" s="134">
        <v>0.59722222222222221</v>
      </c>
      <c r="Q100" s="70"/>
      <c r="R100" s="134">
        <v>0.61111111111111105</v>
      </c>
      <c r="S100" s="70"/>
      <c r="T100" s="134">
        <v>0.70833333333333337</v>
      </c>
      <c r="U100" s="70"/>
      <c r="V100" s="134">
        <v>0.72222222222222221</v>
      </c>
      <c r="W100" s="70"/>
      <c r="X100" s="134">
        <v>0.72291666666666676</v>
      </c>
      <c r="Y100" s="70"/>
      <c r="Z100" s="134">
        <v>0.72916666666666663</v>
      </c>
      <c r="AA100" s="70" t="s">
        <v>1108</v>
      </c>
      <c r="AB100" s="19"/>
      <c r="AC100" s="20" t="s">
        <v>1108</v>
      </c>
      <c r="AD100" s="19"/>
      <c r="AE100" s="71">
        <f t="shared" si="73"/>
        <v>860</v>
      </c>
      <c r="AF100" s="71">
        <f t="shared" si="74"/>
        <v>1040</v>
      </c>
      <c r="AG100" s="71">
        <f t="shared" si="75"/>
        <v>180</v>
      </c>
      <c r="AH100" s="71" t="str">
        <f t="shared" si="76"/>
        <v/>
      </c>
      <c r="AI100" s="71" t="str">
        <f t="shared" si="77"/>
        <v/>
      </c>
      <c r="AJ100" s="71">
        <f t="shared" si="78"/>
        <v>100</v>
      </c>
      <c r="AK100" s="71" t="str">
        <f t="shared" si="79"/>
        <v/>
      </c>
      <c r="AL100" s="71">
        <f t="shared" si="80"/>
        <v>100</v>
      </c>
      <c r="AM100" s="71">
        <f t="shared" si="81"/>
        <v>80</v>
      </c>
      <c r="AN100" s="72">
        <f t="shared" si="82"/>
        <v>6.9444444444444198E-3</v>
      </c>
      <c r="AO100" s="73">
        <f t="shared" si="83"/>
        <v>0</v>
      </c>
      <c r="AP100" s="72" t="str">
        <f t="shared" si="84"/>
        <v>Yes</v>
      </c>
      <c r="AQ100" s="72">
        <f t="shared" si="85"/>
        <v>6.2499999999998668E-3</v>
      </c>
      <c r="AR100" s="72" t="str">
        <f t="shared" si="86"/>
        <v/>
      </c>
      <c r="AS100" s="72" t="str">
        <f t="shared" si="87"/>
        <v/>
      </c>
      <c r="AT100" s="72" t="str">
        <f t="shared" si="88"/>
        <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89"/>
        <v>0</v>
      </c>
      <c r="CO100" s="78">
        <f t="shared" si="90"/>
        <v>0</v>
      </c>
      <c r="CP100" s="78">
        <f t="shared" si="91"/>
        <v>0</v>
      </c>
      <c r="CQ100" s="78">
        <f t="shared" si="92"/>
        <v>0</v>
      </c>
      <c r="CR100" s="78">
        <f t="shared" si="93"/>
        <v>0</v>
      </c>
      <c r="CS100" s="78">
        <f t="shared" si="94"/>
        <v>0</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1</v>
      </c>
      <c r="DC100" s="78">
        <f t="shared" si="103"/>
        <v>0</v>
      </c>
      <c r="DD100" s="78">
        <f t="shared" si="104"/>
        <v>0</v>
      </c>
      <c r="DE100" s="78">
        <f t="shared" si="105"/>
        <v>1</v>
      </c>
      <c r="DF100" s="78">
        <f t="shared" si="106"/>
        <v>1</v>
      </c>
      <c r="DG100" s="78" t="str">
        <f t="shared" si="107"/>
        <v>1</v>
      </c>
      <c r="DH100" s="78" t="str">
        <f t="shared" si="108"/>
        <v>1</v>
      </c>
      <c r="DI100" s="79" t="str">
        <f>IFERROR(IF(J100="","",VLOOKUP(J100,Lists!$D$3:$E$13,2,FALSE)),1)</f>
        <v/>
      </c>
      <c r="DJ100" s="79" t="str">
        <f>IFERROR(IF(K100="","",VLOOKUP(K100,Lists!$F$3:$G$14,2,FALSE)),1)</f>
        <v/>
      </c>
      <c r="DK100" s="79">
        <f>IFERROR(IF(M100="","",VLOOKUP(M100,Lists!$AA$3:$AB$18,2,FALSE)),1)</f>
        <v>0</v>
      </c>
      <c r="DL100" s="79">
        <f>IFERROR(IF(N100="","",VLOOKUP(N100,Lists!$AC$3:$AD$13,2,FALSE)),1)</f>
        <v>0</v>
      </c>
    </row>
    <row r="101" spans="1:116" ht="15" customHeight="1" x14ac:dyDescent="0.2">
      <c r="A101" s="20">
        <v>161921</v>
      </c>
      <c r="B101" s="19">
        <v>45672</v>
      </c>
      <c r="C101" s="64">
        <v>0.35416666666666669</v>
      </c>
      <c r="D101" s="64" t="s">
        <v>1172</v>
      </c>
      <c r="E101" s="19">
        <v>45672</v>
      </c>
      <c r="F101" s="20">
        <v>13</v>
      </c>
      <c r="G101" s="18" t="s">
        <v>1108</v>
      </c>
      <c r="H101" s="65"/>
      <c r="I101" s="18" t="s">
        <v>1108</v>
      </c>
      <c r="J101" s="66"/>
      <c r="K101" s="66"/>
      <c r="L101" s="67"/>
      <c r="M101" s="68" t="s">
        <v>1086</v>
      </c>
      <c r="N101" s="68" t="s">
        <v>420</v>
      </c>
      <c r="O101" s="69" t="s">
        <v>1231</v>
      </c>
      <c r="P101" s="134">
        <v>0.34930555555555554</v>
      </c>
      <c r="Q101" s="70"/>
      <c r="R101" s="134">
        <v>0.36805555555555558</v>
      </c>
      <c r="S101" s="70"/>
      <c r="T101" s="134">
        <v>0.40625</v>
      </c>
      <c r="U101" s="70"/>
      <c r="V101" s="134">
        <v>0.40972222222222227</v>
      </c>
      <c r="W101" s="70"/>
      <c r="X101" s="134">
        <v>0.41041666666666665</v>
      </c>
      <c r="Y101" s="70"/>
      <c r="Z101" s="134">
        <v>0.4236111111111111</v>
      </c>
      <c r="AA101" s="70" t="s">
        <v>1121</v>
      </c>
      <c r="AB101" s="19">
        <v>45672</v>
      </c>
      <c r="AC101" s="20" t="s">
        <v>1108</v>
      </c>
      <c r="AD101" s="19"/>
      <c r="AE101" s="71">
        <f t="shared" si="73"/>
        <v>503</v>
      </c>
      <c r="AF101" s="71">
        <f t="shared" si="74"/>
        <v>590</v>
      </c>
      <c r="AG101" s="71">
        <f t="shared" si="75"/>
        <v>87</v>
      </c>
      <c r="AH101" s="71">
        <f t="shared" si="76"/>
        <v>87</v>
      </c>
      <c r="AI101" s="71" t="str">
        <f t="shared" si="77"/>
        <v/>
      </c>
      <c r="AJ101" s="71" t="str">
        <f t="shared" si="78"/>
        <v/>
      </c>
      <c r="AK101" s="71" t="str">
        <f t="shared" si="79"/>
        <v/>
      </c>
      <c r="AL101" s="71">
        <f t="shared" si="80"/>
        <v>87</v>
      </c>
      <c r="AM101" s="71">
        <f t="shared" si="81"/>
        <v>0</v>
      </c>
      <c r="AN101" s="72">
        <f t="shared" si="82"/>
        <v>1.3888888888888895E-2</v>
      </c>
      <c r="AO101" s="73">
        <f t="shared" si="83"/>
        <v>0</v>
      </c>
      <c r="AP101" s="72" t="str">
        <f t="shared" si="84"/>
        <v>No</v>
      </c>
      <c r="AQ101" s="72">
        <f t="shared" si="85"/>
        <v>1.3194444444444453E-2</v>
      </c>
      <c r="AR101" s="72" t="str">
        <f t="shared" si="86"/>
        <v/>
      </c>
      <c r="AS101" s="72" t="str">
        <f t="shared" si="87"/>
        <v/>
      </c>
      <c r="AT101" s="72" t="str">
        <f t="shared" si="88"/>
        <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89"/>
        <v>0</v>
      </c>
      <c r="CO101" s="78">
        <f t="shared" si="90"/>
        <v>0</v>
      </c>
      <c r="CP101" s="78">
        <f t="shared" si="91"/>
        <v>0</v>
      </c>
      <c r="CQ101" s="78">
        <f t="shared" si="92"/>
        <v>0</v>
      </c>
      <c r="CR101" s="78">
        <f t="shared" si="93"/>
        <v>0</v>
      </c>
      <c r="CS101" s="78">
        <f t="shared" si="94"/>
        <v>0</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f t="shared" si="105"/>
        <v>1</v>
      </c>
      <c r="DF101" s="78">
        <f t="shared" si="106"/>
        <v>1</v>
      </c>
      <c r="DG101" s="78">
        <f t="shared" si="107"/>
        <v>1</v>
      </c>
      <c r="DH101" s="78" t="str">
        <f t="shared" si="108"/>
        <v>1</v>
      </c>
      <c r="DI101" s="79" t="str">
        <f>IFERROR(IF(J101="","",VLOOKUP(J101,Lists!$D$3:$E$13,2,FALSE)),1)</f>
        <v/>
      </c>
      <c r="DJ101" s="79" t="str">
        <f>IFERROR(IF(K101="","",VLOOKUP(K101,Lists!$F$3:$G$14,2,FALSE)),1)</f>
        <v/>
      </c>
      <c r="DK101" s="79">
        <f>IFERROR(IF(M101="","",VLOOKUP(M101,Lists!$AA$3:$AB$18,2,FALSE)),1)</f>
        <v>0</v>
      </c>
      <c r="DL101" s="79">
        <f>IFERROR(IF(N101="","",VLOOKUP(N101,Lists!$AC$3:$AD$13,2,FALSE)),1)</f>
        <v>0</v>
      </c>
    </row>
    <row r="102" spans="1:116" ht="15" customHeight="1" x14ac:dyDescent="0.2">
      <c r="A102" s="20">
        <v>35639</v>
      </c>
      <c r="B102" s="19">
        <v>45672</v>
      </c>
      <c r="C102" s="64">
        <v>0.4375</v>
      </c>
      <c r="D102" s="64" t="s">
        <v>1172</v>
      </c>
      <c r="E102" s="19">
        <v>45670</v>
      </c>
      <c r="F102" s="20">
        <v>13</v>
      </c>
      <c r="G102" s="18" t="s">
        <v>1108</v>
      </c>
      <c r="H102" s="65"/>
      <c r="I102" s="18" t="s">
        <v>1108</v>
      </c>
      <c r="J102" s="66"/>
      <c r="K102" s="66"/>
      <c r="L102" s="67"/>
      <c r="M102" s="68" t="s">
        <v>1086</v>
      </c>
      <c r="N102" s="68" t="s">
        <v>420</v>
      </c>
      <c r="O102" s="69" t="s">
        <v>1232</v>
      </c>
      <c r="P102" s="134">
        <v>0.43055555555555558</v>
      </c>
      <c r="Q102" s="70"/>
      <c r="R102" s="134">
        <v>0.44791666666666669</v>
      </c>
      <c r="S102" s="70"/>
      <c r="T102" s="134">
        <v>0.46319444444444446</v>
      </c>
      <c r="U102" s="70"/>
      <c r="V102" s="134">
        <v>0.47430555555555554</v>
      </c>
      <c r="W102" s="70"/>
      <c r="X102" s="134">
        <v>0.47500000000000003</v>
      </c>
      <c r="Y102" s="70"/>
      <c r="Z102" s="134">
        <v>0.4826388888888889</v>
      </c>
      <c r="AA102" s="70" t="s">
        <v>1108</v>
      </c>
      <c r="AB102" s="19"/>
      <c r="AC102" s="20" t="s">
        <v>1108</v>
      </c>
      <c r="AD102" s="19"/>
      <c r="AE102" s="71">
        <f t="shared" si="73"/>
        <v>620</v>
      </c>
      <c r="AF102" s="71">
        <f t="shared" si="74"/>
        <v>683</v>
      </c>
      <c r="AG102" s="71">
        <f t="shared" si="75"/>
        <v>63</v>
      </c>
      <c r="AH102" s="71">
        <f t="shared" si="76"/>
        <v>63</v>
      </c>
      <c r="AI102" s="71" t="str">
        <f t="shared" si="77"/>
        <v/>
      </c>
      <c r="AJ102" s="71" t="str">
        <f t="shared" si="78"/>
        <v/>
      </c>
      <c r="AK102" s="71" t="str">
        <f t="shared" si="79"/>
        <v/>
      </c>
      <c r="AL102" s="71">
        <f t="shared" si="80"/>
        <v>63</v>
      </c>
      <c r="AM102" s="71">
        <f t="shared" si="81"/>
        <v>0</v>
      </c>
      <c r="AN102" s="72">
        <f t="shared" si="82"/>
        <v>1.0416666666666685E-2</v>
      </c>
      <c r="AO102" s="73">
        <f t="shared" si="83"/>
        <v>2</v>
      </c>
      <c r="AP102" s="72" t="str">
        <f t="shared" si="84"/>
        <v>Yes</v>
      </c>
      <c r="AQ102" s="72">
        <f t="shared" si="85"/>
        <v>7.6388888888888618E-3</v>
      </c>
      <c r="AR102" s="72" t="str">
        <f t="shared" si="86"/>
        <v/>
      </c>
      <c r="AS102" s="72" t="str">
        <f t="shared" si="87"/>
        <v/>
      </c>
      <c r="AT102" s="72" t="str">
        <f t="shared" si="88"/>
        <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89"/>
        <v>0</v>
      </c>
      <c r="CO102" s="78">
        <f t="shared" si="90"/>
        <v>0</v>
      </c>
      <c r="CP102" s="78">
        <f t="shared" si="91"/>
        <v>0</v>
      </c>
      <c r="CQ102" s="78">
        <f t="shared" si="92"/>
        <v>0</v>
      </c>
      <c r="CR102" s="78">
        <f t="shared" si="93"/>
        <v>0</v>
      </c>
      <c r="CS102" s="78">
        <f t="shared" si="94"/>
        <v>0</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f t="shared" si="105"/>
        <v>1</v>
      </c>
      <c r="DF102" s="78">
        <f t="shared" si="106"/>
        <v>1</v>
      </c>
      <c r="DG102" s="78" t="str">
        <f t="shared" si="107"/>
        <v>1</v>
      </c>
      <c r="DH102" s="78" t="str">
        <f t="shared" si="108"/>
        <v>1</v>
      </c>
      <c r="DI102" s="79" t="str">
        <f>IFERROR(IF(J102="","",VLOOKUP(J102,Lists!$D$3:$E$13,2,FALSE)),1)</f>
        <v/>
      </c>
      <c r="DJ102" s="79" t="str">
        <f>IFERROR(IF(K102="","",VLOOKUP(K102,Lists!$F$3:$G$14,2,FALSE)),1)</f>
        <v/>
      </c>
      <c r="DK102" s="79">
        <f>IFERROR(IF(M102="","",VLOOKUP(M102,Lists!$AA$3:$AB$18,2,FALSE)),1)</f>
        <v>0</v>
      </c>
      <c r="DL102" s="79">
        <f>IFERROR(IF(N102="","",VLOOKUP(N102,Lists!$AC$3:$AD$13,2,FALSE)),1)</f>
        <v>0</v>
      </c>
    </row>
    <row r="103" spans="1:116" ht="15" customHeight="1" x14ac:dyDescent="0.2">
      <c r="A103" s="20">
        <v>196179</v>
      </c>
      <c r="B103" s="19">
        <v>45672</v>
      </c>
      <c r="C103" s="64">
        <v>0.5</v>
      </c>
      <c r="D103" s="64" t="s">
        <v>1172</v>
      </c>
      <c r="E103" s="19">
        <v>45672</v>
      </c>
      <c r="F103" s="20">
        <v>13</v>
      </c>
      <c r="G103" s="18" t="s">
        <v>1108</v>
      </c>
      <c r="H103" s="65"/>
      <c r="I103" s="18" t="s">
        <v>1108</v>
      </c>
      <c r="J103" s="66"/>
      <c r="K103" s="66"/>
      <c r="L103" s="67"/>
      <c r="M103" s="68" t="s">
        <v>1086</v>
      </c>
      <c r="N103" s="68" t="s">
        <v>420</v>
      </c>
      <c r="O103" s="69" t="s">
        <v>1213</v>
      </c>
      <c r="P103" s="134">
        <v>0.5</v>
      </c>
      <c r="Q103" s="70"/>
      <c r="R103" s="134">
        <v>0.52152777777777781</v>
      </c>
      <c r="S103" s="70"/>
      <c r="T103" s="134">
        <v>0.54513888888888895</v>
      </c>
      <c r="U103" s="70"/>
      <c r="V103" s="134">
        <v>0.5625</v>
      </c>
      <c r="W103" s="70"/>
      <c r="X103" s="134">
        <v>0.56319444444444444</v>
      </c>
      <c r="Y103" s="70"/>
      <c r="Z103" s="134">
        <v>0.56944444444444442</v>
      </c>
      <c r="AA103" s="70" t="s">
        <v>1121</v>
      </c>
      <c r="AB103" s="19">
        <v>45672</v>
      </c>
      <c r="AC103" s="20" t="s">
        <v>1108</v>
      </c>
      <c r="AD103" s="19"/>
      <c r="AE103" s="71">
        <f t="shared" si="73"/>
        <v>720</v>
      </c>
      <c r="AF103" s="71">
        <f t="shared" si="74"/>
        <v>810</v>
      </c>
      <c r="AG103" s="71">
        <f t="shared" si="75"/>
        <v>90</v>
      </c>
      <c r="AH103" s="71">
        <f t="shared" si="76"/>
        <v>90</v>
      </c>
      <c r="AI103" s="71" t="str">
        <f t="shared" si="77"/>
        <v/>
      </c>
      <c r="AJ103" s="71" t="str">
        <f t="shared" si="78"/>
        <v/>
      </c>
      <c r="AK103" s="71" t="str">
        <f t="shared" si="79"/>
        <v/>
      </c>
      <c r="AL103" s="71">
        <f t="shared" si="80"/>
        <v>90</v>
      </c>
      <c r="AM103" s="71">
        <f t="shared" si="81"/>
        <v>0</v>
      </c>
      <c r="AN103" s="72">
        <f t="shared" si="82"/>
        <v>2.1527777777777812E-2</v>
      </c>
      <c r="AO103" s="73">
        <f t="shared" si="83"/>
        <v>0</v>
      </c>
      <c r="AP103" s="72" t="str">
        <f t="shared" si="84"/>
        <v>No</v>
      </c>
      <c r="AQ103" s="72">
        <f t="shared" si="85"/>
        <v>6.2499999999999778E-3</v>
      </c>
      <c r="AR103" s="72" t="str">
        <f t="shared" si="86"/>
        <v/>
      </c>
      <c r="AS103" s="72" t="str">
        <f t="shared" si="87"/>
        <v/>
      </c>
      <c r="AT103" s="72" t="str">
        <f t="shared" si="88"/>
        <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89"/>
        <v>0</v>
      </c>
      <c r="CO103" s="78">
        <f t="shared" si="90"/>
        <v>0</v>
      </c>
      <c r="CP103" s="78">
        <f t="shared" si="91"/>
        <v>0</v>
      </c>
      <c r="CQ103" s="78">
        <f t="shared" si="92"/>
        <v>0</v>
      </c>
      <c r="CR103" s="78">
        <f t="shared" si="93"/>
        <v>0</v>
      </c>
      <c r="CS103" s="78">
        <f t="shared" si="94"/>
        <v>0</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0</v>
      </c>
      <c r="DC103" s="78">
        <f t="shared" si="103"/>
        <v>0</v>
      </c>
      <c r="DD103" s="78">
        <f t="shared" si="104"/>
        <v>0</v>
      </c>
      <c r="DE103" s="78">
        <f t="shared" si="105"/>
        <v>1</v>
      </c>
      <c r="DF103" s="78">
        <f t="shared" si="106"/>
        <v>1</v>
      </c>
      <c r="DG103" s="78">
        <f t="shared" si="107"/>
        <v>1</v>
      </c>
      <c r="DH103" s="78" t="str">
        <f t="shared" si="108"/>
        <v>1</v>
      </c>
      <c r="DI103" s="79" t="str">
        <f>IFERROR(IF(J103="","",VLOOKUP(J103,Lists!$D$3:$E$13,2,FALSE)),1)</f>
        <v/>
      </c>
      <c r="DJ103" s="79" t="str">
        <f>IFERROR(IF(K103="","",VLOOKUP(K103,Lists!$F$3:$G$14,2,FALSE)),1)</f>
        <v/>
      </c>
      <c r="DK103" s="79">
        <f>IFERROR(IF(M103="","",VLOOKUP(M103,Lists!$AA$3:$AB$18,2,FALSE)),1)</f>
        <v>0</v>
      </c>
      <c r="DL103" s="79">
        <f>IFERROR(IF(N103="","",VLOOKUP(N103,Lists!$AC$3:$AD$13,2,FALSE)),1)</f>
        <v>0</v>
      </c>
    </row>
    <row r="104" spans="1:116" ht="15" customHeight="1" x14ac:dyDescent="0.2">
      <c r="A104" s="20">
        <v>361803</v>
      </c>
      <c r="B104" s="19">
        <v>45672</v>
      </c>
      <c r="C104" s="64">
        <v>0.58333333333333337</v>
      </c>
      <c r="D104" s="64" t="s">
        <v>1172</v>
      </c>
      <c r="E104" s="19">
        <v>45672</v>
      </c>
      <c r="F104" s="20">
        <v>13</v>
      </c>
      <c r="G104" s="18" t="s">
        <v>1108</v>
      </c>
      <c r="H104" s="65"/>
      <c r="I104" s="18" t="s">
        <v>1108</v>
      </c>
      <c r="J104" s="66"/>
      <c r="K104" s="66"/>
      <c r="L104" s="67"/>
      <c r="M104" s="68" t="s">
        <v>1086</v>
      </c>
      <c r="N104" s="68" t="s">
        <v>420</v>
      </c>
      <c r="O104" s="69" t="s">
        <v>1231</v>
      </c>
      <c r="P104" s="134">
        <v>0.59027777777777779</v>
      </c>
      <c r="Q104" s="70"/>
      <c r="R104" s="134">
        <v>0.61111111111111105</v>
      </c>
      <c r="S104" s="70"/>
      <c r="T104" s="134">
        <v>0.64652777777777781</v>
      </c>
      <c r="U104" s="70"/>
      <c r="V104" s="134">
        <v>0.65625</v>
      </c>
      <c r="W104" s="70"/>
      <c r="X104" s="134">
        <v>0.65694444444444444</v>
      </c>
      <c r="Y104" s="70"/>
      <c r="Z104" s="134">
        <v>0.66319444444444442</v>
      </c>
      <c r="AA104" s="70" t="s">
        <v>1121</v>
      </c>
      <c r="AB104" s="19">
        <v>45672</v>
      </c>
      <c r="AC104" s="20" t="s">
        <v>1108</v>
      </c>
      <c r="AD104" s="19"/>
      <c r="AE104" s="71">
        <f t="shared" si="73"/>
        <v>850</v>
      </c>
      <c r="AF104" s="71">
        <f t="shared" si="74"/>
        <v>945</v>
      </c>
      <c r="AG104" s="71">
        <f t="shared" si="75"/>
        <v>95</v>
      </c>
      <c r="AH104" s="71">
        <f t="shared" si="76"/>
        <v>95</v>
      </c>
      <c r="AI104" s="71" t="str">
        <f t="shared" si="77"/>
        <v/>
      </c>
      <c r="AJ104" s="71" t="str">
        <f t="shared" si="78"/>
        <v/>
      </c>
      <c r="AK104" s="71" t="str">
        <f t="shared" si="79"/>
        <v/>
      </c>
      <c r="AL104" s="71">
        <f t="shared" si="80"/>
        <v>95</v>
      </c>
      <c r="AM104" s="71">
        <f t="shared" si="81"/>
        <v>0</v>
      </c>
      <c r="AN104" s="72">
        <f t="shared" si="82"/>
        <v>2.7777777777777679E-2</v>
      </c>
      <c r="AO104" s="73">
        <f t="shared" si="83"/>
        <v>0</v>
      </c>
      <c r="AP104" s="72" t="str">
        <f t="shared" si="84"/>
        <v>No</v>
      </c>
      <c r="AQ104" s="72">
        <f t="shared" si="85"/>
        <v>6.2499999999999778E-3</v>
      </c>
      <c r="AR104" s="72" t="str">
        <f t="shared" si="86"/>
        <v/>
      </c>
      <c r="AS104" s="72" t="str">
        <f t="shared" si="87"/>
        <v/>
      </c>
      <c r="AT104" s="72" t="str">
        <f t="shared" si="88"/>
        <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89"/>
        <v>0</v>
      </c>
      <c r="CO104" s="78">
        <f t="shared" si="90"/>
        <v>0</v>
      </c>
      <c r="CP104" s="78">
        <f t="shared" si="91"/>
        <v>0</v>
      </c>
      <c r="CQ104" s="78">
        <f t="shared" si="92"/>
        <v>0</v>
      </c>
      <c r="CR104" s="78">
        <f t="shared" si="93"/>
        <v>0</v>
      </c>
      <c r="CS104" s="78">
        <f t="shared" si="94"/>
        <v>0</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0</v>
      </c>
      <c r="DC104" s="78">
        <f t="shared" si="103"/>
        <v>0</v>
      </c>
      <c r="DD104" s="78">
        <f t="shared" si="104"/>
        <v>0</v>
      </c>
      <c r="DE104" s="78">
        <f t="shared" si="105"/>
        <v>1</v>
      </c>
      <c r="DF104" s="78">
        <f t="shared" si="106"/>
        <v>1</v>
      </c>
      <c r="DG104" s="78">
        <f t="shared" si="107"/>
        <v>1</v>
      </c>
      <c r="DH104" s="78" t="str">
        <f t="shared" si="108"/>
        <v>1</v>
      </c>
      <c r="DI104" s="79" t="str">
        <f>IFERROR(IF(J104="","",VLOOKUP(J104,Lists!$D$3:$E$13,2,FALSE)),1)</f>
        <v/>
      </c>
      <c r="DJ104" s="79" t="str">
        <f>IFERROR(IF(K104="","",VLOOKUP(K104,Lists!$F$3:$G$14,2,FALSE)),1)</f>
        <v/>
      </c>
      <c r="DK104" s="79">
        <f>IFERROR(IF(M104="","",VLOOKUP(M104,Lists!$AA$3:$AB$18,2,FALSE)),1)</f>
        <v>0</v>
      </c>
      <c r="DL104" s="79">
        <f>IFERROR(IF(N104="","",VLOOKUP(N104,Lists!$AC$3:$AD$13,2,FALSE)),1)</f>
        <v>0</v>
      </c>
    </row>
    <row r="105" spans="1:116" ht="15" customHeight="1" x14ac:dyDescent="0.2">
      <c r="A105" s="20">
        <v>421283</v>
      </c>
      <c r="B105" s="19">
        <v>45673</v>
      </c>
      <c r="C105" s="64">
        <v>0.33333333333333331</v>
      </c>
      <c r="D105" s="64" t="s">
        <v>1119</v>
      </c>
      <c r="E105" s="19">
        <v>45673</v>
      </c>
      <c r="F105" s="20">
        <v>3</v>
      </c>
      <c r="G105" s="18" t="s">
        <v>1108</v>
      </c>
      <c r="H105" s="65"/>
      <c r="I105" s="18" t="s">
        <v>1121</v>
      </c>
      <c r="J105" s="66" t="s">
        <v>42</v>
      </c>
      <c r="K105" s="66" t="s">
        <v>420</v>
      </c>
      <c r="L105" s="67" t="s">
        <v>1145</v>
      </c>
      <c r="M105" s="68"/>
      <c r="N105" s="68"/>
      <c r="O105" s="69"/>
      <c r="P105" s="134">
        <v>0.3263888888888889</v>
      </c>
      <c r="Q105" s="70"/>
      <c r="R105" s="134">
        <v>0.33333333333333331</v>
      </c>
      <c r="S105" s="70"/>
      <c r="T105" s="134">
        <v>0.34375</v>
      </c>
      <c r="U105" s="70"/>
      <c r="V105" s="134">
        <v>0.34722222222222227</v>
      </c>
      <c r="W105" s="70"/>
      <c r="X105" s="134">
        <v>0.34791666666666665</v>
      </c>
      <c r="Y105" s="70"/>
      <c r="Z105" s="134">
        <v>0.35416666666666669</v>
      </c>
      <c r="AA105" s="70" t="s">
        <v>1121</v>
      </c>
      <c r="AB105" s="19">
        <v>45673</v>
      </c>
      <c r="AC105" s="20" t="s">
        <v>1108</v>
      </c>
      <c r="AD105" s="19"/>
      <c r="AE105" s="71">
        <f t="shared" si="73"/>
        <v>470</v>
      </c>
      <c r="AF105" s="71">
        <f t="shared" si="74"/>
        <v>500</v>
      </c>
      <c r="AG105" s="71">
        <f t="shared" si="75"/>
        <v>30</v>
      </c>
      <c r="AH105" s="71">
        <f t="shared" si="76"/>
        <v>0</v>
      </c>
      <c r="AI105" s="71">
        <f t="shared" si="77"/>
        <v>20</v>
      </c>
      <c r="AJ105" s="71" t="str">
        <f t="shared" si="78"/>
        <v/>
      </c>
      <c r="AK105" s="71" t="str">
        <f t="shared" si="79"/>
        <v/>
      </c>
      <c r="AL105" s="71">
        <f t="shared" si="80"/>
        <v>20</v>
      </c>
      <c r="AM105" s="71">
        <f t="shared" si="81"/>
        <v>10</v>
      </c>
      <c r="AN105" s="72">
        <f t="shared" si="82"/>
        <v>0</v>
      </c>
      <c r="AO105" s="73">
        <f t="shared" si="83"/>
        <v>0</v>
      </c>
      <c r="AP105" s="72" t="str">
        <f t="shared" si="84"/>
        <v>Yes</v>
      </c>
      <c r="AQ105" s="72">
        <f t="shared" si="85"/>
        <v>6.2500000000000333E-3</v>
      </c>
      <c r="AR105" s="72" t="str">
        <f t="shared" si="86"/>
        <v>Yes</v>
      </c>
      <c r="AS105" s="72" t="str">
        <f t="shared" si="87"/>
        <v>No</v>
      </c>
      <c r="AT105" s="72" t="str">
        <f t="shared" si="88"/>
        <v>No</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f t="shared" si="89"/>
        <v>0</v>
      </c>
      <c r="CO105" s="78">
        <f t="shared" si="90"/>
        <v>0</v>
      </c>
      <c r="CP105" s="78">
        <f t="shared" si="91"/>
        <v>0</v>
      </c>
      <c r="CQ105" s="78">
        <f t="shared" si="92"/>
        <v>0</v>
      </c>
      <c r="CR105" s="78">
        <f t="shared" si="93"/>
        <v>0</v>
      </c>
      <c r="CS105" s="78">
        <f t="shared" si="94"/>
        <v>0</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0</v>
      </c>
      <c r="DC105" s="78">
        <f t="shared" si="103"/>
        <v>0</v>
      </c>
      <c r="DD105" s="78">
        <f t="shared" si="104"/>
        <v>0</v>
      </c>
      <c r="DE105" s="78">
        <f t="shared" si="105"/>
        <v>1</v>
      </c>
      <c r="DF105" s="78">
        <f t="shared" si="106"/>
        <v>1</v>
      </c>
      <c r="DG105" s="78">
        <f t="shared" si="107"/>
        <v>1</v>
      </c>
      <c r="DH105" s="78" t="str">
        <f t="shared" si="108"/>
        <v>1</v>
      </c>
      <c r="DI105" s="79">
        <f>IFERROR(IF(J105="","",VLOOKUP(J105,Lists!$D$3:$E$13,2,FALSE)),1)</f>
        <v>0</v>
      </c>
      <c r="DJ105" s="79">
        <f>IFERROR(IF(K105="","",VLOOKUP(K105,Lists!$F$3:$G$14,2,FALSE)),1)</f>
        <v>0</v>
      </c>
      <c r="DK105" s="79" t="str">
        <f>IFERROR(IF(M105="","",VLOOKUP(M105,Lists!$AA$3:$AB$18,2,FALSE)),1)</f>
        <v/>
      </c>
      <c r="DL105" s="79" t="str">
        <f>IFERROR(IF(N105="","",VLOOKUP(N105,Lists!$AC$3:$AD$13,2,FALSE)),1)</f>
        <v/>
      </c>
    </row>
    <row r="106" spans="1:116" ht="15" customHeight="1" x14ac:dyDescent="0.2">
      <c r="A106" s="20">
        <v>383019</v>
      </c>
      <c r="B106" s="19">
        <v>45673</v>
      </c>
      <c r="C106" s="64">
        <v>0.35416666666666669</v>
      </c>
      <c r="D106" s="64" t="s">
        <v>1119</v>
      </c>
      <c r="E106" s="19">
        <v>45673</v>
      </c>
      <c r="F106" s="20">
        <v>3</v>
      </c>
      <c r="G106" s="18" t="s">
        <v>1108</v>
      </c>
      <c r="H106" s="65"/>
      <c r="I106" s="18" t="s">
        <v>1121</v>
      </c>
      <c r="J106" s="66" t="s">
        <v>42</v>
      </c>
      <c r="K106" s="66" t="s">
        <v>420</v>
      </c>
      <c r="L106" s="67" t="s">
        <v>1233</v>
      </c>
      <c r="M106" s="68"/>
      <c r="N106" s="68"/>
      <c r="O106" s="69"/>
      <c r="P106" s="134">
        <v>0.35486111111111113</v>
      </c>
      <c r="Q106" s="70"/>
      <c r="R106" s="134">
        <v>0.36805555555555558</v>
      </c>
      <c r="S106" s="70"/>
      <c r="T106" s="134">
        <v>0.38541666666666669</v>
      </c>
      <c r="U106" s="70"/>
      <c r="V106" s="134">
        <v>0.4055555555555555</v>
      </c>
      <c r="W106" s="70"/>
      <c r="X106" s="134">
        <v>0.40625</v>
      </c>
      <c r="Y106" s="70"/>
      <c r="Z106" s="134">
        <v>0.41319444444444442</v>
      </c>
      <c r="AA106" s="70" t="s">
        <v>1121</v>
      </c>
      <c r="AB106" s="19">
        <v>45673</v>
      </c>
      <c r="AC106" s="20" t="s">
        <v>1108</v>
      </c>
      <c r="AD106" s="19"/>
      <c r="AE106" s="71">
        <f t="shared" si="73"/>
        <v>511</v>
      </c>
      <c r="AF106" s="71">
        <f t="shared" si="74"/>
        <v>584</v>
      </c>
      <c r="AG106" s="71">
        <f t="shared" si="75"/>
        <v>73</v>
      </c>
      <c r="AH106" s="71">
        <f t="shared" si="76"/>
        <v>73</v>
      </c>
      <c r="AI106" s="71" t="str">
        <f t="shared" si="77"/>
        <v/>
      </c>
      <c r="AJ106" s="71" t="str">
        <f t="shared" si="78"/>
        <v/>
      </c>
      <c r="AK106" s="71" t="str">
        <f t="shared" si="79"/>
        <v/>
      </c>
      <c r="AL106" s="71">
        <f t="shared" si="80"/>
        <v>73</v>
      </c>
      <c r="AM106" s="71">
        <f t="shared" si="81"/>
        <v>0</v>
      </c>
      <c r="AN106" s="72">
        <f t="shared" si="82"/>
        <v>1.3888888888888895E-2</v>
      </c>
      <c r="AO106" s="73">
        <f t="shared" si="83"/>
        <v>0</v>
      </c>
      <c r="AP106" s="72" t="str">
        <f t="shared" si="84"/>
        <v>No</v>
      </c>
      <c r="AQ106" s="72">
        <f t="shared" si="85"/>
        <v>6.9444444444444198E-3</v>
      </c>
      <c r="AR106" s="72" t="str">
        <f t="shared" si="86"/>
        <v>Yes</v>
      </c>
      <c r="AS106" s="72" t="str">
        <f t="shared" si="87"/>
        <v>No</v>
      </c>
      <c r="AT106" s="72" t="str">
        <f t="shared" si="88"/>
        <v>No</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f t="shared" si="89"/>
        <v>0</v>
      </c>
      <c r="CO106" s="78">
        <f t="shared" si="90"/>
        <v>0</v>
      </c>
      <c r="CP106" s="78">
        <f t="shared" si="91"/>
        <v>0</v>
      </c>
      <c r="CQ106" s="78">
        <f t="shared" si="92"/>
        <v>0</v>
      </c>
      <c r="CR106" s="78">
        <f t="shared" si="93"/>
        <v>0</v>
      </c>
      <c r="CS106" s="78">
        <f t="shared" si="94"/>
        <v>0</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f t="shared" si="105"/>
        <v>1</v>
      </c>
      <c r="DF106" s="78">
        <f t="shared" si="106"/>
        <v>1</v>
      </c>
      <c r="DG106" s="78">
        <f t="shared" si="107"/>
        <v>1</v>
      </c>
      <c r="DH106" s="78" t="str">
        <f t="shared" si="108"/>
        <v>1</v>
      </c>
      <c r="DI106" s="79">
        <f>IFERROR(IF(J106="","",VLOOKUP(J106,Lists!$D$3:$E$13,2,FALSE)),1)</f>
        <v>0</v>
      </c>
      <c r="DJ106" s="79">
        <f>IFERROR(IF(K106="","",VLOOKUP(K106,Lists!$F$3:$G$14,2,FALSE)),1)</f>
        <v>0</v>
      </c>
      <c r="DK106" s="79" t="str">
        <f>IFERROR(IF(M106="","",VLOOKUP(M106,Lists!$AA$3:$AB$18,2,FALSE)),1)</f>
        <v/>
      </c>
      <c r="DL106" s="79" t="str">
        <f>IFERROR(IF(N106="","",VLOOKUP(N106,Lists!$AC$3:$AD$13,2,FALSE)),1)</f>
        <v/>
      </c>
    </row>
    <row r="107" spans="1:116" ht="15" customHeight="1" x14ac:dyDescent="0.2">
      <c r="A107" s="20">
        <v>351036</v>
      </c>
      <c r="B107" s="19">
        <v>45673</v>
      </c>
      <c r="C107" s="64">
        <v>0.41666666666666669</v>
      </c>
      <c r="D107" s="64" t="s">
        <v>1119</v>
      </c>
      <c r="E107" s="19">
        <v>45673</v>
      </c>
      <c r="F107" s="20">
        <v>3</v>
      </c>
      <c r="G107" s="18" t="s">
        <v>1108</v>
      </c>
      <c r="H107" s="65"/>
      <c r="I107" s="18" t="s">
        <v>1121</v>
      </c>
      <c r="J107" s="66" t="s">
        <v>42</v>
      </c>
      <c r="K107" s="66" t="s">
        <v>420</v>
      </c>
      <c r="L107" s="67" t="s">
        <v>1145</v>
      </c>
      <c r="M107" s="68"/>
      <c r="N107" s="68"/>
      <c r="O107" s="69"/>
      <c r="P107" s="134">
        <v>0.41944444444444445</v>
      </c>
      <c r="Q107" s="70"/>
      <c r="R107" s="134">
        <v>0.44236111111111115</v>
      </c>
      <c r="S107" s="70"/>
      <c r="T107" s="134">
        <v>0.45833333333333331</v>
      </c>
      <c r="U107" s="70"/>
      <c r="V107" s="134">
        <v>0.47291666666666665</v>
      </c>
      <c r="W107" s="70"/>
      <c r="X107" s="134">
        <v>0.47361111111111115</v>
      </c>
      <c r="Y107" s="70"/>
      <c r="Z107" s="134">
        <v>0.47916666666666669</v>
      </c>
      <c r="AA107" s="70" t="s">
        <v>1121</v>
      </c>
      <c r="AB107" s="19">
        <v>45673</v>
      </c>
      <c r="AC107" s="20" t="s">
        <v>1108</v>
      </c>
      <c r="AD107" s="19"/>
      <c r="AE107" s="71">
        <f t="shared" si="73"/>
        <v>604</v>
      </c>
      <c r="AF107" s="71">
        <f t="shared" si="74"/>
        <v>681</v>
      </c>
      <c r="AG107" s="71">
        <f t="shared" si="75"/>
        <v>77</v>
      </c>
      <c r="AH107" s="71">
        <f t="shared" si="76"/>
        <v>77</v>
      </c>
      <c r="AI107" s="71" t="str">
        <f t="shared" si="77"/>
        <v/>
      </c>
      <c r="AJ107" s="71" t="str">
        <f t="shared" si="78"/>
        <v/>
      </c>
      <c r="AK107" s="71" t="str">
        <f t="shared" si="79"/>
        <v/>
      </c>
      <c r="AL107" s="71">
        <f t="shared" si="80"/>
        <v>77</v>
      </c>
      <c r="AM107" s="71">
        <f t="shared" si="81"/>
        <v>0</v>
      </c>
      <c r="AN107" s="72">
        <f t="shared" si="82"/>
        <v>2.5694444444444464E-2</v>
      </c>
      <c r="AO107" s="73">
        <f t="shared" si="83"/>
        <v>0</v>
      </c>
      <c r="AP107" s="72" t="str">
        <f t="shared" si="84"/>
        <v>No</v>
      </c>
      <c r="AQ107" s="72">
        <f t="shared" si="85"/>
        <v>5.5555555555555358E-3</v>
      </c>
      <c r="AR107" s="72" t="str">
        <f t="shared" si="86"/>
        <v>Yes</v>
      </c>
      <c r="AS107" s="72" t="str">
        <f t="shared" si="87"/>
        <v>No</v>
      </c>
      <c r="AT107" s="72" t="str">
        <f t="shared" si="88"/>
        <v>No</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f t="shared" si="89"/>
        <v>0</v>
      </c>
      <c r="CO107" s="78">
        <f t="shared" si="90"/>
        <v>0</v>
      </c>
      <c r="CP107" s="78">
        <f t="shared" si="91"/>
        <v>0</v>
      </c>
      <c r="CQ107" s="78">
        <f t="shared" si="92"/>
        <v>0</v>
      </c>
      <c r="CR107" s="78">
        <f t="shared" si="93"/>
        <v>0</v>
      </c>
      <c r="CS107" s="78">
        <f t="shared" si="94"/>
        <v>0</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0</v>
      </c>
      <c r="DC107" s="78">
        <f t="shared" si="103"/>
        <v>0</v>
      </c>
      <c r="DD107" s="78">
        <f t="shared" si="104"/>
        <v>0</v>
      </c>
      <c r="DE107" s="78">
        <f t="shared" si="105"/>
        <v>1</v>
      </c>
      <c r="DF107" s="78">
        <f t="shared" si="106"/>
        <v>1</v>
      </c>
      <c r="DG107" s="78">
        <f t="shared" si="107"/>
        <v>1</v>
      </c>
      <c r="DH107" s="78" t="str">
        <f t="shared" si="108"/>
        <v>1</v>
      </c>
      <c r="DI107" s="79">
        <f>IFERROR(IF(J107="","",VLOOKUP(J107,Lists!$D$3:$E$13,2,FALSE)),1)</f>
        <v>0</v>
      </c>
      <c r="DJ107" s="79">
        <f>IFERROR(IF(K107="","",VLOOKUP(K107,Lists!$F$3:$G$14,2,FALSE)),1)</f>
        <v>0</v>
      </c>
      <c r="DK107" s="79" t="str">
        <f>IFERROR(IF(M107="","",VLOOKUP(M107,Lists!$AA$3:$AB$18,2,FALSE)),1)</f>
        <v/>
      </c>
      <c r="DL107" s="79" t="str">
        <f>IFERROR(IF(N107="","",VLOOKUP(N107,Lists!$AC$3:$AD$13,2,FALSE)),1)</f>
        <v/>
      </c>
    </row>
    <row r="108" spans="1:116" ht="15" customHeight="1" x14ac:dyDescent="0.2">
      <c r="A108" s="20">
        <v>422889</v>
      </c>
      <c r="B108" s="19">
        <v>45673</v>
      </c>
      <c r="C108" s="64">
        <v>0.5</v>
      </c>
      <c r="D108" s="64" t="s">
        <v>1119</v>
      </c>
      <c r="E108" s="19">
        <v>45673</v>
      </c>
      <c r="F108" s="20">
        <v>3</v>
      </c>
      <c r="G108" s="18" t="s">
        <v>1108</v>
      </c>
      <c r="H108" s="65"/>
      <c r="I108" s="18" t="s">
        <v>1121</v>
      </c>
      <c r="J108" s="66" t="s">
        <v>42</v>
      </c>
      <c r="K108" s="66" t="s">
        <v>420</v>
      </c>
      <c r="L108" s="67" t="s">
        <v>1145</v>
      </c>
      <c r="M108" s="68"/>
      <c r="N108" s="68"/>
      <c r="O108" s="69"/>
      <c r="P108" s="134">
        <v>0.49513888888888885</v>
      </c>
      <c r="Q108" s="70"/>
      <c r="R108" s="134">
        <v>0.50694444444444442</v>
      </c>
      <c r="S108" s="70"/>
      <c r="T108" s="134">
        <v>0.53819444444444442</v>
      </c>
      <c r="U108" s="70"/>
      <c r="V108" s="134">
        <v>0.54513888888888895</v>
      </c>
      <c r="W108" s="70"/>
      <c r="X108" s="134">
        <v>0.54583333333333328</v>
      </c>
      <c r="Y108" s="70"/>
      <c r="Z108" s="134">
        <v>0.55208333333333337</v>
      </c>
      <c r="AA108" s="70" t="s">
        <v>1121</v>
      </c>
      <c r="AB108" s="19">
        <v>45673</v>
      </c>
      <c r="AC108" s="20" t="s">
        <v>1108</v>
      </c>
      <c r="AD108" s="19"/>
      <c r="AE108" s="71">
        <f t="shared" si="73"/>
        <v>713</v>
      </c>
      <c r="AF108" s="71">
        <f t="shared" si="74"/>
        <v>785</v>
      </c>
      <c r="AG108" s="71">
        <f t="shared" si="75"/>
        <v>72</v>
      </c>
      <c r="AH108" s="71">
        <f t="shared" si="76"/>
        <v>72</v>
      </c>
      <c r="AI108" s="71" t="str">
        <f t="shared" si="77"/>
        <v/>
      </c>
      <c r="AJ108" s="71" t="str">
        <f t="shared" si="78"/>
        <v/>
      </c>
      <c r="AK108" s="71" t="str">
        <f t="shared" si="79"/>
        <v/>
      </c>
      <c r="AL108" s="71">
        <f t="shared" si="80"/>
        <v>72</v>
      </c>
      <c r="AM108" s="71">
        <f t="shared" si="81"/>
        <v>0</v>
      </c>
      <c r="AN108" s="72">
        <f t="shared" si="82"/>
        <v>6.9444444444444198E-3</v>
      </c>
      <c r="AO108" s="73">
        <f t="shared" si="83"/>
        <v>0</v>
      </c>
      <c r="AP108" s="72" t="str">
        <f t="shared" si="84"/>
        <v>Yes</v>
      </c>
      <c r="AQ108" s="72">
        <f t="shared" si="85"/>
        <v>6.2500000000000888E-3</v>
      </c>
      <c r="AR108" s="72" t="str">
        <f t="shared" si="86"/>
        <v>Yes</v>
      </c>
      <c r="AS108" s="72" t="str">
        <f t="shared" si="87"/>
        <v>No</v>
      </c>
      <c r="AT108" s="72" t="str">
        <f t="shared" si="88"/>
        <v>No</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f t="shared" si="89"/>
        <v>0</v>
      </c>
      <c r="CO108" s="78">
        <f t="shared" si="90"/>
        <v>0</v>
      </c>
      <c r="CP108" s="78">
        <f t="shared" si="91"/>
        <v>0</v>
      </c>
      <c r="CQ108" s="78">
        <f t="shared" si="92"/>
        <v>0</v>
      </c>
      <c r="CR108" s="78">
        <f t="shared" si="93"/>
        <v>0</v>
      </c>
      <c r="CS108" s="78">
        <f t="shared" si="94"/>
        <v>0</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0</v>
      </c>
      <c r="DC108" s="78">
        <f t="shared" si="103"/>
        <v>0</v>
      </c>
      <c r="DD108" s="78">
        <f t="shared" si="104"/>
        <v>0</v>
      </c>
      <c r="DE108" s="78">
        <f t="shared" si="105"/>
        <v>1</v>
      </c>
      <c r="DF108" s="78">
        <f t="shared" si="106"/>
        <v>1</v>
      </c>
      <c r="DG108" s="78">
        <f t="shared" si="107"/>
        <v>1</v>
      </c>
      <c r="DH108" s="78" t="str">
        <f t="shared" si="108"/>
        <v>1</v>
      </c>
      <c r="DI108" s="79">
        <f>IFERROR(IF(J108="","",VLOOKUP(J108,Lists!$D$3:$E$13,2,FALSE)),1)</f>
        <v>0</v>
      </c>
      <c r="DJ108" s="79">
        <f>IFERROR(IF(K108="","",VLOOKUP(K108,Lists!$F$3:$G$14,2,FALSE)),1)</f>
        <v>0</v>
      </c>
      <c r="DK108" s="79" t="str">
        <f>IFERROR(IF(M108="","",VLOOKUP(M108,Lists!$AA$3:$AB$18,2,FALSE)),1)</f>
        <v/>
      </c>
      <c r="DL108" s="79" t="str">
        <f>IFERROR(IF(N108="","",VLOOKUP(N108,Lists!$AC$3:$AD$13,2,FALSE)),1)</f>
        <v/>
      </c>
    </row>
    <row r="109" spans="1:116" ht="15" customHeight="1" x14ac:dyDescent="0.2">
      <c r="A109" s="20">
        <v>419722</v>
      </c>
      <c r="B109" s="19">
        <v>45673</v>
      </c>
      <c r="C109" s="64">
        <v>0.54166666666666663</v>
      </c>
      <c r="D109" s="64" t="s">
        <v>1119</v>
      </c>
      <c r="E109" s="19">
        <v>45673</v>
      </c>
      <c r="F109" s="20">
        <v>3</v>
      </c>
      <c r="G109" s="18" t="s">
        <v>1108</v>
      </c>
      <c r="H109" s="65"/>
      <c r="I109" s="18" t="s">
        <v>1121</v>
      </c>
      <c r="J109" s="66" t="s">
        <v>42</v>
      </c>
      <c r="K109" s="66" t="s">
        <v>420</v>
      </c>
      <c r="L109" s="67" t="s">
        <v>1145</v>
      </c>
      <c r="M109" s="68"/>
      <c r="N109" s="68"/>
      <c r="O109" s="69"/>
      <c r="P109" s="134">
        <v>0.55277777777777781</v>
      </c>
      <c r="Q109" s="70"/>
      <c r="R109" s="134">
        <v>0.55902777777777779</v>
      </c>
      <c r="S109" s="70"/>
      <c r="T109" s="134">
        <v>0.56597222222222221</v>
      </c>
      <c r="U109" s="70"/>
      <c r="V109" s="134">
        <v>0.56944444444444442</v>
      </c>
      <c r="W109" s="70"/>
      <c r="X109" s="134">
        <v>0.57013888888888886</v>
      </c>
      <c r="Y109" s="70"/>
      <c r="Z109" s="134">
        <v>0.57638888888888895</v>
      </c>
      <c r="AA109" s="70" t="s">
        <v>1121</v>
      </c>
      <c r="AB109" s="19">
        <v>45673</v>
      </c>
      <c r="AC109" s="20" t="s">
        <v>1108</v>
      </c>
      <c r="AD109" s="19"/>
      <c r="AE109" s="71">
        <f t="shared" si="73"/>
        <v>796</v>
      </c>
      <c r="AF109" s="71">
        <f t="shared" si="74"/>
        <v>820</v>
      </c>
      <c r="AG109" s="71">
        <f t="shared" si="75"/>
        <v>24</v>
      </c>
      <c r="AH109" s="71">
        <f t="shared" si="76"/>
        <v>24</v>
      </c>
      <c r="AI109" s="71" t="str">
        <f t="shared" si="77"/>
        <v/>
      </c>
      <c r="AJ109" s="71" t="str">
        <f t="shared" si="78"/>
        <v/>
      </c>
      <c r="AK109" s="71" t="str">
        <f t="shared" si="79"/>
        <v/>
      </c>
      <c r="AL109" s="71">
        <f t="shared" si="80"/>
        <v>24</v>
      </c>
      <c r="AM109" s="71">
        <f t="shared" si="81"/>
        <v>0</v>
      </c>
      <c r="AN109" s="72">
        <f t="shared" si="82"/>
        <v>1.736111111111116E-2</v>
      </c>
      <c r="AO109" s="73">
        <f t="shared" si="83"/>
        <v>0</v>
      </c>
      <c r="AP109" s="72" t="str">
        <f t="shared" si="84"/>
        <v>No</v>
      </c>
      <c r="AQ109" s="72">
        <f t="shared" si="85"/>
        <v>6.2500000000000888E-3</v>
      </c>
      <c r="AR109" s="72" t="str">
        <f t="shared" si="86"/>
        <v>Yes</v>
      </c>
      <c r="AS109" s="72" t="str">
        <f t="shared" si="87"/>
        <v>No</v>
      </c>
      <c r="AT109" s="72" t="str">
        <f t="shared" si="88"/>
        <v>No</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f t="shared" si="89"/>
        <v>0</v>
      </c>
      <c r="CO109" s="78">
        <f t="shared" si="90"/>
        <v>0</v>
      </c>
      <c r="CP109" s="78">
        <f t="shared" si="91"/>
        <v>0</v>
      </c>
      <c r="CQ109" s="78">
        <f t="shared" si="92"/>
        <v>0</v>
      </c>
      <c r="CR109" s="78">
        <f t="shared" si="93"/>
        <v>0</v>
      </c>
      <c r="CS109" s="78">
        <f t="shared" si="94"/>
        <v>0</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f t="shared" si="105"/>
        <v>1</v>
      </c>
      <c r="DF109" s="78">
        <f t="shared" si="106"/>
        <v>1</v>
      </c>
      <c r="DG109" s="78">
        <f t="shared" si="107"/>
        <v>1</v>
      </c>
      <c r="DH109" s="78" t="str">
        <f t="shared" si="108"/>
        <v>1</v>
      </c>
      <c r="DI109" s="79">
        <f>IFERROR(IF(J109="","",VLOOKUP(J109,Lists!$D$3:$E$13,2,FALSE)),1)</f>
        <v>0</v>
      </c>
      <c r="DJ109" s="79">
        <f>IFERROR(IF(K109="","",VLOOKUP(K109,Lists!$F$3:$G$14,2,FALSE)),1)</f>
        <v>0</v>
      </c>
      <c r="DK109" s="79" t="str">
        <f>IFERROR(IF(M109="","",VLOOKUP(M109,Lists!$AA$3:$AB$18,2,FALSE)),1)</f>
        <v/>
      </c>
      <c r="DL109" s="79" t="str">
        <f>IFERROR(IF(N109="","",VLOOKUP(N109,Lists!$AC$3:$AD$13,2,FALSE)),1)</f>
        <v/>
      </c>
    </row>
    <row r="110" spans="1:116" ht="15" customHeight="1" x14ac:dyDescent="0.2">
      <c r="A110" s="20">
        <v>419905</v>
      </c>
      <c r="B110" s="19">
        <v>45673</v>
      </c>
      <c r="C110" s="64">
        <v>0.58333333333333337</v>
      </c>
      <c r="D110" s="64" t="s">
        <v>1119</v>
      </c>
      <c r="E110" s="19">
        <v>45673</v>
      </c>
      <c r="F110" s="20">
        <v>3</v>
      </c>
      <c r="G110" s="18" t="s">
        <v>1108</v>
      </c>
      <c r="H110" s="65"/>
      <c r="I110" s="18" t="s">
        <v>1121</v>
      </c>
      <c r="J110" s="66" t="s">
        <v>42</v>
      </c>
      <c r="K110" s="66" t="s">
        <v>420</v>
      </c>
      <c r="L110" s="67" t="s">
        <v>1234</v>
      </c>
      <c r="M110" s="68"/>
      <c r="N110" s="68"/>
      <c r="O110" s="69"/>
      <c r="P110" s="134">
        <v>0.57708333333333328</v>
      </c>
      <c r="Q110" s="70"/>
      <c r="R110" s="134">
        <v>0.59027777777777779</v>
      </c>
      <c r="S110" s="70"/>
      <c r="T110" s="134">
        <v>0.70833333333333337</v>
      </c>
      <c r="U110" s="70"/>
      <c r="V110" s="134">
        <v>0.71805555555555556</v>
      </c>
      <c r="W110" s="70"/>
      <c r="X110" s="134">
        <v>0.71875</v>
      </c>
      <c r="Y110" s="70"/>
      <c r="Z110" s="134">
        <v>0.72569444444444453</v>
      </c>
      <c r="AA110" s="70" t="s">
        <v>1121</v>
      </c>
      <c r="AB110" s="19">
        <v>45673</v>
      </c>
      <c r="AC110" s="20" t="s">
        <v>1108</v>
      </c>
      <c r="AD110" s="19"/>
      <c r="AE110" s="71">
        <f t="shared" si="73"/>
        <v>831</v>
      </c>
      <c r="AF110" s="71">
        <f t="shared" si="74"/>
        <v>1034</v>
      </c>
      <c r="AG110" s="71">
        <f t="shared" si="75"/>
        <v>203</v>
      </c>
      <c r="AH110" s="71" t="str">
        <f t="shared" si="76"/>
        <v/>
      </c>
      <c r="AI110" s="71" t="str">
        <f t="shared" si="77"/>
        <v/>
      </c>
      <c r="AJ110" s="71">
        <f t="shared" si="78"/>
        <v>129</v>
      </c>
      <c r="AK110" s="71" t="str">
        <f t="shared" si="79"/>
        <v/>
      </c>
      <c r="AL110" s="71">
        <f t="shared" si="80"/>
        <v>129</v>
      </c>
      <c r="AM110" s="71">
        <f t="shared" si="81"/>
        <v>74</v>
      </c>
      <c r="AN110" s="72">
        <f t="shared" si="82"/>
        <v>6.9444444444444198E-3</v>
      </c>
      <c r="AO110" s="73">
        <f t="shared" si="83"/>
        <v>0</v>
      </c>
      <c r="AP110" s="72" t="str">
        <f t="shared" si="84"/>
        <v>Yes</v>
      </c>
      <c r="AQ110" s="72">
        <f t="shared" si="85"/>
        <v>6.9444444444445308E-3</v>
      </c>
      <c r="AR110" s="72" t="str">
        <f t="shared" si="86"/>
        <v>Yes</v>
      </c>
      <c r="AS110" s="72" t="str">
        <f t="shared" si="87"/>
        <v>No</v>
      </c>
      <c r="AT110" s="72" t="str">
        <f t="shared" si="88"/>
        <v>No</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f t="shared" si="89"/>
        <v>0</v>
      </c>
      <c r="CO110" s="78">
        <f t="shared" si="90"/>
        <v>0</v>
      </c>
      <c r="CP110" s="78">
        <f t="shared" si="91"/>
        <v>0</v>
      </c>
      <c r="CQ110" s="78">
        <f t="shared" si="92"/>
        <v>0</v>
      </c>
      <c r="CR110" s="78">
        <f t="shared" si="93"/>
        <v>0</v>
      </c>
      <c r="CS110" s="78">
        <f t="shared" si="94"/>
        <v>0</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f t="shared" si="105"/>
        <v>1</v>
      </c>
      <c r="DF110" s="78">
        <f t="shared" si="106"/>
        <v>1</v>
      </c>
      <c r="DG110" s="78">
        <f t="shared" si="107"/>
        <v>1</v>
      </c>
      <c r="DH110" s="78" t="str">
        <f t="shared" si="108"/>
        <v>1</v>
      </c>
      <c r="DI110" s="79">
        <f>IFERROR(IF(J110="","",VLOOKUP(J110,Lists!$D$3:$E$13,2,FALSE)),1)</f>
        <v>0</v>
      </c>
      <c r="DJ110" s="79">
        <f>IFERROR(IF(K110="","",VLOOKUP(K110,Lists!$F$3:$G$14,2,FALSE)),1)</f>
        <v>0</v>
      </c>
      <c r="DK110" s="79" t="str">
        <f>IFERROR(IF(M110="","",VLOOKUP(M110,Lists!$AA$3:$AB$18,2,FALSE)),1)</f>
        <v/>
      </c>
      <c r="DL110" s="79" t="str">
        <f>IFERROR(IF(N110="","",VLOOKUP(N110,Lists!$AC$3:$AD$13,2,FALSE)),1)</f>
        <v/>
      </c>
    </row>
    <row r="111" spans="1:116" ht="15" customHeight="1" x14ac:dyDescent="0.2">
      <c r="A111" s="20">
        <v>369113</v>
      </c>
      <c r="B111" s="19">
        <v>45673</v>
      </c>
      <c r="C111" s="64">
        <v>0.33333333333333331</v>
      </c>
      <c r="D111" s="64" t="s">
        <v>1170</v>
      </c>
      <c r="E111" s="19">
        <v>45672</v>
      </c>
      <c r="F111" s="20">
        <v>7</v>
      </c>
      <c r="G111" s="18" t="s">
        <v>1108</v>
      </c>
      <c r="H111" s="65"/>
      <c r="I111" s="18" t="s">
        <v>1108</v>
      </c>
      <c r="J111" s="66"/>
      <c r="K111" s="66"/>
      <c r="L111" s="67"/>
      <c r="M111" s="68" t="s">
        <v>41</v>
      </c>
      <c r="N111" s="68" t="s">
        <v>417</v>
      </c>
      <c r="O111" s="69"/>
      <c r="P111" s="134">
        <v>0.32777777777777778</v>
      </c>
      <c r="Q111" s="70"/>
      <c r="R111" s="134">
        <v>0.35625000000000001</v>
      </c>
      <c r="S111" s="70"/>
      <c r="T111" s="134">
        <v>0.375</v>
      </c>
      <c r="U111" s="70"/>
      <c r="V111" s="134">
        <v>0.3923611111111111</v>
      </c>
      <c r="W111" s="70"/>
      <c r="X111" s="134">
        <v>0.39305555555555555</v>
      </c>
      <c r="Y111" s="70"/>
      <c r="Z111" s="134">
        <v>0.39930555555555558</v>
      </c>
      <c r="AA111" s="70" t="s">
        <v>1121</v>
      </c>
      <c r="AB111" s="19">
        <v>45674</v>
      </c>
      <c r="AC111" s="20" t="s">
        <v>1108</v>
      </c>
      <c r="AD111" s="19"/>
      <c r="AE111" s="71">
        <f t="shared" si="73"/>
        <v>472</v>
      </c>
      <c r="AF111" s="71">
        <f t="shared" si="74"/>
        <v>565</v>
      </c>
      <c r="AG111" s="71">
        <f t="shared" si="75"/>
        <v>93</v>
      </c>
      <c r="AH111" s="71">
        <f t="shared" si="76"/>
        <v>0</v>
      </c>
      <c r="AI111" s="71">
        <f t="shared" si="77"/>
        <v>85</v>
      </c>
      <c r="AJ111" s="71" t="str">
        <f t="shared" si="78"/>
        <v/>
      </c>
      <c r="AK111" s="71" t="str">
        <f t="shared" si="79"/>
        <v/>
      </c>
      <c r="AL111" s="71">
        <f t="shared" si="80"/>
        <v>85</v>
      </c>
      <c r="AM111" s="71">
        <f t="shared" si="81"/>
        <v>8</v>
      </c>
      <c r="AN111" s="72">
        <f t="shared" si="82"/>
        <v>2.2916666666666696E-2</v>
      </c>
      <c r="AO111" s="73">
        <f t="shared" si="83"/>
        <v>1</v>
      </c>
      <c r="AP111" s="72" t="str">
        <f t="shared" si="84"/>
        <v>No</v>
      </c>
      <c r="AQ111" s="72">
        <f t="shared" si="85"/>
        <v>6.2500000000000333E-3</v>
      </c>
      <c r="AR111" s="72" t="str">
        <f t="shared" si="86"/>
        <v/>
      </c>
      <c r="AS111" s="72" t="str">
        <f t="shared" si="87"/>
        <v/>
      </c>
      <c r="AT111" s="72" t="str">
        <f t="shared" si="88"/>
        <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f t="shared" si="89"/>
        <v>0</v>
      </c>
      <c r="CO111" s="78">
        <f t="shared" si="90"/>
        <v>0</v>
      </c>
      <c r="CP111" s="78">
        <f t="shared" si="91"/>
        <v>0</v>
      </c>
      <c r="CQ111" s="78">
        <f t="shared" si="92"/>
        <v>0</v>
      </c>
      <c r="CR111" s="78">
        <f t="shared" si="93"/>
        <v>0</v>
      </c>
      <c r="CS111" s="78">
        <f t="shared" si="94"/>
        <v>0</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f t="shared" si="105"/>
        <v>1</v>
      </c>
      <c r="DF111" s="78">
        <f t="shared" si="106"/>
        <v>1</v>
      </c>
      <c r="DG111" s="78">
        <f t="shared" si="107"/>
        <v>1</v>
      </c>
      <c r="DH111" s="78" t="str">
        <f t="shared" si="108"/>
        <v>1</v>
      </c>
      <c r="DI111" s="79" t="str">
        <f>IFERROR(IF(J111="","",VLOOKUP(J111,Lists!$D$3:$E$13,2,FALSE)),1)</f>
        <v/>
      </c>
      <c r="DJ111" s="79" t="str">
        <f>IFERROR(IF(K111="","",VLOOKUP(K111,Lists!$F$3:$G$14,2,FALSE)),1)</f>
        <v/>
      </c>
      <c r="DK111" s="79">
        <f>IFERROR(IF(M111="","",VLOOKUP(M111,Lists!$AA$3:$AB$18,2,FALSE)),1)</f>
        <v>0</v>
      </c>
      <c r="DL111" s="79">
        <f>IFERROR(IF(N111="","",VLOOKUP(N111,Lists!$AC$3:$AD$13,2,FALSE)),1)</f>
        <v>0</v>
      </c>
    </row>
    <row r="112" spans="1:116" ht="15" customHeight="1" x14ac:dyDescent="0.2">
      <c r="A112" s="20">
        <v>369112</v>
      </c>
      <c r="B112" s="19">
        <v>45673</v>
      </c>
      <c r="C112" s="64">
        <v>0.39583333333333331</v>
      </c>
      <c r="D112" s="64" t="s">
        <v>1170</v>
      </c>
      <c r="E112" s="19">
        <v>45672</v>
      </c>
      <c r="F112" s="20">
        <v>7</v>
      </c>
      <c r="G112" s="18" t="s">
        <v>1108</v>
      </c>
      <c r="H112" s="65"/>
      <c r="I112" s="18" t="s">
        <v>1108</v>
      </c>
      <c r="J112" s="66"/>
      <c r="K112" s="66"/>
      <c r="L112" s="67"/>
      <c r="M112" s="68" t="s">
        <v>41</v>
      </c>
      <c r="N112" s="68" t="s">
        <v>417</v>
      </c>
      <c r="O112" s="69"/>
      <c r="P112" s="134">
        <v>0.40138888888888885</v>
      </c>
      <c r="Q112" s="70"/>
      <c r="R112" s="134">
        <v>0.41319444444444442</v>
      </c>
      <c r="S112" s="70"/>
      <c r="T112" s="134">
        <v>0.42708333333333331</v>
      </c>
      <c r="U112" s="70"/>
      <c r="V112" s="134">
        <v>0.44097222222222227</v>
      </c>
      <c r="W112" s="70"/>
      <c r="X112" s="134">
        <v>0.44166666666666665</v>
      </c>
      <c r="Y112" s="70"/>
      <c r="Z112" s="134">
        <v>0.44791666666666669</v>
      </c>
      <c r="AA112" s="70" t="s">
        <v>1121</v>
      </c>
      <c r="AB112" s="19">
        <v>45674</v>
      </c>
      <c r="AC112" s="20" t="s">
        <v>1108</v>
      </c>
      <c r="AD112" s="19"/>
      <c r="AE112" s="71">
        <f t="shared" si="73"/>
        <v>578</v>
      </c>
      <c r="AF112" s="71">
        <f t="shared" si="74"/>
        <v>635</v>
      </c>
      <c r="AG112" s="71">
        <f t="shared" si="75"/>
        <v>57</v>
      </c>
      <c r="AH112" s="71">
        <f t="shared" si="76"/>
        <v>57</v>
      </c>
      <c r="AI112" s="71" t="str">
        <f t="shared" si="77"/>
        <v/>
      </c>
      <c r="AJ112" s="71" t="str">
        <f t="shared" si="78"/>
        <v/>
      </c>
      <c r="AK112" s="71" t="str">
        <f t="shared" si="79"/>
        <v/>
      </c>
      <c r="AL112" s="71">
        <f t="shared" si="80"/>
        <v>57</v>
      </c>
      <c r="AM112" s="71">
        <f t="shared" si="81"/>
        <v>0</v>
      </c>
      <c r="AN112" s="72">
        <f t="shared" si="82"/>
        <v>1.7361111111111105E-2</v>
      </c>
      <c r="AO112" s="73">
        <f t="shared" si="83"/>
        <v>1</v>
      </c>
      <c r="AP112" s="72" t="str">
        <f t="shared" si="84"/>
        <v>No</v>
      </c>
      <c r="AQ112" s="72">
        <f t="shared" si="85"/>
        <v>6.2500000000000333E-3</v>
      </c>
      <c r="AR112" s="72" t="str">
        <f t="shared" si="86"/>
        <v/>
      </c>
      <c r="AS112" s="72" t="str">
        <f t="shared" si="87"/>
        <v/>
      </c>
      <c r="AT112" s="72" t="str">
        <f t="shared" si="88"/>
        <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f t="shared" si="89"/>
        <v>0</v>
      </c>
      <c r="CO112" s="78">
        <f t="shared" si="90"/>
        <v>0</v>
      </c>
      <c r="CP112" s="78">
        <f t="shared" si="91"/>
        <v>0</v>
      </c>
      <c r="CQ112" s="78">
        <f t="shared" si="92"/>
        <v>0</v>
      </c>
      <c r="CR112" s="78">
        <f t="shared" si="93"/>
        <v>0</v>
      </c>
      <c r="CS112" s="78">
        <f t="shared" si="94"/>
        <v>0</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0</v>
      </c>
      <c r="DC112" s="78">
        <f t="shared" si="103"/>
        <v>0</v>
      </c>
      <c r="DD112" s="78">
        <f t="shared" si="104"/>
        <v>0</v>
      </c>
      <c r="DE112" s="78">
        <f t="shared" si="105"/>
        <v>1</v>
      </c>
      <c r="DF112" s="78">
        <f t="shared" si="106"/>
        <v>1</v>
      </c>
      <c r="DG112" s="78">
        <f t="shared" si="107"/>
        <v>1</v>
      </c>
      <c r="DH112" s="78" t="str">
        <f t="shared" si="108"/>
        <v>1</v>
      </c>
      <c r="DI112" s="79" t="str">
        <f>IFERROR(IF(J112="","",VLOOKUP(J112,Lists!$D$3:$E$13,2,FALSE)),1)</f>
        <v/>
      </c>
      <c r="DJ112" s="79" t="str">
        <f>IFERROR(IF(K112="","",VLOOKUP(K112,Lists!$F$3:$G$14,2,FALSE)),1)</f>
        <v/>
      </c>
      <c r="DK112" s="79">
        <f>IFERROR(IF(M112="","",VLOOKUP(M112,Lists!$AA$3:$AB$18,2,FALSE)),1)</f>
        <v>0</v>
      </c>
      <c r="DL112" s="79">
        <f>IFERROR(IF(N112="","",VLOOKUP(N112,Lists!$AC$3:$AD$13,2,FALSE)),1)</f>
        <v>0</v>
      </c>
    </row>
    <row r="113" spans="1:116" ht="15" customHeight="1" x14ac:dyDescent="0.2">
      <c r="A113" s="20">
        <v>410096</v>
      </c>
      <c r="B113" s="19">
        <v>45673</v>
      </c>
      <c r="C113" s="64">
        <v>0.45833333333333331</v>
      </c>
      <c r="D113" s="64" t="s">
        <v>1170</v>
      </c>
      <c r="E113" s="19">
        <v>45672</v>
      </c>
      <c r="F113" s="20">
        <v>7</v>
      </c>
      <c r="G113" s="18" t="s">
        <v>1108</v>
      </c>
      <c r="H113" s="65"/>
      <c r="I113" s="18" t="s">
        <v>1108</v>
      </c>
      <c r="J113" s="66"/>
      <c r="K113" s="66"/>
      <c r="L113" s="67"/>
      <c r="M113" s="68" t="s">
        <v>41</v>
      </c>
      <c r="N113" s="68" t="s">
        <v>420</v>
      </c>
      <c r="O113" s="69" t="s">
        <v>1235</v>
      </c>
      <c r="P113" s="134">
        <v>0.4513888888888889</v>
      </c>
      <c r="Q113" s="70"/>
      <c r="R113" s="134">
        <v>0.47222222222222227</v>
      </c>
      <c r="S113" s="70"/>
      <c r="T113" s="134">
        <v>0.54166666666666663</v>
      </c>
      <c r="U113" s="70"/>
      <c r="V113" s="134">
        <v>0.55555555555555558</v>
      </c>
      <c r="W113" s="70"/>
      <c r="X113" s="134">
        <v>0.55625000000000002</v>
      </c>
      <c r="Y113" s="70"/>
      <c r="Z113" s="134">
        <v>0.5625</v>
      </c>
      <c r="AA113" s="70" t="s">
        <v>1121</v>
      </c>
      <c r="AB113" s="19">
        <v>45675</v>
      </c>
      <c r="AC113" s="20" t="s">
        <v>1108</v>
      </c>
      <c r="AD113" s="19"/>
      <c r="AE113" s="71">
        <f t="shared" si="73"/>
        <v>650</v>
      </c>
      <c r="AF113" s="71">
        <f t="shared" si="74"/>
        <v>800</v>
      </c>
      <c r="AG113" s="71">
        <f t="shared" si="75"/>
        <v>150</v>
      </c>
      <c r="AH113" s="71">
        <f t="shared" si="76"/>
        <v>150</v>
      </c>
      <c r="AI113" s="71" t="str">
        <f t="shared" si="77"/>
        <v/>
      </c>
      <c r="AJ113" s="71" t="str">
        <f t="shared" si="78"/>
        <v/>
      </c>
      <c r="AK113" s="71" t="str">
        <f t="shared" si="79"/>
        <v/>
      </c>
      <c r="AL113" s="71">
        <f t="shared" si="80"/>
        <v>150</v>
      </c>
      <c r="AM113" s="71">
        <f t="shared" si="81"/>
        <v>0</v>
      </c>
      <c r="AN113" s="72">
        <f t="shared" si="82"/>
        <v>1.3888888888888951E-2</v>
      </c>
      <c r="AO113" s="73">
        <f t="shared" si="83"/>
        <v>1</v>
      </c>
      <c r="AP113" s="72" t="str">
        <f t="shared" si="84"/>
        <v>No</v>
      </c>
      <c r="AQ113" s="72">
        <f t="shared" si="85"/>
        <v>6.2499999999999778E-3</v>
      </c>
      <c r="AR113" s="72" t="str">
        <f t="shared" si="86"/>
        <v/>
      </c>
      <c r="AS113" s="72" t="str">
        <f t="shared" si="87"/>
        <v/>
      </c>
      <c r="AT113" s="72" t="str">
        <f t="shared" si="88"/>
        <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f t="shared" si="89"/>
        <v>0</v>
      </c>
      <c r="CO113" s="78">
        <f t="shared" si="90"/>
        <v>0</v>
      </c>
      <c r="CP113" s="78">
        <f t="shared" si="91"/>
        <v>0</v>
      </c>
      <c r="CQ113" s="78">
        <f t="shared" si="92"/>
        <v>0</v>
      </c>
      <c r="CR113" s="78">
        <f t="shared" si="93"/>
        <v>0</v>
      </c>
      <c r="CS113" s="78">
        <f t="shared" si="94"/>
        <v>0</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f t="shared" si="105"/>
        <v>1</v>
      </c>
      <c r="DF113" s="78">
        <f t="shared" si="106"/>
        <v>1</v>
      </c>
      <c r="DG113" s="78">
        <f t="shared" si="107"/>
        <v>1</v>
      </c>
      <c r="DH113" s="78" t="str">
        <f t="shared" si="108"/>
        <v>1</v>
      </c>
      <c r="DI113" s="79" t="str">
        <f>IFERROR(IF(J113="","",VLOOKUP(J113,Lists!$D$3:$E$13,2,FALSE)),1)</f>
        <v/>
      </c>
      <c r="DJ113" s="79" t="str">
        <f>IFERROR(IF(K113="","",VLOOKUP(K113,Lists!$F$3:$G$14,2,FALSE)),1)</f>
        <v/>
      </c>
      <c r="DK113" s="79">
        <f>IFERROR(IF(M113="","",VLOOKUP(M113,Lists!$AA$3:$AB$18,2,FALSE)),1)</f>
        <v>0</v>
      </c>
      <c r="DL113" s="79">
        <f>IFERROR(IF(N113="","",VLOOKUP(N113,Lists!$AC$3:$AD$13,2,FALSE)),1)</f>
        <v>0</v>
      </c>
    </row>
    <row r="114" spans="1:116" ht="15" customHeight="1" x14ac:dyDescent="0.2">
      <c r="A114" s="20">
        <v>327360</v>
      </c>
      <c r="B114" s="19">
        <v>45673</v>
      </c>
      <c r="C114" s="64">
        <v>0.5625</v>
      </c>
      <c r="D114" s="64" t="s">
        <v>1169</v>
      </c>
      <c r="E114" s="19">
        <v>45673</v>
      </c>
      <c r="F114" s="20">
        <v>7</v>
      </c>
      <c r="G114" s="18" t="s">
        <v>1108</v>
      </c>
      <c r="H114" s="65"/>
      <c r="I114" s="18" t="s">
        <v>1121</v>
      </c>
      <c r="J114" s="66" t="s">
        <v>55</v>
      </c>
      <c r="K114" s="66" t="s">
        <v>417</v>
      </c>
      <c r="L114" s="67"/>
      <c r="M114" s="68"/>
      <c r="N114" s="68"/>
      <c r="O114" s="69"/>
      <c r="P114" s="134">
        <v>0.56319444444444444</v>
      </c>
      <c r="Q114" s="70"/>
      <c r="R114" s="134">
        <v>0.57500000000000007</v>
      </c>
      <c r="S114" s="70"/>
      <c r="T114" s="134">
        <v>0.59513888888888888</v>
      </c>
      <c r="U114" s="70"/>
      <c r="V114" s="134">
        <v>0.60347222222222219</v>
      </c>
      <c r="W114" s="70"/>
      <c r="X114" s="134">
        <v>0.60416666666666663</v>
      </c>
      <c r="Y114" s="70"/>
      <c r="Z114" s="134">
        <v>0.61111111111111105</v>
      </c>
      <c r="AA114" s="70" t="s">
        <v>1121</v>
      </c>
      <c r="AB114" s="19">
        <v>45673</v>
      </c>
      <c r="AC114" s="20" t="s">
        <v>1108</v>
      </c>
      <c r="AD114" s="19"/>
      <c r="AE114" s="71">
        <f t="shared" si="73"/>
        <v>811</v>
      </c>
      <c r="AF114" s="71">
        <f t="shared" si="74"/>
        <v>869</v>
      </c>
      <c r="AG114" s="71">
        <f t="shared" si="75"/>
        <v>58</v>
      </c>
      <c r="AH114" s="71">
        <f t="shared" si="76"/>
        <v>58</v>
      </c>
      <c r="AI114" s="71" t="str">
        <f t="shared" si="77"/>
        <v/>
      </c>
      <c r="AJ114" s="71" t="str">
        <f t="shared" si="78"/>
        <v/>
      </c>
      <c r="AK114" s="71" t="str">
        <f t="shared" si="79"/>
        <v/>
      </c>
      <c r="AL114" s="71">
        <f t="shared" si="80"/>
        <v>58</v>
      </c>
      <c r="AM114" s="71">
        <f t="shared" si="81"/>
        <v>0</v>
      </c>
      <c r="AN114" s="72">
        <f t="shared" si="82"/>
        <v>1.2500000000000067E-2</v>
      </c>
      <c r="AO114" s="73">
        <f t="shared" si="83"/>
        <v>0</v>
      </c>
      <c r="AP114" s="72" t="str">
        <f t="shared" si="84"/>
        <v>No</v>
      </c>
      <c r="AQ114" s="72">
        <f t="shared" si="85"/>
        <v>6.9444444444444198E-3</v>
      </c>
      <c r="AR114" s="72" t="str">
        <f t="shared" si="86"/>
        <v>Yes</v>
      </c>
      <c r="AS114" s="72" t="str">
        <f t="shared" si="87"/>
        <v>No</v>
      </c>
      <c r="AT114" s="72" t="str">
        <f t="shared" si="88"/>
        <v>No</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f t="shared" si="89"/>
        <v>0</v>
      </c>
      <c r="CO114" s="78">
        <f t="shared" si="90"/>
        <v>0</v>
      </c>
      <c r="CP114" s="78">
        <f t="shared" si="91"/>
        <v>0</v>
      </c>
      <c r="CQ114" s="78">
        <f t="shared" si="92"/>
        <v>0</v>
      </c>
      <c r="CR114" s="78">
        <f t="shared" si="93"/>
        <v>0</v>
      </c>
      <c r="CS114" s="78">
        <f t="shared" si="94"/>
        <v>0</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f t="shared" si="105"/>
        <v>1</v>
      </c>
      <c r="DF114" s="78">
        <f t="shared" si="106"/>
        <v>1</v>
      </c>
      <c r="DG114" s="78">
        <f t="shared" si="107"/>
        <v>1</v>
      </c>
      <c r="DH114" s="78" t="str">
        <f t="shared" si="108"/>
        <v>1</v>
      </c>
      <c r="DI114" s="79">
        <f>IFERROR(IF(J114="","",VLOOKUP(J114,Lists!$D$3:$E$13,2,FALSE)),1)</f>
        <v>0</v>
      </c>
      <c r="DJ114" s="79">
        <f>IFERROR(IF(K114="","",VLOOKUP(K114,Lists!$F$3:$G$14,2,FALSE)),1)</f>
        <v>0</v>
      </c>
      <c r="DK114" s="79" t="str">
        <f>IFERROR(IF(M114="","",VLOOKUP(M114,Lists!$AA$3:$AB$18,2,FALSE)),1)</f>
        <v/>
      </c>
      <c r="DL114" s="79" t="str">
        <f>IFERROR(IF(N114="","",VLOOKUP(N114,Lists!$AC$3:$AD$13,2,FALSE)),1)</f>
        <v/>
      </c>
    </row>
    <row r="115" spans="1:116" ht="15" customHeight="1" x14ac:dyDescent="0.2">
      <c r="A115" s="20">
        <v>417071</v>
      </c>
      <c r="B115" s="19">
        <v>45673</v>
      </c>
      <c r="C115" s="64">
        <v>0.625</v>
      </c>
      <c r="D115" s="64" t="s">
        <v>1169</v>
      </c>
      <c r="E115" s="19">
        <v>45673</v>
      </c>
      <c r="F115" s="20">
        <v>7</v>
      </c>
      <c r="G115" s="18" t="s">
        <v>1108</v>
      </c>
      <c r="H115" s="65"/>
      <c r="I115" s="18" t="s">
        <v>1121</v>
      </c>
      <c r="J115" s="66" t="s">
        <v>55</v>
      </c>
      <c r="K115" s="66" t="s">
        <v>417</v>
      </c>
      <c r="L115" s="67"/>
      <c r="M115" s="68"/>
      <c r="N115" s="68"/>
      <c r="O115" s="69"/>
      <c r="P115" s="134">
        <v>0.625</v>
      </c>
      <c r="Q115" s="70"/>
      <c r="R115" s="134">
        <v>0.63541666666666663</v>
      </c>
      <c r="S115" s="70"/>
      <c r="T115" s="134">
        <v>0.64583333333333337</v>
      </c>
      <c r="U115" s="70"/>
      <c r="V115" s="134">
        <v>0.65625</v>
      </c>
      <c r="W115" s="70"/>
      <c r="X115" s="134">
        <v>0.65694444444444444</v>
      </c>
      <c r="Y115" s="70"/>
      <c r="Z115" s="134">
        <v>0.66319444444444442</v>
      </c>
      <c r="AA115" s="70" t="s">
        <v>1121</v>
      </c>
      <c r="AB115" s="19">
        <v>45673</v>
      </c>
      <c r="AC115" s="20" t="s">
        <v>1108</v>
      </c>
      <c r="AD115" s="19"/>
      <c r="AE115" s="71">
        <f t="shared" si="73"/>
        <v>900</v>
      </c>
      <c r="AF115" s="71">
        <f t="shared" si="74"/>
        <v>945</v>
      </c>
      <c r="AG115" s="71">
        <f t="shared" si="75"/>
        <v>45</v>
      </c>
      <c r="AH115" s="71">
        <f t="shared" si="76"/>
        <v>45</v>
      </c>
      <c r="AI115" s="71" t="str">
        <f t="shared" si="77"/>
        <v/>
      </c>
      <c r="AJ115" s="71" t="str">
        <f t="shared" si="78"/>
        <v/>
      </c>
      <c r="AK115" s="71" t="str">
        <f t="shared" si="79"/>
        <v/>
      </c>
      <c r="AL115" s="71">
        <f t="shared" si="80"/>
        <v>45</v>
      </c>
      <c r="AM115" s="71">
        <f t="shared" si="81"/>
        <v>0</v>
      </c>
      <c r="AN115" s="72">
        <f t="shared" si="82"/>
        <v>1.041666666666663E-2</v>
      </c>
      <c r="AO115" s="73">
        <f t="shared" si="83"/>
        <v>0</v>
      </c>
      <c r="AP115" s="72" t="str">
        <f t="shared" si="84"/>
        <v>Yes</v>
      </c>
      <c r="AQ115" s="72">
        <f t="shared" si="85"/>
        <v>6.2499999999999778E-3</v>
      </c>
      <c r="AR115" s="72" t="str">
        <f t="shared" si="86"/>
        <v>Yes</v>
      </c>
      <c r="AS115" s="72" t="str">
        <f t="shared" si="87"/>
        <v>No</v>
      </c>
      <c r="AT115" s="72" t="str">
        <f t="shared" si="88"/>
        <v>No</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f t="shared" si="89"/>
        <v>0</v>
      </c>
      <c r="CO115" s="78">
        <f t="shared" si="90"/>
        <v>0</v>
      </c>
      <c r="CP115" s="78">
        <f t="shared" si="91"/>
        <v>0</v>
      </c>
      <c r="CQ115" s="78">
        <f t="shared" si="92"/>
        <v>0</v>
      </c>
      <c r="CR115" s="78">
        <f t="shared" si="93"/>
        <v>0</v>
      </c>
      <c r="CS115" s="78">
        <f t="shared" si="94"/>
        <v>0</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0</v>
      </c>
      <c r="DC115" s="78">
        <f t="shared" si="103"/>
        <v>0</v>
      </c>
      <c r="DD115" s="78">
        <f t="shared" si="104"/>
        <v>0</v>
      </c>
      <c r="DE115" s="78">
        <f t="shared" si="105"/>
        <v>1</v>
      </c>
      <c r="DF115" s="78">
        <f t="shared" si="106"/>
        <v>1</v>
      </c>
      <c r="DG115" s="78">
        <f t="shared" si="107"/>
        <v>1</v>
      </c>
      <c r="DH115" s="78" t="str">
        <f t="shared" si="108"/>
        <v>1</v>
      </c>
      <c r="DI115" s="79">
        <f>IFERROR(IF(J115="","",VLOOKUP(J115,Lists!$D$3:$E$13,2,FALSE)),1)</f>
        <v>0</v>
      </c>
      <c r="DJ115" s="79">
        <f>IFERROR(IF(K115="","",VLOOKUP(K115,Lists!$F$3:$G$14,2,FALSE)),1)</f>
        <v>0</v>
      </c>
      <c r="DK115" s="79" t="str">
        <f>IFERROR(IF(M115="","",VLOOKUP(M115,Lists!$AA$3:$AB$18,2,FALSE)),1)</f>
        <v/>
      </c>
      <c r="DL115" s="79" t="str">
        <f>IFERROR(IF(N115="","",VLOOKUP(N115,Lists!$AC$3:$AD$13,2,FALSE)),1)</f>
        <v/>
      </c>
    </row>
    <row r="116" spans="1:116" ht="15" customHeight="1" x14ac:dyDescent="0.2">
      <c r="A116" s="20">
        <v>417197</v>
      </c>
      <c r="B116" s="19">
        <v>45673</v>
      </c>
      <c r="C116" s="64">
        <v>0.33333333333333331</v>
      </c>
      <c r="D116" s="64" t="s">
        <v>1147</v>
      </c>
      <c r="E116" s="19">
        <v>45671</v>
      </c>
      <c r="F116" s="20">
        <v>4</v>
      </c>
      <c r="G116" s="18" t="s">
        <v>1108</v>
      </c>
      <c r="H116" s="65"/>
      <c r="I116" s="18" t="s">
        <v>1108</v>
      </c>
      <c r="J116" s="66"/>
      <c r="K116" s="66"/>
      <c r="L116" s="67"/>
      <c r="M116" s="68" t="s">
        <v>27</v>
      </c>
      <c r="N116" s="68" t="s">
        <v>420</v>
      </c>
      <c r="O116" s="69" t="s">
        <v>1236</v>
      </c>
      <c r="P116" s="134">
        <v>0.31041666666666667</v>
      </c>
      <c r="Q116" s="70"/>
      <c r="R116" s="134">
        <v>0.36249999999999999</v>
      </c>
      <c r="S116" s="70"/>
      <c r="T116" s="134">
        <v>0.52777777777777779</v>
      </c>
      <c r="U116" s="70"/>
      <c r="V116" s="134">
        <v>0.54513888888888895</v>
      </c>
      <c r="W116" s="70"/>
      <c r="X116" s="134">
        <v>0.54583333333333328</v>
      </c>
      <c r="Y116" s="70"/>
      <c r="Z116" s="134">
        <v>0.55208333333333337</v>
      </c>
      <c r="AA116" s="70" t="s">
        <v>1121</v>
      </c>
      <c r="AB116" s="19">
        <v>45674</v>
      </c>
      <c r="AC116" s="20" t="s">
        <v>1108</v>
      </c>
      <c r="AD116" s="19"/>
      <c r="AE116" s="71">
        <f t="shared" si="73"/>
        <v>447</v>
      </c>
      <c r="AF116" s="71">
        <f t="shared" si="74"/>
        <v>785</v>
      </c>
      <c r="AG116" s="71">
        <f t="shared" si="75"/>
        <v>338</v>
      </c>
      <c r="AH116" s="71">
        <f t="shared" si="76"/>
        <v>0</v>
      </c>
      <c r="AI116" s="71">
        <f t="shared" si="77"/>
        <v>305</v>
      </c>
      <c r="AJ116" s="71" t="str">
        <f t="shared" si="78"/>
        <v/>
      </c>
      <c r="AK116" s="71" t="str">
        <f t="shared" si="79"/>
        <v/>
      </c>
      <c r="AL116" s="71">
        <f t="shared" si="80"/>
        <v>305</v>
      </c>
      <c r="AM116" s="71">
        <f t="shared" si="81"/>
        <v>33</v>
      </c>
      <c r="AN116" s="72">
        <f t="shared" si="82"/>
        <v>2.9166666666666674E-2</v>
      </c>
      <c r="AO116" s="73">
        <f t="shared" si="83"/>
        <v>2</v>
      </c>
      <c r="AP116" s="72" t="str">
        <f t="shared" si="84"/>
        <v>No</v>
      </c>
      <c r="AQ116" s="72">
        <f t="shared" si="85"/>
        <v>6.2500000000000888E-3</v>
      </c>
      <c r="AR116" s="72" t="str">
        <f t="shared" si="86"/>
        <v/>
      </c>
      <c r="AS116" s="72" t="str">
        <f t="shared" si="87"/>
        <v/>
      </c>
      <c r="AT116" s="72" t="str">
        <f t="shared" si="88"/>
        <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f t="shared" si="89"/>
        <v>0</v>
      </c>
      <c r="CO116" s="78">
        <f t="shared" si="90"/>
        <v>0</v>
      </c>
      <c r="CP116" s="78">
        <f t="shared" si="91"/>
        <v>0</v>
      </c>
      <c r="CQ116" s="78">
        <f t="shared" si="92"/>
        <v>0</v>
      </c>
      <c r="CR116" s="78">
        <f t="shared" si="93"/>
        <v>0</v>
      </c>
      <c r="CS116" s="78">
        <f t="shared" si="94"/>
        <v>0</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0</v>
      </c>
      <c r="DC116" s="78">
        <f t="shared" si="103"/>
        <v>0</v>
      </c>
      <c r="DD116" s="78">
        <f t="shared" si="104"/>
        <v>0</v>
      </c>
      <c r="DE116" s="78">
        <f t="shared" si="105"/>
        <v>1</v>
      </c>
      <c r="DF116" s="78">
        <f t="shared" si="106"/>
        <v>1</v>
      </c>
      <c r="DG116" s="78">
        <f t="shared" si="107"/>
        <v>1</v>
      </c>
      <c r="DH116" s="78" t="str">
        <f t="shared" si="108"/>
        <v>1</v>
      </c>
      <c r="DI116" s="79" t="str">
        <f>IFERROR(IF(J116="","",VLOOKUP(J116,Lists!$D$3:$E$13,2,FALSE)),1)</f>
        <v/>
      </c>
      <c r="DJ116" s="79" t="str">
        <f>IFERROR(IF(K116="","",VLOOKUP(K116,Lists!$F$3:$G$14,2,FALSE)),1)</f>
        <v/>
      </c>
      <c r="DK116" s="79">
        <f>IFERROR(IF(M116="","",VLOOKUP(M116,Lists!$AA$3:$AB$18,2,FALSE)),1)</f>
        <v>0</v>
      </c>
      <c r="DL116" s="79">
        <f>IFERROR(IF(N116="","",VLOOKUP(N116,Lists!$AC$3:$AD$13,2,FALSE)),1)</f>
        <v>0</v>
      </c>
    </row>
    <row r="117" spans="1:116" ht="15" customHeight="1" x14ac:dyDescent="0.2">
      <c r="A117" s="20">
        <v>302046</v>
      </c>
      <c r="B117" s="19">
        <v>45673</v>
      </c>
      <c r="C117" s="64">
        <v>0.5625</v>
      </c>
      <c r="D117" s="64" t="s">
        <v>1111</v>
      </c>
      <c r="E117" s="19">
        <v>45672</v>
      </c>
      <c r="F117" s="20">
        <v>4</v>
      </c>
      <c r="G117" s="18" t="s">
        <v>1108</v>
      </c>
      <c r="H117" s="65"/>
      <c r="I117" s="18" t="s">
        <v>1108</v>
      </c>
      <c r="J117" s="66"/>
      <c r="K117" s="66"/>
      <c r="L117" s="67"/>
      <c r="M117" s="68" t="s">
        <v>27</v>
      </c>
      <c r="N117" s="68" t="s">
        <v>407</v>
      </c>
      <c r="O117" s="69"/>
      <c r="P117" s="134">
        <v>0.5625</v>
      </c>
      <c r="Q117" s="70"/>
      <c r="R117" s="134">
        <v>0.58333333333333337</v>
      </c>
      <c r="S117" s="70"/>
      <c r="T117" s="134">
        <v>0.71180555555555547</v>
      </c>
      <c r="U117" s="70"/>
      <c r="V117" s="134">
        <v>0.71527777777777779</v>
      </c>
      <c r="W117" s="70"/>
      <c r="X117" s="134">
        <v>0.71597222222222223</v>
      </c>
      <c r="Y117" s="70"/>
      <c r="Z117" s="134">
        <v>0.72222222222222221</v>
      </c>
      <c r="AA117" s="70" t="s">
        <v>1121</v>
      </c>
      <c r="AB117" s="19">
        <v>45674</v>
      </c>
      <c r="AC117" s="20" t="s">
        <v>1108</v>
      </c>
      <c r="AD117" s="19"/>
      <c r="AE117" s="71">
        <f t="shared" si="73"/>
        <v>810</v>
      </c>
      <c r="AF117" s="71">
        <f t="shared" si="74"/>
        <v>1030</v>
      </c>
      <c r="AG117" s="71">
        <f t="shared" si="75"/>
        <v>220</v>
      </c>
      <c r="AH117" s="71" t="str">
        <f t="shared" si="76"/>
        <v/>
      </c>
      <c r="AI117" s="71" t="str">
        <f t="shared" si="77"/>
        <v/>
      </c>
      <c r="AJ117" s="71">
        <f t="shared" si="78"/>
        <v>150</v>
      </c>
      <c r="AK117" s="71" t="str">
        <f t="shared" si="79"/>
        <v/>
      </c>
      <c r="AL117" s="71">
        <f t="shared" si="80"/>
        <v>150</v>
      </c>
      <c r="AM117" s="71">
        <f t="shared" si="81"/>
        <v>70</v>
      </c>
      <c r="AN117" s="72">
        <f t="shared" si="82"/>
        <v>2.083333333333337E-2</v>
      </c>
      <c r="AO117" s="73">
        <f t="shared" si="83"/>
        <v>1</v>
      </c>
      <c r="AP117" s="72" t="str">
        <f t="shared" si="84"/>
        <v>No</v>
      </c>
      <c r="AQ117" s="72">
        <f t="shared" si="85"/>
        <v>6.2499999999999778E-3</v>
      </c>
      <c r="AR117" s="72" t="str">
        <f t="shared" si="86"/>
        <v/>
      </c>
      <c r="AS117" s="72" t="str">
        <f t="shared" si="87"/>
        <v/>
      </c>
      <c r="AT117" s="72" t="str">
        <f t="shared" si="88"/>
        <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f t="shared" si="89"/>
        <v>0</v>
      </c>
      <c r="CO117" s="78">
        <f t="shared" si="90"/>
        <v>0</v>
      </c>
      <c r="CP117" s="78">
        <f t="shared" si="91"/>
        <v>0</v>
      </c>
      <c r="CQ117" s="78">
        <f t="shared" si="92"/>
        <v>0</v>
      </c>
      <c r="CR117" s="78">
        <f t="shared" si="93"/>
        <v>0</v>
      </c>
      <c r="CS117" s="78">
        <f t="shared" si="94"/>
        <v>0</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f t="shared" si="105"/>
        <v>1</v>
      </c>
      <c r="DF117" s="78">
        <f t="shared" si="106"/>
        <v>1</v>
      </c>
      <c r="DG117" s="78">
        <f t="shared" si="107"/>
        <v>1</v>
      </c>
      <c r="DH117" s="78" t="str">
        <f t="shared" si="108"/>
        <v>1</v>
      </c>
      <c r="DI117" s="79" t="str">
        <f>IFERROR(IF(J117="","",VLOOKUP(J117,Lists!$D$3:$E$13,2,FALSE)),1)</f>
        <v/>
      </c>
      <c r="DJ117" s="79" t="str">
        <f>IFERROR(IF(K117="","",VLOOKUP(K117,Lists!$F$3:$G$14,2,FALSE)),1)</f>
        <v/>
      </c>
      <c r="DK117" s="79">
        <f>IFERROR(IF(M117="","",VLOOKUP(M117,Lists!$AA$3:$AB$18,2,FALSE)),1)</f>
        <v>0</v>
      </c>
      <c r="DL117" s="79">
        <f>IFERROR(IF(N117="","",VLOOKUP(N117,Lists!$AC$3:$AD$13,2,FALSE)),1)</f>
        <v>0</v>
      </c>
    </row>
    <row r="118" spans="1:116" ht="15" customHeight="1" x14ac:dyDescent="0.2">
      <c r="A118" s="20">
        <v>423110</v>
      </c>
      <c r="B118" s="19">
        <v>45673</v>
      </c>
      <c r="C118" s="64">
        <v>0.33333333333333331</v>
      </c>
      <c r="D118" s="64" t="s">
        <v>1128</v>
      </c>
      <c r="E118" s="19">
        <v>45666</v>
      </c>
      <c r="F118" s="20">
        <v>5</v>
      </c>
      <c r="G118" s="18" t="s">
        <v>1108</v>
      </c>
      <c r="H118" s="65"/>
      <c r="I118" s="18" t="s">
        <v>1108</v>
      </c>
      <c r="J118" s="66"/>
      <c r="K118" s="66"/>
      <c r="L118" s="67"/>
      <c r="M118" s="68" t="s">
        <v>39</v>
      </c>
      <c r="N118" s="68" t="s">
        <v>420</v>
      </c>
      <c r="O118" s="69" t="s">
        <v>1189</v>
      </c>
      <c r="P118" s="134">
        <v>0.33124999999999999</v>
      </c>
      <c r="Q118" s="70"/>
      <c r="R118" s="134">
        <v>0.35694444444444445</v>
      </c>
      <c r="S118" s="70"/>
      <c r="T118" s="134">
        <v>0.52638888888888891</v>
      </c>
      <c r="U118" s="70"/>
      <c r="V118" s="134">
        <v>0.54166666666666663</v>
      </c>
      <c r="W118" s="70"/>
      <c r="X118" s="134">
        <v>0.54236111111111118</v>
      </c>
      <c r="Y118" s="70"/>
      <c r="Z118" s="134">
        <v>0.54861111111111105</v>
      </c>
      <c r="AA118" s="70" t="s">
        <v>1121</v>
      </c>
      <c r="AB118" s="19">
        <v>45676</v>
      </c>
      <c r="AC118" s="20" t="s">
        <v>1108</v>
      </c>
      <c r="AD118" s="19"/>
      <c r="AE118" s="71">
        <f t="shared" si="73"/>
        <v>477</v>
      </c>
      <c r="AF118" s="71">
        <f t="shared" si="74"/>
        <v>780</v>
      </c>
      <c r="AG118" s="71">
        <f t="shared" si="75"/>
        <v>303</v>
      </c>
      <c r="AH118" s="71">
        <f t="shared" si="76"/>
        <v>0</v>
      </c>
      <c r="AI118" s="71">
        <f t="shared" si="77"/>
        <v>300</v>
      </c>
      <c r="AJ118" s="71" t="str">
        <f t="shared" si="78"/>
        <v/>
      </c>
      <c r="AK118" s="71" t="str">
        <f t="shared" si="79"/>
        <v/>
      </c>
      <c r="AL118" s="71">
        <f t="shared" si="80"/>
        <v>300</v>
      </c>
      <c r="AM118" s="71">
        <f t="shared" si="81"/>
        <v>3</v>
      </c>
      <c r="AN118" s="72">
        <f t="shared" si="82"/>
        <v>2.3611111111111138E-2</v>
      </c>
      <c r="AO118" s="73">
        <f t="shared" si="83"/>
        <v>7</v>
      </c>
      <c r="AP118" s="72" t="str">
        <f t="shared" si="84"/>
        <v>No</v>
      </c>
      <c r="AQ118" s="72">
        <f t="shared" si="85"/>
        <v>6.2499999999998668E-3</v>
      </c>
      <c r="AR118" s="72" t="str">
        <f t="shared" si="86"/>
        <v/>
      </c>
      <c r="AS118" s="72" t="str">
        <f t="shared" si="87"/>
        <v/>
      </c>
      <c r="AT118" s="72" t="str">
        <f t="shared" si="88"/>
        <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f t="shared" si="89"/>
        <v>0</v>
      </c>
      <c r="CO118" s="78">
        <f t="shared" si="90"/>
        <v>0</v>
      </c>
      <c r="CP118" s="78">
        <f t="shared" si="91"/>
        <v>0</v>
      </c>
      <c r="CQ118" s="78">
        <f t="shared" si="92"/>
        <v>0</v>
      </c>
      <c r="CR118" s="78">
        <f t="shared" si="93"/>
        <v>0</v>
      </c>
      <c r="CS118" s="78">
        <f t="shared" si="94"/>
        <v>0</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0</v>
      </c>
      <c r="DC118" s="78">
        <f t="shared" si="103"/>
        <v>0</v>
      </c>
      <c r="DD118" s="78">
        <f t="shared" si="104"/>
        <v>0</v>
      </c>
      <c r="DE118" s="78">
        <f t="shared" si="105"/>
        <v>1</v>
      </c>
      <c r="DF118" s="78">
        <f t="shared" si="106"/>
        <v>1</v>
      </c>
      <c r="DG118" s="78">
        <f t="shared" si="107"/>
        <v>1</v>
      </c>
      <c r="DH118" s="78" t="str">
        <f t="shared" si="108"/>
        <v>1</v>
      </c>
      <c r="DI118" s="79" t="str">
        <f>IFERROR(IF(J118="","",VLOOKUP(J118,Lists!$D$3:$E$13,2,FALSE)),1)</f>
        <v/>
      </c>
      <c r="DJ118" s="79" t="str">
        <f>IFERROR(IF(K118="","",VLOOKUP(K118,Lists!$F$3:$G$14,2,FALSE)),1)</f>
        <v/>
      </c>
      <c r="DK118" s="79">
        <f>IFERROR(IF(M118="","",VLOOKUP(M118,Lists!$AA$3:$AB$18,2,FALSE)),1)</f>
        <v>0</v>
      </c>
      <c r="DL118" s="79">
        <f>IFERROR(IF(N118="","",VLOOKUP(N118,Lists!$AC$3:$AD$13,2,FALSE)),1)</f>
        <v>0</v>
      </c>
    </row>
    <row r="119" spans="1:116" ht="15" customHeight="1" x14ac:dyDescent="0.2">
      <c r="A119" s="20">
        <v>373052</v>
      </c>
      <c r="B119" s="19">
        <v>45673</v>
      </c>
      <c r="C119" s="64">
        <v>0.5625</v>
      </c>
      <c r="D119" s="64" t="s">
        <v>1141</v>
      </c>
      <c r="E119" s="19">
        <v>45656</v>
      </c>
      <c r="F119" s="20">
        <v>5</v>
      </c>
      <c r="G119" s="18" t="s">
        <v>1108</v>
      </c>
      <c r="H119" s="65"/>
      <c r="I119" s="18" t="s">
        <v>1108</v>
      </c>
      <c r="J119" s="66"/>
      <c r="K119" s="66"/>
      <c r="L119" s="67"/>
      <c r="M119" s="68" t="s">
        <v>39</v>
      </c>
      <c r="N119" s="68" t="s">
        <v>420</v>
      </c>
      <c r="O119" s="69" t="s">
        <v>1237</v>
      </c>
      <c r="P119" s="134">
        <v>0.55208333333333337</v>
      </c>
      <c r="Q119" s="70"/>
      <c r="R119" s="134">
        <v>0.5625</v>
      </c>
      <c r="S119" s="70"/>
      <c r="T119" s="134">
        <v>0.58333333333333337</v>
      </c>
      <c r="U119" s="70"/>
      <c r="V119" s="134">
        <v>0.59722222222222221</v>
      </c>
      <c r="W119" s="70"/>
      <c r="X119" s="134">
        <v>0.59791666666666665</v>
      </c>
      <c r="Y119" s="70"/>
      <c r="Z119" s="134">
        <v>0.60416666666666663</v>
      </c>
      <c r="AA119" s="70" t="s">
        <v>1108</v>
      </c>
      <c r="AB119" s="19"/>
      <c r="AC119" s="20" t="s">
        <v>1108</v>
      </c>
      <c r="AD119" s="19"/>
      <c r="AE119" s="71">
        <f t="shared" si="73"/>
        <v>795</v>
      </c>
      <c r="AF119" s="71">
        <f t="shared" si="74"/>
        <v>860</v>
      </c>
      <c r="AG119" s="71">
        <f t="shared" si="75"/>
        <v>65</v>
      </c>
      <c r="AH119" s="71">
        <f t="shared" si="76"/>
        <v>65</v>
      </c>
      <c r="AI119" s="71" t="str">
        <f t="shared" si="77"/>
        <v/>
      </c>
      <c r="AJ119" s="71" t="str">
        <f t="shared" si="78"/>
        <v/>
      </c>
      <c r="AK119" s="71" t="str">
        <f t="shared" si="79"/>
        <v/>
      </c>
      <c r="AL119" s="71">
        <f t="shared" si="80"/>
        <v>65</v>
      </c>
      <c r="AM119" s="71">
        <f t="shared" si="81"/>
        <v>0</v>
      </c>
      <c r="AN119" s="72">
        <f t="shared" si="82"/>
        <v>0</v>
      </c>
      <c r="AO119" s="73">
        <f t="shared" si="83"/>
        <v>17</v>
      </c>
      <c r="AP119" s="72" t="str">
        <f t="shared" si="84"/>
        <v>Yes</v>
      </c>
      <c r="AQ119" s="72">
        <f t="shared" si="85"/>
        <v>6.2499999999999778E-3</v>
      </c>
      <c r="AR119" s="72" t="str">
        <f t="shared" si="86"/>
        <v/>
      </c>
      <c r="AS119" s="72" t="str">
        <f t="shared" si="87"/>
        <v/>
      </c>
      <c r="AT119" s="72" t="str">
        <f t="shared" si="88"/>
        <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f t="shared" si="89"/>
        <v>0</v>
      </c>
      <c r="CO119" s="78">
        <f t="shared" si="90"/>
        <v>0</v>
      </c>
      <c r="CP119" s="78">
        <f t="shared" si="91"/>
        <v>0</v>
      </c>
      <c r="CQ119" s="78">
        <f t="shared" si="92"/>
        <v>0</v>
      </c>
      <c r="CR119" s="78">
        <f t="shared" si="93"/>
        <v>0</v>
      </c>
      <c r="CS119" s="78">
        <f t="shared" si="94"/>
        <v>0</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0</v>
      </c>
      <c r="DC119" s="78">
        <f t="shared" si="103"/>
        <v>0</v>
      </c>
      <c r="DD119" s="78">
        <f t="shared" si="104"/>
        <v>0</v>
      </c>
      <c r="DE119" s="78">
        <f t="shared" si="105"/>
        <v>1</v>
      </c>
      <c r="DF119" s="78">
        <f t="shared" si="106"/>
        <v>1</v>
      </c>
      <c r="DG119" s="78" t="str">
        <f t="shared" si="107"/>
        <v>1</v>
      </c>
      <c r="DH119" s="78" t="str">
        <f t="shared" si="108"/>
        <v>1</v>
      </c>
      <c r="DI119" s="79" t="str">
        <f>IFERROR(IF(J119="","",VLOOKUP(J119,Lists!$D$3:$E$13,2,FALSE)),1)</f>
        <v/>
      </c>
      <c r="DJ119" s="79" t="str">
        <f>IFERROR(IF(K119="","",VLOOKUP(K119,Lists!$F$3:$G$14,2,FALSE)),1)</f>
        <v/>
      </c>
      <c r="DK119" s="79">
        <f>IFERROR(IF(M119="","",VLOOKUP(M119,Lists!$AA$3:$AB$18,2,FALSE)),1)</f>
        <v>0</v>
      </c>
      <c r="DL119" s="79">
        <f>IFERROR(IF(N119="","",VLOOKUP(N119,Lists!$AC$3:$AD$13,2,FALSE)),1)</f>
        <v>0</v>
      </c>
    </row>
    <row r="120" spans="1:116" ht="15" customHeight="1" x14ac:dyDescent="0.2">
      <c r="A120" s="20">
        <v>41000</v>
      </c>
      <c r="B120" s="19">
        <v>45673</v>
      </c>
      <c r="C120" s="64">
        <v>0.625</v>
      </c>
      <c r="D120" s="64" t="s">
        <v>1115</v>
      </c>
      <c r="E120" s="19">
        <v>45655</v>
      </c>
      <c r="F120" s="20">
        <v>5</v>
      </c>
      <c r="G120" s="18" t="s">
        <v>1108</v>
      </c>
      <c r="H120" s="65"/>
      <c r="I120" s="18" t="s">
        <v>1108</v>
      </c>
      <c r="J120" s="66"/>
      <c r="K120" s="66"/>
      <c r="L120" s="67"/>
      <c r="M120" s="68" t="s">
        <v>39</v>
      </c>
      <c r="N120" s="68" t="s">
        <v>420</v>
      </c>
      <c r="O120" s="69" t="s">
        <v>1133</v>
      </c>
      <c r="P120" s="134">
        <v>0.61458333333333337</v>
      </c>
      <c r="Q120" s="70"/>
      <c r="R120" s="134">
        <v>0.625</v>
      </c>
      <c r="S120" s="70"/>
      <c r="T120" s="134">
        <v>0.64236111111111105</v>
      </c>
      <c r="U120" s="70"/>
      <c r="V120" s="134">
        <v>0.65277777777777779</v>
      </c>
      <c r="W120" s="70"/>
      <c r="X120" s="134">
        <v>0.65347222222222223</v>
      </c>
      <c r="Y120" s="70"/>
      <c r="Z120" s="134">
        <v>0.65972222222222221</v>
      </c>
      <c r="AA120" s="70" t="s">
        <v>1108</v>
      </c>
      <c r="AB120" s="19"/>
      <c r="AC120" s="20" t="s">
        <v>1108</v>
      </c>
      <c r="AD120" s="19"/>
      <c r="AE120" s="71">
        <f t="shared" si="73"/>
        <v>885</v>
      </c>
      <c r="AF120" s="71">
        <f t="shared" si="74"/>
        <v>940</v>
      </c>
      <c r="AG120" s="71">
        <f t="shared" si="75"/>
        <v>55</v>
      </c>
      <c r="AH120" s="71">
        <f t="shared" si="76"/>
        <v>55</v>
      </c>
      <c r="AI120" s="71" t="str">
        <f t="shared" si="77"/>
        <v/>
      </c>
      <c r="AJ120" s="71" t="str">
        <f t="shared" si="78"/>
        <v/>
      </c>
      <c r="AK120" s="71" t="str">
        <f t="shared" si="79"/>
        <v/>
      </c>
      <c r="AL120" s="71">
        <f t="shared" si="80"/>
        <v>55</v>
      </c>
      <c r="AM120" s="71">
        <f t="shared" si="81"/>
        <v>0</v>
      </c>
      <c r="AN120" s="72">
        <f t="shared" si="82"/>
        <v>0</v>
      </c>
      <c r="AO120" s="73">
        <f t="shared" si="83"/>
        <v>18</v>
      </c>
      <c r="AP120" s="72" t="str">
        <f t="shared" si="84"/>
        <v>Yes</v>
      </c>
      <c r="AQ120" s="72">
        <f t="shared" si="85"/>
        <v>6.2499999999999778E-3</v>
      </c>
      <c r="AR120" s="72" t="str">
        <f t="shared" si="86"/>
        <v/>
      </c>
      <c r="AS120" s="72" t="str">
        <f t="shared" si="87"/>
        <v/>
      </c>
      <c r="AT120" s="72" t="str">
        <f t="shared" si="88"/>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f t="shared" si="89"/>
        <v>0</v>
      </c>
      <c r="CO120" s="78">
        <f t="shared" si="90"/>
        <v>0</v>
      </c>
      <c r="CP120" s="78">
        <f t="shared" si="91"/>
        <v>0</v>
      </c>
      <c r="CQ120" s="78">
        <f t="shared" si="92"/>
        <v>0</v>
      </c>
      <c r="CR120" s="78">
        <f t="shared" si="93"/>
        <v>0</v>
      </c>
      <c r="CS120" s="78">
        <f t="shared" si="94"/>
        <v>0</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f t="shared" si="105"/>
        <v>1</v>
      </c>
      <c r="DF120" s="78">
        <f t="shared" si="106"/>
        <v>1</v>
      </c>
      <c r="DG120" s="78" t="str">
        <f t="shared" si="107"/>
        <v>1</v>
      </c>
      <c r="DH120" s="78" t="str">
        <f t="shared" si="108"/>
        <v>1</v>
      </c>
      <c r="DI120" s="79" t="str">
        <f>IFERROR(IF(J120="","",VLOOKUP(J120,Lists!$D$3:$E$13,2,FALSE)),1)</f>
        <v/>
      </c>
      <c r="DJ120" s="79" t="str">
        <f>IFERROR(IF(K120="","",VLOOKUP(K120,Lists!$F$3:$G$14,2,FALSE)),1)</f>
        <v/>
      </c>
      <c r="DK120" s="79">
        <f>IFERROR(IF(M120="","",VLOOKUP(M120,Lists!$AA$3:$AB$18,2,FALSE)),1)</f>
        <v>0</v>
      </c>
      <c r="DL120" s="79">
        <f>IFERROR(IF(N120="","",VLOOKUP(N120,Lists!$AC$3:$AD$13,2,FALSE)),1)</f>
        <v>0</v>
      </c>
    </row>
    <row r="121" spans="1:116" ht="15" customHeight="1" x14ac:dyDescent="0.2">
      <c r="A121" s="20">
        <v>421509</v>
      </c>
      <c r="B121" s="19">
        <v>45673</v>
      </c>
      <c r="C121" s="64">
        <v>0.64583333333333337</v>
      </c>
      <c r="D121" s="64" t="s">
        <v>1115</v>
      </c>
      <c r="E121" s="19">
        <v>45655</v>
      </c>
      <c r="F121" s="20">
        <v>5</v>
      </c>
      <c r="G121" s="18" t="s">
        <v>1108</v>
      </c>
      <c r="H121" s="65"/>
      <c r="I121" s="18" t="s">
        <v>1108</v>
      </c>
      <c r="J121" s="66"/>
      <c r="K121" s="66"/>
      <c r="L121" s="67"/>
      <c r="M121" s="68" t="s">
        <v>39</v>
      </c>
      <c r="N121" s="68" t="s">
        <v>420</v>
      </c>
      <c r="O121" s="69" t="s">
        <v>1133</v>
      </c>
      <c r="P121" s="134">
        <v>0.66319444444444442</v>
      </c>
      <c r="Q121" s="70"/>
      <c r="R121" s="134">
        <v>0.67708333333333337</v>
      </c>
      <c r="S121" s="70"/>
      <c r="T121" s="134">
        <v>0.69791666666666663</v>
      </c>
      <c r="U121" s="70"/>
      <c r="V121" s="134">
        <v>0.71180555555555547</v>
      </c>
      <c r="W121" s="70"/>
      <c r="X121" s="134">
        <v>0.71250000000000002</v>
      </c>
      <c r="Y121" s="70"/>
      <c r="Z121" s="134">
        <v>0.71875</v>
      </c>
      <c r="AA121" s="70" t="s">
        <v>1108</v>
      </c>
      <c r="AB121" s="19"/>
      <c r="AC121" s="20" t="s">
        <v>1108</v>
      </c>
      <c r="AD121" s="19"/>
      <c r="AE121" s="71">
        <f t="shared" si="73"/>
        <v>955</v>
      </c>
      <c r="AF121" s="71">
        <f t="shared" si="74"/>
        <v>1025</v>
      </c>
      <c r="AG121" s="71">
        <f t="shared" si="75"/>
        <v>70</v>
      </c>
      <c r="AH121" s="71" t="str">
        <f t="shared" si="76"/>
        <v/>
      </c>
      <c r="AI121" s="71" t="str">
        <f t="shared" si="77"/>
        <v/>
      </c>
      <c r="AJ121" s="71">
        <f t="shared" si="78"/>
        <v>5</v>
      </c>
      <c r="AK121" s="71" t="str">
        <f t="shared" si="79"/>
        <v/>
      </c>
      <c r="AL121" s="71">
        <f t="shared" si="80"/>
        <v>5</v>
      </c>
      <c r="AM121" s="71">
        <f t="shared" si="81"/>
        <v>65</v>
      </c>
      <c r="AN121" s="72">
        <f t="shared" si="82"/>
        <v>3.125E-2</v>
      </c>
      <c r="AO121" s="73">
        <f t="shared" si="83"/>
        <v>18</v>
      </c>
      <c r="AP121" s="72" t="str">
        <f t="shared" si="84"/>
        <v>No</v>
      </c>
      <c r="AQ121" s="72">
        <f t="shared" si="85"/>
        <v>6.2499999999999778E-3</v>
      </c>
      <c r="AR121" s="72" t="str">
        <f t="shared" si="86"/>
        <v/>
      </c>
      <c r="AS121" s="72" t="str">
        <f t="shared" si="87"/>
        <v/>
      </c>
      <c r="AT121" s="72" t="str">
        <f t="shared" si="88"/>
        <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f t="shared" si="89"/>
        <v>0</v>
      </c>
      <c r="CO121" s="78">
        <f t="shared" si="90"/>
        <v>0</v>
      </c>
      <c r="CP121" s="78">
        <f t="shared" si="91"/>
        <v>0</v>
      </c>
      <c r="CQ121" s="78">
        <f t="shared" si="92"/>
        <v>0</v>
      </c>
      <c r="CR121" s="78">
        <f t="shared" si="93"/>
        <v>0</v>
      </c>
      <c r="CS121" s="78">
        <f t="shared" si="94"/>
        <v>0</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f t="shared" si="105"/>
        <v>1</v>
      </c>
      <c r="DF121" s="78">
        <f t="shared" si="106"/>
        <v>1</v>
      </c>
      <c r="DG121" s="78" t="str">
        <f t="shared" si="107"/>
        <v>1</v>
      </c>
      <c r="DH121" s="78" t="str">
        <f t="shared" si="108"/>
        <v>1</v>
      </c>
      <c r="DI121" s="79" t="str">
        <f>IFERROR(IF(J121="","",VLOOKUP(J121,Lists!$D$3:$E$13,2,FALSE)),1)</f>
        <v/>
      </c>
      <c r="DJ121" s="79" t="str">
        <f>IFERROR(IF(K121="","",VLOOKUP(K121,Lists!$F$3:$G$14,2,FALSE)),1)</f>
        <v/>
      </c>
      <c r="DK121" s="79">
        <f>IFERROR(IF(M121="","",VLOOKUP(M121,Lists!$AA$3:$AB$18,2,FALSE)),1)</f>
        <v>0</v>
      </c>
      <c r="DL121" s="79">
        <f>IFERROR(IF(N121="","",VLOOKUP(N121,Lists!$AC$3:$AD$13,2,FALSE)),1)</f>
        <v>0</v>
      </c>
    </row>
    <row r="122" spans="1:116" ht="15" customHeight="1" x14ac:dyDescent="0.2">
      <c r="A122" s="20">
        <v>423512</v>
      </c>
      <c r="B122" s="19">
        <v>45673</v>
      </c>
      <c r="C122" s="64">
        <v>0.33333333333333331</v>
      </c>
      <c r="D122" s="64" t="s">
        <v>1152</v>
      </c>
      <c r="E122" s="19">
        <v>45670</v>
      </c>
      <c r="F122" s="20">
        <v>1</v>
      </c>
      <c r="G122" s="18" t="s">
        <v>1108</v>
      </c>
      <c r="H122" s="65"/>
      <c r="I122" s="18" t="s">
        <v>1108</v>
      </c>
      <c r="J122" s="66"/>
      <c r="K122" s="66"/>
      <c r="L122" s="67"/>
      <c r="M122" s="68" t="s">
        <v>39</v>
      </c>
      <c r="N122" s="68" t="s">
        <v>420</v>
      </c>
      <c r="O122" s="69" t="s">
        <v>1238</v>
      </c>
      <c r="P122" s="134">
        <v>0.3263888888888889</v>
      </c>
      <c r="Q122" s="70"/>
      <c r="R122" s="134">
        <v>0.37083333333333335</v>
      </c>
      <c r="S122" s="70"/>
      <c r="T122" s="134">
        <v>0.58333333333333337</v>
      </c>
      <c r="U122" s="70"/>
      <c r="V122" s="134">
        <v>0.59722222222222221</v>
      </c>
      <c r="W122" s="70"/>
      <c r="X122" s="134">
        <v>0.59791666666666665</v>
      </c>
      <c r="Y122" s="70"/>
      <c r="Z122" s="134">
        <v>0.60416666666666663</v>
      </c>
      <c r="AA122" s="70" t="s">
        <v>1108</v>
      </c>
      <c r="AB122" s="19"/>
      <c r="AC122" s="20" t="s">
        <v>1108</v>
      </c>
      <c r="AD122" s="19"/>
      <c r="AE122" s="71">
        <f t="shared" si="73"/>
        <v>470</v>
      </c>
      <c r="AF122" s="71">
        <f t="shared" si="74"/>
        <v>860</v>
      </c>
      <c r="AG122" s="71">
        <f t="shared" si="75"/>
        <v>390</v>
      </c>
      <c r="AH122" s="71">
        <f t="shared" si="76"/>
        <v>0</v>
      </c>
      <c r="AI122" s="71">
        <f t="shared" si="77"/>
        <v>380</v>
      </c>
      <c r="AJ122" s="71" t="str">
        <f t="shared" si="78"/>
        <v/>
      </c>
      <c r="AK122" s="71" t="str">
        <f t="shared" si="79"/>
        <v/>
      </c>
      <c r="AL122" s="71">
        <f t="shared" si="80"/>
        <v>380</v>
      </c>
      <c r="AM122" s="71">
        <f t="shared" si="81"/>
        <v>10</v>
      </c>
      <c r="AN122" s="72">
        <f t="shared" si="82"/>
        <v>3.7500000000000033E-2</v>
      </c>
      <c r="AO122" s="73">
        <f t="shared" si="83"/>
        <v>3</v>
      </c>
      <c r="AP122" s="72" t="str">
        <f t="shared" si="84"/>
        <v>No</v>
      </c>
      <c r="AQ122" s="72">
        <f t="shared" si="85"/>
        <v>6.2499999999999778E-3</v>
      </c>
      <c r="AR122" s="72" t="str">
        <f t="shared" si="86"/>
        <v/>
      </c>
      <c r="AS122" s="72" t="str">
        <f t="shared" si="87"/>
        <v/>
      </c>
      <c r="AT122" s="72" t="str">
        <f t="shared" si="88"/>
        <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f t="shared" si="89"/>
        <v>0</v>
      </c>
      <c r="CO122" s="78">
        <f t="shared" si="90"/>
        <v>0</v>
      </c>
      <c r="CP122" s="78">
        <f t="shared" si="91"/>
        <v>0</v>
      </c>
      <c r="CQ122" s="78">
        <f t="shared" si="92"/>
        <v>0</v>
      </c>
      <c r="CR122" s="78">
        <f t="shared" si="93"/>
        <v>0</v>
      </c>
      <c r="CS122" s="78">
        <f t="shared" si="94"/>
        <v>0</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f t="shared" si="105"/>
        <v>1</v>
      </c>
      <c r="DF122" s="78">
        <f t="shared" si="106"/>
        <v>1</v>
      </c>
      <c r="DG122" s="78" t="str">
        <f t="shared" si="107"/>
        <v>1</v>
      </c>
      <c r="DH122" s="78" t="str">
        <f t="shared" si="108"/>
        <v>1</v>
      </c>
      <c r="DI122" s="79" t="str">
        <f>IFERROR(IF(J122="","",VLOOKUP(J122,Lists!$D$3:$E$13,2,FALSE)),1)</f>
        <v/>
      </c>
      <c r="DJ122" s="79" t="str">
        <f>IFERROR(IF(K122="","",VLOOKUP(K122,Lists!$F$3:$G$14,2,FALSE)),1)</f>
        <v/>
      </c>
      <c r="DK122" s="79">
        <f>IFERROR(IF(M122="","",VLOOKUP(M122,Lists!$AA$3:$AB$18,2,FALSE)),1)</f>
        <v>0</v>
      </c>
      <c r="DL122" s="79">
        <f>IFERROR(IF(N122="","",VLOOKUP(N122,Lists!$AC$3:$AD$13,2,FALSE)),1)</f>
        <v>0</v>
      </c>
    </row>
    <row r="123" spans="1:116" ht="15" customHeight="1" x14ac:dyDescent="0.2">
      <c r="A123" s="20">
        <v>422083</v>
      </c>
      <c r="B123" s="19">
        <v>45673</v>
      </c>
      <c r="C123" s="64">
        <v>0.60416666666666663</v>
      </c>
      <c r="D123" s="64" t="s">
        <v>1127</v>
      </c>
      <c r="E123" s="19">
        <v>45659</v>
      </c>
      <c r="F123" s="20">
        <v>1</v>
      </c>
      <c r="G123" s="18" t="s">
        <v>1108</v>
      </c>
      <c r="H123" s="65"/>
      <c r="I123" s="18" t="s">
        <v>1108</v>
      </c>
      <c r="J123" s="66"/>
      <c r="K123" s="66"/>
      <c r="L123" s="67"/>
      <c r="M123" s="68" t="s">
        <v>39</v>
      </c>
      <c r="N123" s="68" t="s">
        <v>420</v>
      </c>
      <c r="O123" s="69" t="s">
        <v>1239</v>
      </c>
      <c r="P123" s="134">
        <v>0.60763888888888895</v>
      </c>
      <c r="Q123" s="70"/>
      <c r="R123" s="134">
        <v>0.61805555555555558</v>
      </c>
      <c r="S123" s="70"/>
      <c r="T123" s="134">
        <v>0.66597222222222219</v>
      </c>
      <c r="U123" s="70"/>
      <c r="V123" s="134">
        <v>0.6875</v>
      </c>
      <c r="W123" s="70"/>
      <c r="X123" s="134">
        <v>0.68819444444444444</v>
      </c>
      <c r="Y123" s="70"/>
      <c r="Z123" s="134">
        <v>0.69444444444444453</v>
      </c>
      <c r="AA123" s="70" t="s">
        <v>1108</v>
      </c>
      <c r="AB123" s="19"/>
      <c r="AC123" s="20" t="s">
        <v>1108</v>
      </c>
      <c r="AD123" s="19"/>
      <c r="AE123" s="71">
        <f t="shared" si="73"/>
        <v>875</v>
      </c>
      <c r="AF123" s="71">
        <f t="shared" si="74"/>
        <v>990</v>
      </c>
      <c r="AG123" s="71">
        <f t="shared" si="75"/>
        <v>115</v>
      </c>
      <c r="AH123" s="71" t="str">
        <f t="shared" si="76"/>
        <v/>
      </c>
      <c r="AI123" s="71" t="str">
        <f t="shared" si="77"/>
        <v/>
      </c>
      <c r="AJ123" s="71">
        <f t="shared" si="78"/>
        <v>85</v>
      </c>
      <c r="AK123" s="71" t="str">
        <f t="shared" si="79"/>
        <v/>
      </c>
      <c r="AL123" s="71">
        <f t="shared" si="80"/>
        <v>85</v>
      </c>
      <c r="AM123" s="71">
        <f t="shared" si="81"/>
        <v>30</v>
      </c>
      <c r="AN123" s="72">
        <f t="shared" si="82"/>
        <v>1.3888888888888951E-2</v>
      </c>
      <c r="AO123" s="73">
        <f t="shared" si="83"/>
        <v>14</v>
      </c>
      <c r="AP123" s="72" t="str">
        <f t="shared" si="84"/>
        <v>No</v>
      </c>
      <c r="AQ123" s="72">
        <f t="shared" si="85"/>
        <v>6.2500000000000888E-3</v>
      </c>
      <c r="AR123" s="72" t="str">
        <f t="shared" si="86"/>
        <v/>
      </c>
      <c r="AS123" s="72" t="str">
        <f t="shared" si="87"/>
        <v/>
      </c>
      <c r="AT123" s="72" t="str">
        <f t="shared" si="88"/>
        <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f t="shared" si="89"/>
        <v>0</v>
      </c>
      <c r="CO123" s="78">
        <f t="shared" si="90"/>
        <v>0</v>
      </c>
      <c r="CP123" s="78">
        <f t="shared" si="91"/>
        <v>0</v>
      </c>
      <c r="CQ123" s="78">
        <f t="shared" si="92"/>
        <v>0</v>
      </c>
      <c r="CR123" s="78">
        <f t="shared" si="93"/>
        <v>0</v>
      </c>
      <c r="CS123" s="78">
        <f t="shared" si="94"/>
        <v>0</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1</v>
      </c>
      <c r="DC123" s="78">
        <f t="shared" si="103"/>
        <v>0</v>
      </c>
      <c r="DD123" s="78">
        <f t="shared" si="104"/>
        <v>0</v>
      </c>
      <c r="DE123" s="78">
        <f t="shared" si="105"/>
        <v>1</v>
      </c>
      <c r="DF123" s="78">
        <f t="shared" si="106"/>
        <v>1</v>
      </c>
      <c r="DG123" s="78" t="str">
        <f t="shared" si="107"/>
        <v>1</v>
      </c>
      <c r="DH123" s="78" t="str">
        <f t="shared" si="108"/>
        <v>1</v>
      </c>
      <c r="DI123" s="79" t="str">
        <f>IFERROR(IF(J123="","",VLOOKUP(J123,Lists!$D$3:$E$13,2,FALSE)),1)</f>
        <v/>
      </c>
      <c r="DJ123" s="79" t="str">
        <f>IFERROR(IF(K123="","",VLOOKUP(K123,Lists!$F$3:$G$14,2,FALSE)),1)</f>
        <v/>
      </c>
      <c r="DK123" s="79">
        <f>IFERROR(IF(M123="","",VLOOKUP(M123,Lists!$AA$3:$AB$18,2,FALSE)),1)</f>
        <v>0</v>
      </c>
      <c r="DL123" s="79">
        <f>IFERROR(IF(N123="","",VLOOKUP(N123,Lists!$AC$3:$AD$13,2,FALSE)),1)</f>
        <v>0</v>
      </c>
    </row>
    <row r="124" spans="1:116" ht="15" customHeight="1" x14ac:dyDescent="0.2">
      <c r="A124" s="20">
        <v>97693</v>
      </c>
      <c r="B124" s="19">
        <v>45673</v>
      </c>
      <c r="C124" s="64">
        <v>0.33333333333333331</v>
      </c>
      <c r="D124" s="64" t="s">
        <v>1147</v>
      </c>
      <c r="E124" s="19">
        <v>45673</v>
      </c>
      <c r="F124" s="20">
        <v>2</v>
      </c>
      <c r="G124" s="18" t="s">
        <v>1108</v>
      </c>
      <c r="H124" s="65"/>
      <c r="I124" s="18" t="s">
        <v>1121</v>
      </c>
      <c r="J124" s="66" t="s">
        <v>27</v>
      </c>
      <c r="K124" s="66" t="s">
        <v>420</v>
      </c>
      <c r="L124" s="67" t="s">
        <v>1240</v>
      </c>
      <c r="M124" s="68"/>
      <c r="N124" s="68"/>
      <c r="O124" s="69"/>
      <c r="P124" s="134">
        <v>0.33055555555555555</v>
      </c>
      <c r="Q124" s="70"/>
      <c r="R124" s="134">
        <v>0.35486111111111113</v>
      </c>
      <c r="S124" s="70"/>
      <c r="T124" s="134">
        <v>0.41666666666666669</v>
      </c>
      <c r="U124" s="70"/>
      <c r="V124" s="134">
        <v>0.4236111111111111</v>
      </c>
      <c r="W124" s="70"/>
      <c r="X124" s="134">
        <v>0.42430555555555555</v>
      </c>
      <c r="Y124" s="70"/>
      <c r="Z124" s="134">
        <v>0.43055555555555558</v>
      </c>
      <c r="AA124" s="70" t="s">
        <v>1121</v>
      </c>
      <c r="AB124" s="19">
        <v>45673</v>
      </c>
      <c r="AC124" s="20" t="s">
        <v>1108</v>
      </c>
      <c r="AD124" s="19"/>
      <c r="AE124" s="71">
        <f t="shared" si="73"/>
        <v>476</v>
      </c>
      <c r="AF124" s="71">
        <f t="shared" si="74"/>
        <v>610</v>
      </c>
      <c r="AG124" s="71">
        <f t="shared" si="75"/>
        <v>134</v>
      </c>
      <c r="AH124" s="71">
        <f t="shared" si="76"/>
        <v>0</v>
      </c>
      <c r="AI124" s="71">
        <f t="shared" si="77"/>
        <v>130</v>
      </c>
      <c r="AJ124" s="71" t="str">
        <f t="shared" si="78"/>
        <v/>
      </c>
      <c r="AK124" s="71" t="str">
        <f t="shared" si="79"/>
        <v/>
      </c>
      <c r="AL124" s="71">
        <f t="shared" si="80"/>
        <v>130</v>
      </c>
      <c r="AM124" s="71">
        <f t="shared" si="81"/>
        <v>4</v>
      </c>
      <c r="AN124" s="72">
        <f t="shared" si="82"/>
        <v>2.1527777777777812E-2</v>
      </c>
      <c r="AO124" s="73">
        <f t="shared" si="83"/>
        <v>0</v>
      </c>
      <c r="AP124" s="72" t="str">
        <f t="shared" si="84"/>
        <v>No</v>
      </c>
      <c r="AQ124" s="72">
        <f t="shared" si="85"/>
        <v>6.2500000000000333E-3</v>
      </c>
      <c r="AR124" s="72" t="str">
        <f t="shared" si="86"/>
        <v>Yes</v>
      </c>
      <c r="AS124" s="72" t="str">
        <f t="shared" si="87"/>
        <v>No</v>
      </c>
      <c r="AT124" s="72" t="str">
        <f t="shared" si="88"/>
        <v>No</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f t="shared" si="89"/>
        <v>0</v>
      </c>
      <c r="CO124" s="78">
        <f t="shared" si="90"/>
        <v>0</v>
      </c>
      <c r="CP124" s="78">
        <f t="shared" si="91"/>
        <v>0</v>
      </c>
      <c r="CQ124" s="78">
        <f t="shared" si="92"/>
        <v>0</v>
      </c>
      <c r="CR124" s="78">
        <f t="shared" si="93"/>
        <v>0</v>
      </c>
      <c r="CS124" s="78">
        <f t="shared" si="94"/>
        <v>0</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0</v>
      </c>
      <c r="DC124" s="78">
        <f t="shared" si="103"/>
        <v>0</v>
      </c>
      <c r="DD124" s="78">
        <f t="shared" si="104"/>
        <v>0</v>
      </c>
      <c r="DE124" s="78">
        <f t="shared" si="105"/>
        <v>1</v>
      </c>
      <c r="DF124" s="78">
        <f t="shared" si="106"/>
        <v>1</v>
      </c>
      <c r="DG124" s="78">
        <f t="shared" si="107"/>
        <v>1</v>
      </c>
      <c r="DH124" s="78" t="str">
        <f t="shared" si="108"/>
        <v>1</v>
      </c>
      <c r="DI124" s="79">
        <f>IFERROR(IF(J124="","",VLOOKUP(J124,Lists!$D$3:$E$13,2,FALSE)),1)</f>
        <v>0</v>
      </c>
      <c r="DJ124" s="79">
        <f>IFERROR(IF(K124="","",VLOOKUP(K124,Lists!$F$3:$G$14,2,FALSE)),1)</f>
        <v>0</v>
      </c>
      <c r="DK124" s="79" t="str">
        <f>IFERROR(IF(M124="","",VLOOKUP(M124,Lists!$AA$3:$AB$18,2,FALSE)),1)</f>
        <v/>
      </c>
      <c r="DL124" s="79" t="str">
        <f>IFERROR(IF(N124="","",VLOOKUP(N124,Lists!$AC$3:$AD$13,2,FALSE)),1)</f>
        <v/>
      </c>
    </row>
    <row r="125" spans="1:116" ht="15" customHeight="1" x14ac:dyDescent="0.2">
      <c r="A125" s="20">
        <v>20873</v>
      </c>
      <c r="B125" s="19">
        <v>45673</v>
      </c>
      <c r="C125" s="64">
        <v>0.4375</v>
      </c>
      <c r="D125" s="64" t="s">
        <v>1117</v>
      </c>
      <c r="E125" s="19">
        <v>45673</v>
      </c>
      <c r="F125" s="20">
        <v>2</v>
      </c>
      <c r="G125" s="18" t="s">
        <v>1108</v>
      </c>
      <c r="H125" s="65"/>
      <c r="I125" s="18" t="s">
        <v>1121</v>
      </c>
      <c r="J125" s="66" t="s">
        <v>27</v>
      </c>
      <c r="K125" s="66" t="s">
        <v>420</v>
      </c>
      <c r="L125" s="67" t="s">
        <v>1213</v>
      </c>
      <c r="M125" s="68"/>
      <c r="N125" s="68"/>
      <c r="O125" s="69"/>
      <c r="P125" s="134">
        <v>0.43124999999999997</v>
      </c>
      <c r="Q125" s="70"/>
      <c r="R125" s="134">
        <v>0.4375</v>
      </c>
      <c r="S125" s="70"/>
      <c r="T125" s="134">
        <v>0.46527777777777773</v>
      </c>
      <c r="U125" s="70"/>
      <c r="V125" s="134">
        <v>0.46875</v>
      </c>
      <c r="W125" s="70"/>
      <c r="X125" s="134">
        <v>0.47638888888888892</v>
      </c>
      <c r="Y125" s="70"/>
      <c r="Z125" s="134">
        <v>0.4826388888888889</v>
      </c>
      <c r="AA125" s="70" t="s">
        <v>1121</v>
      </c>
      <c r="AB125" s="19">
        <v>45673</v>
      </c>
      <c r="AC125" s="20" t="s">
        <v>1108</v>
      </c>
      <c r="AD125" s="19"/>
      <c r="AE125" s="71">
        <f t="shared" si="73"/>
        <v>621</v>
      </c>
      <c r="AF125" s="71">
        <f t="shared" si="74"/>
        <v>675</v>
      </c>
      <c r="AG125" s="71">
        <f t="shared" si="75"/>
        <v>54</v>
      </c>
      <c r="AH125" s="71">
        <f t="shared" si="76"/>
        <v>54</v>
      </c>
      <c r="AI125" s="71" t="str">
        <f t="shared" si="77"/>
        <v/>
      </c>
      <c r="AJ125" s="71" t="str">
        <f t="shared" si="78"/>
        <v/>
      </c>
      <c r="AK125" s="71" t="str">
        <f t="shared" si="79"/>
        <v/>
      </c>
      <c r="AL125" s="71">
        <f t="shared" si="80"/>
        <v>54</v>
      </c>
      <c r="AM125" s="71">
        <f t="shared" si="81"/>
        <v>0</v>
      </c>
      <c r="AN125" s="72">
        <f t="shared" si="82"/>
        <v>0</v>
      </c>
      <c r="AO125" s="73">
        <f t="shared" si="83"/>
        <v>0</v>
      </c>
      <c r="AP125" s="72" t="str">
        <f t="shared" si="84"/>
        <v>Yes</v>
      </c>
      <c r="AQ125" s="72">
        <f t="shared" si="85"/>
        <v>6.2499999999999778E-3</v>
      </c>
      <c r="AR125" s="72" t="str">
        <f t="shared" si="86"/>
        <v>Yes</v>
      </c>
      <c r="AS125" s="72" t="str">
        <f t="shared" si="87"/>
        <v>No</v>
      </c>
      <c r="AT125" s="72" t="str">
        <f t="shared" si="88"/>
        <v>No</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f t="shared" si="89"/>
        <v>0</v>
      </c>
      <c r="CO125" s="78">
        <f t="shared" si="90"/>
        <v>0</v>
      </c>
      <c r="CP125" s="78">
        <f t="shared" si="91"/>
        <v>0</v>
      </c>
      <c r="CQ125" s="78">
        <f t="shared" si="92"/>
        <v>0</v>
      </c>
      <c r="CR125" s="78">
        <f t="shared" si="93"/>
        <v>0</v>
      </c>
      <c r="CS125" s="78">
        <f t="shared" si="94"/>
        <v>0</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f t="shared" si="105"/>
        <v>1</v>
      </c>
      <c r="DF125" s="78">
        <f t="shared" si="106"/>
        <v>1</v>
      </c>
      <c r="DG125" s="78">
        <f t="shared" si="107"/>
        <v>1</v>
      </c>
      <c r="DH125" s="78" t="str">
        <f t="shared" si="108"/>
        <v>1</v>
      </c>
      <c r="DI125" s="79">
        <f>IFERROR(IF(J125="","",VLOOKUP(J125,Lists!$D$3:$E$13,2,FALSE)),1)</f>
        <v>0</v>
      </c>
      <c r="DJ125" s="79">
        <f>IFERROR(IF(K125="","",VLOOKUP(K125,Lists!$F$3:$G$14,2,FALSE)),1)</f>
        <v>0</v>
      </c>
      <c r="DK125" s="79" t="str">
        <f>IFERROR(IF(M125="","",VLOOKUP(M125,Lists!$AA$3:$AB$18,2,FALSE)),1)</f>
        <v/>
      </c>
      <c r="DL125" s="79" t="str">
        <f>IFERROR(IF(N125="","",VLOOKUP(N125,Lists!$AC$3:$AD$13,2,FALSE)),1)</f>
        <v/>
      </c>
    </row>
    <row r="126" spans="1:116" ht="15" customHeight="1" x14ac:dyDescent="0.2">
      <c r="A126" s="20">
        <v>404179</v>
      </c>
      <c r="B126" s="19">
        <v>45673</v>
      </c>
      <c r="C126" s="64">
        <v>0.5</v>
      </c>
      <c r="D126" s="64" t="s">
        <v>1117</v>
      </c>
      <c r="E126" s="19">
        <v>45673</v>
      </c>
      <c r="F126" s="20">
        <v>2</v>
      </c>
      <c r="G126" s="18" t="s">
        <v>1108</v>
      </c>
      <c r="H126" s="65"/>
      <c r="I126" s="18" t="s">
        <v>1121</v>
      </c>
      <c r="J126" s="66" t="s">
        <v>27</v>
      </c>
      <c r="K126" s="66" t="s">
        <v>420</v>
      </c>
      <c r="L126" s="67" t="s">
        <v>1213</v>
      </c>
      <c r="M126" s="68"/>
      <c r="N126" s="68"/>
      <c r="O126" s="69"/>
      <c r="P126" s="134">
        <v>0.5</v>
      </c>
      <c r="Q126" s="70"/>
      <c r="R126" s="134">
        <v>0.51527777777777783</v>
      </c>
      <c r="S126" s="70"/>
      <c r="T126" s="134">
        <v>0.53472222222222221</v>
      </c>
      <c r="U126" s="70"/>
      <c r="V126" s="134">
        <v>0.54027777777777775</v>
      </c>
      <c r="W126" s="70"/>
      <c r="X126" s="134">
        <v>0.54097222222222219</v>
      </c>
      <c r="Y126" s="70"/>
      <c r="Z126" s="134">
        <v>0.54861111111111105</v>
      </c>
      <c r="AA126" s="70" t="s">
        <v>1121</v>
      </c>
      <c r="AB126" s="19">
        <v>45673</v>
      </c>
      <c r="AC126" s="20" t="s">
        <v>1108</v>
      </c>
      <c r="AD126" s="19"/>
      <c r="AE126" s="71">
        <f t="shared" si="73"/>
        <v>720</v>
      </c>
      <c r="AF126" s="71">
        <f t="shared" si="74"/>
        <v>778</v>
      </c>
      <c r="AG126" s="71">
        <f t="shared" si="75"/>
        <v>58</v>
      </c>
      <c r="AH126" s="71">
        <f t="shared" si="76"/>
        <v>58</v>
      </c>
      <c r="AI126" s="71" t="str">
        <f t="shared" si="77"/>
        <v/>
      </c>
      <c r="AJ126" s="71" t="str">
        <f t="shared" si="78"/>
        <v/>
      </c>
      <c r="AK126" s="71" t="str">
        <f t="shared" si="79"/>
        <v/>
      </c>
      <c r="AL126" s="71">
        <f t="shared" si="80"/>
        <v>58</v>
      </c>
      <c r="AM126" s="71">
        <f t="shared" si="81"/>
        <v>0</v>
      </c>
      <c r="AN126" s="72">
        <f t="shared" si="82"/>
        <v>1.5277777777777835E-2</v>
      </c>
      <c r="AO126" s="73">
        <f t="shared" si="83"/>
        <v>0</v>
      </c>
      <c r="AP126" s="72" t="str">
        <f t="shared" si="84"/>
        <v>No</v>
      </c>
      <c r="AQ126" s="72">
        <f t="shared" si="85"/>
        <v>7.6388888888888618E-3</v>
      </c>
      <c r="AR126" s="72" t="str">
        <f t="shared" si="86"/>
        <v>Yes</v>
      </c>
      <c r="AS126" s="72" t="str">
        <f t="shared" si="87"/>
        <v>No</v>
      </c>
      <c r="AT126" s="72" t="str">
        <f t="shared" si="88"/>
        <v>No</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f t="shared" si="89"/>
        <v>0</v>
      </c>
      <c r="CO126" s="78">
        <f t="shared" si="90"/>
        <v>0</v>
      </c>
      <c r="CP126" s="78">
        <f t="shared" si="91"/>
        <v>0</v>
      </c>
      <c r="CQ126" s="78">
        <f t="shared" si="92"/>
        <v>0</v>
      </c>
      <c r="CR126" s="78">
        <f t="shared" si="93"/>
        <v>0</v>
      </c>
      <c r="CS126" s="78">
        <f t="shared" si="94"/>
        <v>0</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f t="shared" si="105"/>
        <v>1</v>
      </c>
      <c r="DF126" s="78">
        <f t="shared" si="106"/>
        <v>1</v>
      </c>
      <c r="DG126" s="78">
        <f t="shared" si="107"/>
        <v>1</v>
      </c>
      <c r="DH126" s="78" t="str">
        <f t="shared" si="108"/>
        <v>1</v>
      </c>
      <c r="DI126" s="79">
        <f>IFERROR(IF(J126="","",VLOOKUP(J126,Lists!$D$3:$E$13,2,FALSE)),1)</f>
        <v>0</v>
      </c>
      <c r="DJ126" s="79">
        <f>IFERROR(IF(K126="","",VLOOKUP(K126,Lists!$F$3:$G$14,2,FALSE)),1)</f>
        <v>0</v>
      </c>
      <c r="DK126" s="79" t="str">
        <f>IFERROR(IF(M126="","",VLOOKUP(M126,Lists!$AA$3:$AB$18,2,FALSE)),1)</f>
        <v/>
      </c>
      <c r="DL126" s="79" t="str">
        <f>IFERROR(IF(N126="","",VLOOKUP(N126,Lists!$AC$3:$AD$13,2,FALSE)),1)</f>
        <v/>
      </c>
    </row>
    <row r="127" spans="1:116" ht="15" customHeight="1" x14ac:dyDescent="0.2">
      <c r="A127" s="20">
        <v>178415</v>
      </c>
      <c r="B127" s="19">
        <v>45673</v>
      </c>
      <c r="C127" s="64">
        <v>0.54166666666666663</v>
      </c>
      <c r="D127" s="64" t="s">
        <v>1147</v>
      </c>
      <c r="E127" s="19">
        <v>45673</v>
      </c>
      <c r="F127" s="20">
        <v>2</v>
      </c>
      <c r="G127" s="18" t="s">
        <v>1108</v>
      </c>
      <c r="H127" s="65"/>
      <c r="I127" s="18" t="s">
        <v>1121</v>
      </c>
      <c r="J127" s="66" t="s">
        <v>27</v>
      </c>
      <c r="K127" s="66" t="s">
        <v>420</v>
      </c>
      <c r="L127" s="67" t="s">
        <v>1124</v>
      </c>
      <c r="M127" s="68"/>
      <c r="N127" s="68"/>
      <c r="O127" s="69"/>
      <c r="P127" s="134">
        <v>0.5541666666666667</v>
      </c>
      <c r="Q127" s="70"/>
      <c r="R127" s="134">
        <v>0.56527777777777777</v>
      </c>
      <c r="S127" s="70"/>
      <c r="T127" s="134">
        <v>0.58333333333333337</v>
      </c>
      <c r="U127" s="70"/>
      <c r="V127" s="134">
        <v>0.58750000000000002</v>
      </c>
      <c r="W127" s="70"/>
      <c r="X127" s="134">
        <v>0.58819444444444446</v>
      </c>
      <c r="Y127" s="70"/>
      <c r="Z127" s="134">
        <v>0.59375</v>
      </c>
      <c r="AA127" s="70" t="s">
        <v>1121</v>
      </c>
      <c r="AB127" s="19">
        <v>45673</v>
      </c>
      <c r="AC127" s="20" t="s">
        <v>1108</v>
      </c>
      <c r="AD127" s="19"/>
      <c r="AE127" s="71">
        <f t="shared" si="73"/>
        <v>798</v>
      </c>
      <c r="AF127" s="71">
        <f t="shared" si="74"/>
        <v>846</v>
      </c>
      <c r="AG127" s="71">
        <f t="shared" si="75"/>
        <v>48</v>
      </c>
      <c r="AH127" s="71">
        <f t="shared" si="76"/>
        <v>48</v>
      </c>
      <c r="AI127" s="71" t="str">
        <f t="shared" si="77"/>
        <v/>
      </c>
      <c r="AJ127" s="71" t="str">
        <f t="shared" si="78"/>
        <v/>
      </c>
      <c r="AK127" s="71" t="str">
        <f t="shared" si="79"/>
        <v/>
      </c>
      <c r="AL127" s="71">
        <f t="shared" si="80"/>
        <v>48</v>
      </c>
      <c r="AM127" s="71">
        <f t="shared" si="81"/>
        <v>0</v>
      </c>
      <c r="AN127" s="72">
        <f t="shared" si="82"/>
        <v>2.3611111111111138E-2</v>
      </c>
      <c r="AO127" s="73">
        <f t="shared" si="83"/>
        <v>0</v>
      </c>
      <c r="AP127" s="72" t="str">
        <f t="shared" si="84"/>
        <v>No</v>
      </c>
      <c r="AQ127" s="72">
        <f t="shared" si="85"/>
        <v>5.5555555555555358E-3</v>
      </c>
      <c r="AR127" s="72" t="str">
        <f t="shared" si="86"/>
        <v>Yes</v>
      </c>
      <c r="AS127" s="72" t="str">
        <f t="shared" si="87"/>
        <v>No</v>
      </c>
      <c r="AT127" s="72" t="str">
        <f t="shared" si="88"/>
        <v>No</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f t="shared" si="89"/>
        <v>0</v>
      </c>
      <c r="CO127" s="78">
        <f t="shared" si="90"/>
        <v>0</v>
      </c>
      <c r="CP127" s="78">
        <f t="shared" si="91"/>
        <v>0</v>
      </c>
      <c r="CQ127" s="78">
        <f t="shared" si="92"/>
        <v>0</v>
      </c>
      <c r="CR127" s="78">
        <f t="shared" si="93"/>
        <v>0</v>
      </c>
      <c r="CS127" s="78">
        <f t="shared" si="94"/>
        <v>0</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f t="shared" si="105"/>
        <v>1</v>
      </c>
      <c r="DF127" s="78">
        <f t="shared" si="106"/>
        <v>1</v>
      </c>
      <c r="DG127" s="78">
        <f t="shared" si="107"/>
        <v>1</v>
      </c>
      <c r="DH127" s="78" t="str">
        <f t="shared" si="108"/>
        <v>1</v>
      </c>
      <c r="DI127" s="79">
        <f>IFERROR(IF(J127="","",VLOOKUP(J127,Lists!$D$3:$E$13,2,FALSE)),1)</f>
        <v>0</v>
      </c>
      <c r="DJ127" s="79">
        <f>IFERROR(IF(K127="","",VLOOKUP(K127,Lists!$F$3:$G$14,2,FALSE)),1)</f>
        <v>0</v>
      </c>
      <c r="DK127" s="79" t="str">
        <f>IFERROR(IF(M127="","",VLOOKUP(M127,Lists!$AA$3:$AB$18,2,FALSE)),1)</f>
        <v/>
      </c>
      <c r="DL127" s="79" t="str">
        <f>IFERROR(IF(N127="","",VLOOKUP(N127,Lists!$AC$3:$AD$13,2,FALSE)),1)</f>
        <v/>
      </c>
    </row>
    <row r="128" spans="1:116" ht="15" customHeight="1" x14ac:dyDescent="0.2">
      <c r="A128" s="20">
        <v>423891</v>
      </c>
      <c r="B128" s="19">
        <v>45673</v>
      </c>
      <c r="C128" s="64">
        <v>0.60416666666666663</v>
      </c>
      <c r="D128" s="64" t="s">
        <v>1112</v>
      </c>
      <c r="E128" s="19">
        <v>45672</v>
      </c>
      <c r="F128" s="20">
        <v>2</v>
      </c>
      <c r="G128" s="18" t="s">
        <v>1108</v>
      </c>
      <c r="H128" s="65"/>
      <c r="I128" s="18" t="s">
        <v>1108</v>
      </c>
      <c r="J128" s="66"/>
      <c r="K128" s="66"/>
      <c r="L128" s="67"/>
      <c r="M128" s="68" t="s">
        <v>27</v>
      </c>
      <c r="N128" s="68" t="s">
        <v>420</v>
      </c>
      <c r="O128" s="69" t="s">
        <v>1125</v>
      </c>
      <c r="P128" s="134">
        <v>0.59861111111111109</v>
      </c>
      <c r="Q128" s="70"/>
      <c r="R128" s="134">
        <v>0.62013888888888891</v>
      </c>
      <c r="S128" s="70"/>
      <c r="T128" s="134">
        <v>0.66875000000000007</v>
      </c>
      <c r="U128" s="70"/>
      <c r="V128" s="134">
        <v>0.68402777777777779</v>
      </c>
      <c r="W128" s="70"/>
      <c r="X128" s="134">
        <v>0.68472222222222223</v>
      </c>
      <c r="Y128" s="70"/>
      <c r="Z128" s="134">
        <v>0.69097222222222221</v>
      </c>
      <c r="AA128" s="70" t="s">
        <v>1108</v>
      </c>
      <c r="AB128" s="19"/>
      <c r="AC128" s="20" t="s">
        <v>1108</v>
      </c>
      <c r="AD128" s="19"/>
      <c r="AE128" s="71">
        <f t="shared" si="73"/>
        <v>862</v>
      </c>
      <c r="AF128" s="71">
        <f t="shared" si="74"/>
        <v>985</v>
      </c>
      <c r="AG128" s="71">
        <f t="shared" si="75"/>
        <v>123</v>
      </c>
      <c r="AH128" s="71" t="str">
        <f t="shared" si="76"/>
        <v/>
      </c>
      <c r="AI128" s="71" t="str">
        <f t="shared" si="77"/>
        <v/>
      </c>
      <c r="AJ128" s="71">
        <f t="shared" si="78"/>
        <v>98</v>
      </c>
      <c r="AK128" s="71" t="str">
        <f t="shared" si="79"/>
        <v/>
      </c>
      <c r="AL128" s="71">
        <f t="shared" si="80"/>
        <v>98</v>
      </c>
      <c r="AM128" s="71">
        <f t="shared" si="81"/>
        <v>25</v>
      </c>
      <c r="AN128" s="72">
        <f t="shared" si="82"/>
        <v>1.5972222222222276E-2</v>
      </c>
      <c r="AO128" s="73">
        <f t="shared" si="83"/>
        <v>1</v>
      </c>
      <c r="AP128" s="72" t="str">
        <f t="shared" si="84"/>
        <v>No</v>
      </c>
      <c r="AQ128" s="72">
        <f t="shared" si="85"/>
        <v>6.2499999999999778E-3</v>
      </c>
      <c r="AR128" s="72" t="str">
        <f t="shared" si="86"/>
        <v/>
      </c>
      <c r="AS128" s="72" t="str">
        <f t="shared" si="87"/>
        <v/>
      </c>
      <c r="AT128" s="72" t="str">
        <f t="shared" si="88"/>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f t="shared" si="89"/>
        <v>0</v>
      </c>
      <c r="CO128" s="78">
        <f t="shared" si="90"/>
        <v>0</v>
      </c>
      <c r="CP128" s="78">
        <f t="shared" si="91"/>
        <v>0</v>
      </c>
      <c r="CQ128" s="78">
        <f t="shared" si="92"/>
        <v>0</v>
      </c>
      <c r="CR128" s="78">
        <f t="shared" si="93"/>
        <v>0</v>
      </c>
      <c r="CS128" s="78">
        <f t="shared" si="94"/>
        <v>0</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f t="shared" si="105"/>
        <v>1</v>
      </c>
      <c r="DF128" s="78">
        <f t="shared" si="106"/>
        <v>1</v>
      </c>
      <c r="DG128" s="78" t="str">
        <f t="shared" si="107"/>
        <v>1</v>
      </c>
      <c r="DH128" s="78" t="str">
        <f t="shared" si="108"/>
        <v>1</v>
      </c>
      <c r="DI128" s="79" t="str">
        <f>IFERROR(IF(J128="","",VLOOKUP(J128,Lists!$D$3:$E$13,2,FALSE)),1)</f>
        <v/>
      </c>
      <c r="DJ128" s="79" t="str">
        <f>IFERROR(IF(K128="","",VLOOKUP(K128,Lists!$F$3:$G$14,2,FALSE)),1)</f>
        <v/>
      </c>
      <c r="DK128" s="79">
        <f>IFERROR(IF(M128="","",VLOOKUP(M128,Lists!$AA$3:$AB$18,2,FALSE)),1)</f>
        <v>0</v>
      </c>
      <c r="DL128" s="79">
        <f>IFERROR(IF(N128="","",VLOOKUP(N128,Lists!$AC$3:$AD$13,2,FALSE)),1)</f>
        <v>0</v>
      </c>
    </row>
    <row r="129" spans="1:116" ht="15" customHeight="1" x14ac:dyDescent="0.2">
      <c r="A129" s="20">
        <v>330063</v>
      </c>
      <c r="B129" s="19">
        <v>45673</v>
      </c>
      <c r="C129" s="64">
        <v>0.33333333333333331</v>
      </c>
      <c r="D129" s="64" t="s">
        <v>1169</v>
      </c>
      <c r="E129" s="19">
        <v>45673</v>
      </c>
      <c r="F129" s="20">
        <v>13</v>
      </c>
      <c r="G129" s="18" t="s">
        <v>1108</v>
      </c>
      <c r="H129" s="65"/>
      <c r="I129" s="18" t="s">
        <v>1121</v>
      </c>
      <c r="J129" s="66" t="s">
        <v>55</v>
      </c>
      <c r="K129" s="66" t="s">
        <v>420</v>
      </c>
      <c r="L129" s="67" t="s">
        <v>1241</v>
      </c>
      <c r="M129" s="68"/>
      <c r="N129" s="68"/>
      <c r="O129" s="69"/>
      <c r="P129" s="134">
        <v>0.33194444444444443</v>
      </c>
      <c r="Q129" s="70"/>
      <c r="R129" s="134">
        <v>0.34930555555555554</v>
      </c>
      <c r="S129" s="70"/>
      <c r="T129" s="134">
        <v>0.37013888888888885</v>
      </c>
      <c r="U129" s="70"/>
      <c r="V129" s="134">
        <v>0.37708333333333338</v>
      </c>
      <c r="W129" s="70"/>
      <c r="X129" s="134">
        <v>0.37777777777777777</v>
      </c>
      <c r="Y129" s="70"/>
      <c r="Z129" s="134">
        <v>0.38541666666666669</v>
      </c>
      <c r="AA129" s="70" t="s">
        <v>1121</v>
      </c>
      <c r="AB129" s="19">
        <v>45673</v>
      </c>
      <c r="AC129" s="20" t="s">
        <v>1108</v>
      </c>
      <c r="AD129" s="19"/>
      <c r="AE129" s="71">
        <f t="shared" si="73"/>
        <v>478</v>
      </c>
      <c r="AF129" s="71">
        <f t="shared" si="74"/>
        <v>543</v>
      </c>
      <c r="AG129" s="71">
        <f t="shared" si="75"/>
        <v>65</v>
      </c>
      <c r="AH129" s="71">
        <f t="shared" si="76"/>
        <v>0</v>
      </c>
      <c r="AI129" s="71">
        <f t="shared" si="77"/>
        <v>63</v>
      </c>
      <c r="AJ129" s="71" t="str">
        <f t="shared" si="78"/>
        <v/>
      </c>
      <c r="AK129" s="71" t="str">
        <f t="shared" si="79"/>
        <v/>
      </c>
      <c r="AL129" s="71">
        <f t="shared" si="80"/>
        <v>63</v>
      </c>
      <c r="AM129" s="71">
        <f t="shared" si="81"/>
        <v>2</v>
      </c>
      <c r="AN129" s="72">
        <f t="shared" si="82"/>
        <v>1.5972222222222221E-2</v>
      </c>
      <c r="AO129" s="73">
        <f t="shared" si="83"/>
        <v>0</v>
      </c>
      <c r="AP129" s="72" t="str">
        <f t="shared" si="84"/>
        <v>No</v>
      </c>
      <c r="AQ129" s="72">
        <f t="shared" si="85"/>
        <v>7.6388888888889173E-3</v>
      </c>
      <c r="AR129" s="72" t="str">
        <f t="shared" si="86"/>
        <v>Yes</v>
      </c>
      <c r="AS129" s="72" t="str">
        <f t="shared" si="87"/>
        <v>No</v>
      </c>
      <c r="AT129" s="72" t="str">
        <f t="shared" si="88"/>
        <v>No</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f t="shared" si="89"/>
        <v>0</v>
      </c>
      <c r="CO129" s="78">
        <f t="shared" si="90"/>
        <v>0</v>
      </c>
      <c r="CP129" s="78">
        <f t="shared" si="91"/>
        <v>0</v>
      </c>
      <c r="CQ129" s="78">
        <f t="shared" si="92"/>
        <v>0</v>
      </c>
      <c r="CR129" s="78">
        <f t="shared" si="93"/>
        <v>0</v>
      </c>
      <c r="CS129" s="78">
        <f t="shared" si="94"/>
        <v>0</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0</v>
      </c>
      <c r="DC129" s="78">
        <f t="shared" si="103"/>
        <v>0</v>
      </c>
      <c r="DD129" s="78">
        <f t="shared" si="104"/>
        <v>0</v>
      </c>
      <c r="DE129" s="78">
        <f t="shared" si="105"/>
        <v>1</v>
      </c>
      <c r="DF129" s="78">
        <f t="shared" si="106"/>
        <v>1</v>
      </c>
      <c r="DG129" s="78">
        <f t="shared" si="107"/>
        <v>1</v>
      </c>
      <c r="DH129" s="78" t="str">
        <f t="shared" si="108"/>
        <v>1</v>
      </c>
      <c r="DI129" s="79">
        <f>IFERROR(IF(J129="","",VLOOKUP(J129,Lists!$D$3:$E$13,2,FALSE)),1)</f>
        <v>0</v>
      </c>
      <c r="DJ129" s="79">
        <f>IFERROR(IF(K129="","",VLOOKUP(K129,Lists!$F$3:$G$14,2,FALSE)),1)</f>
        <v>0</v>
      </c>
      <c r="DK129" s="79" t="str">
        <f>IFERROR(IF(M129="","",VLOOKUP(M129,Lists!$AA$3:$AB$18,2,FALSE)),1)</f>
        <v/>
      </c>
      <c r="DL129" s="79" t="str">
        <f>IFERROR(IF(N129="","",VLOOKUP(N129,Lists!$AC$3:$AD$13,2,FALSE)),1)</f>
        <v/>
      </c>
    </row>
    <row r="130" spans="1:116" ht="15" customHeight="1" x14ac:dyDescent="0.2">
      <c r="A130" s="20">
        <v>394162</v>
      </c>
      <c r="B130" s="19">
        <v>45673</v>
      </c>
      <c r="C130" s="64">
        <v>0.39583333333333331</v>
      </c>
      <c r="D130" s="64" t="s">
        <v>1169</v>
      </c>
      <c r="E130" s="19">
        <v>45673</v>
      </c>
      <c r="F130" s="20">
        <v>13</v>
      </c>
      <c r="G130" s="18" t="s">
        <v>1108</v>
      </c>
      <c r="H130" s="65"/>
      <c r="I130" s="18" t="s">
        <v>1121</v>
      </c>
      <c r="J130" s="66" t="s">
        <v>55</v>
      </c>
      <c r="K130" s="66" t="s">
        <v>417</v>
      </c>
      <c r="L130" s="67"/>
      <c r="M130" s="68"/>
      <c r="N130" s="68"/>
      <c r="O130" s="69"/>
      <c r="P130" s="134">
        <v>0.3888888888888889</v>
      </c>
      <c r="Q130" s="70"/>
      <c r="R130" s="134">
        <v>0.40763888888888888</v>
      </c>
      <c r="S130" s="70"/>
      <c r="T130" s="134">
        <v>0.4291666666666667</v>
      </c>
      <c r="U130" s="70"/>
      <c r="V130" s="134">
        <v>0.45833333333333331</v>
      </c>
      <c r="W130" s="70"/>
      <c r="X130" s="134">
        <v>0.45902777777777781</v>
      </c>
      <c r="Y130" s="70"/>
      <c r="Z130" s="134">
        <v>0.46527777777777773</v>
      </c>
      <c r="AA130" s="70" t="s">
        <v>1121</v>
      </c>
      <c r="AB130" s="19">
        <v>45673</v>
      </c>
      <c r="AC130" s="20" t="s">
        <v>1108</v>
      </c>
      <c r="AD130" s="19"/>
      <c r="AE130" s="71">
        <f t="shared" si="73"/>
        <v>560</v>
      </c>
      <c r="AF130" s="71">
        <f t="shared" si="74"/>
        <v>660</v>
      </c>
      <c r="AG130" s="71">
        <f t="shared" si="75"/>
        <v>100</v>
      </c>
      <c r="AH130" s="71">
        <f t="shared" si="76"/>
        <v>100</v>
      </c>
      <c r="AI130" s="71" t="str">
        <f t="shared" si="77"/>
        <v/>
      </c>
      <c r="AJ130" s="71" t="str">
        <f t="shared" si="78"/>
        <v/>
      </c>
      <c r="AK130" s="71" t="str">
        <f t="shared" si="79"/>
        <v/>
      </c>
      <c r="AL130" s="71">
        <f t="shared" si="80"/>
        <v>100</v>
      </c>
      <c r="AM130" s="71">
        <f t="shared" si="81"/>
        <v>0</v>
      </c>
      <c r="AN130" s="72">
        <f t="shared" si="82"/>
        <v>1.1805555555555569E-2</v>
      </c>
      <c r="AO130" s="73">
        <f t="shared" si="83"/>
        <v>0</v>
      </c>
      <c r="AP130" s="72" t="str">
        <f t="shared" si="84"/>
        <v>No</v>
      </c>
      <c r="AQ130" s="72">
        <f t="shared" si="85"/>
        <v>6.2499999999999223E-3</v>
      </c>
      <c r="AR130" s="72" t="str">
        <f t="shared" si="86"/>
        <v>Yes</v>
      </c>
      <c r="AS130" s="72" t="str">
        <f t="shared" si="87"/>
        <v>No</v>
      </c>
      <c r="AT130" s="72" t="str">
        <f t="shared" si="88"/>
        <v>No</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f t="shared" si="89"/>
        <v>0</v>
      </c>
      <c r="CO130" s="78">
        <f t="shared" si="90"/>
        <v>0</v>
      </c>
      <c r="CP130" s="78">
        <f t="shared" si="91"/>
        <v>0</v>
      </c>
      <c r="CQ130" s="78">
        <f t="shared" si="92"/>
        <v>0</v>
      </c>
      <c r="CR130" s="78">
        <f t="shared" si="93"/>
        <v>0</v>
      </c>
      <c r="CS130" s="78">
        <f t="shared" si="94"/>
        <v>0</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0</v>
      </c>
      <c r="DC130" s="78">
        <f t="shared" si="103"/>
        <v>0</v>
      </c>
      <c r="DD130" s="78">
        <f t="shared" si="104"/>
        <v>0</v>
      </c>
      <c r="DE130" s="78">
        <f t="shared" si="105"/>
        <v>1</v>
      </c>
      <c r="DF130" s="78">
        <f t="shared" si="106"/>
        <v>1</v>
      </c>
      <c r="DG130" s="78">
        <f t="shared" si="107"/>
        <v>1</v>
      </c>
      <c r="DH130" s="78" t="str">
        <f t="shared" si="108"/>
        <v>1</v>
      </c>
      <c r="DI130" s="79">
        <f>IFERROR(IF(J130="","",VLOOKUP(J130,Lists!$D$3:$E$13,2,FALSE)),1)</f>
        <v>0</v>
      </c>
      <c r="DJ130" s="79">
        <f>IFERROR(IF(K130="","",VLOOKUP(K130,Lists!$F$3:$G$14,2,FALSE)),1)</f>
        <v>0</v>
      </c>
      <c r="DK130" s="79" t="str">
        <f>IFERROR(IF(M130="","",VLOOKUP(M130,Lists!$AA$3:$AB$18,2,FALSE)),1)</f>
        <v/>
      </c>
      <c r="DL130" s="79" t="str">
        <f>IFERROR(IF(N130="","",VLOOKUP(N130,Lists!$AC$3:$AD$13,2,FALSE)),1)</f>
        <v/>
      </c>
    </row>
    <row r="131" spans="1:116" ht="15" customHeight="1" x14ac:dyDescent="0.2">
      <c r="A131" s="20">
        <v>397005</v>
      </c>
      <c r="B131" s="19">
        <v>45673</v>
      </c>
      <c r="C131" s="64">
        <v>0.47916666666666669</v>
      </c>
      <c r="D131" s="64" t="s">
        <v>1169</v>
      </c>
      <c r="E131" s="19">
        <v>45673</v>
      </c>
      <c r="F131" s="20">
        <v>13</v>
      </c>
      <c r="G131" s="18" t="s">
        <v>1108</v>
      </c>
      <c r="H131" s="65"/>
      <c r="I131" s="18" t="s">
        <v>1121</v>
      </c>
      <c r="J131" s="66" t="s">
        <v>55</v>
      </c>
      <c r="K131" s="66" t="s">
        <v>417</v>
      </c>
      <c r="L131" s="67"/>
      <c r="M131" s="68"/>
      <c r="N131" s="68"/>
      <c r="O131" s="69"/>
      <c r="P131" s="134">
        <v>0.46875</v>
      </c>
      <c r="Q131" s="70"/>
      <c r="R131" s="134">
        <v>0.4826388888888889</v>
      </c>
      <c r="S131" s="70"/>
      <c r="T131" s="134">
        <v>0.51250000000000007</v>
      </c>
      <c r="U131" s="70"/>
      <c r="V131" s="134">
        <v>0.52777777777777779</v>
      </c>
      <c r="W131" s="70"/>
      <c r="X131" s="134">
        <v>0.52847222222222223</v>
      </c>
      <c r="Y131" s="70"/>
      <c r="Z131" s="134">
        <v>0.53472222222222221</v>
      </c>
      <c r="AA131" s="70" t="s">
        <v>1121</v>
      </c>
      <c r="AB131" s="19">
        <v>45673</v>
      </c>
      <c r="AC131" s="20" t="s">
        <v>1108</v>
      </c>
      <c r="AD131" s="19"/>
      <c r="AE131" s="71">
        <f t="shared" ref="AE131:AE194" si="110">IF(P131&lt;&gt;"",HOUR(P131)*60+MINUTE(P131),"")</f>
        <v>675</v>
      </c>
      <c r="AF131" s="71">
        <f t="shared" ref="AF131:AF194" si="111">IF(V131&lt;&gt;"",HOUR(V131)*60+MINUTE(V131),"")</f>
        <v>760</v>
      </c>
      <c r="AG131" s="71">
        <f t="shared" ref="AG131:AG194" si="112">IF(OR(AE131="",AF131=""),"",IF(AE131=AF131,0,IF(AF131&gt;AE131,AF131-AE131,1440-AE131+AF131)))</f>
        <v>85</v>
      </c>
      <c r="AH131" s="71">
        <f t="shared" ref="AH131:AH194" si="113">IF(OR(AE131="",AF131="",AG131=""),"",IF(AE131&gt;=$BK$4,IF(AF131&gt;$BK$4,IF(AF131&lt;=$BK$5,IF(AE131&gt;=$BK$4,AG131,""),""),""),0))</f>
        <v>85</v>
      </c>
      <c r="AI131" s="71" t="str">
        <f t="shared" ref="AI131:AI194" si="114">IF(OR(AE131="",AF131="",$BK$4="",$BK$5=""),"",IF(AE131&lt;$BK$4,IF(AF131&gt;$BK$4,IF(AF131&lt;$BK$5,AF131-$BK$4,($BK$5-$BK$4)),""),""))</f>
        <v/>
      </c>
      <c r="AJ131" s="71" t="str">
        <f t="shared" ref="AJ131:AJ194" si="115">IF(OR(AE131="",AF131="",$BK$4="",$BK$5=""),"",IF(AE131&gt;$BK$4,IF(AE131&lt;$BK$5,IF(OR(AF131&gt;$BK$5,AF131&lt;$BK$4),$BK$5-AE131,""),""),""))</f>
        <v/>
      </c>
      <c r="AK131" s="71" t="str">
        <f t="shared" ref="AK131:AK194" si="116">IF(OR(AE131="",AF131="",$BK$4="",$BK$5=""),"",IF(AND(AE131&lt;$BK$4,AF131&lt;$BK$4),((AF131-AE131)),""))</f>
        <v/>
      </c>
      <c r="AL131" s="71">
        <f t="shared" ref="AL131:AL194" si="117">IF(AND(AH131="",AI131="",AJ131="",AK131=""),"",SUM(AH131:AK131))</f>
        <v>85</v>
      </c>
      <c r="AM131" s="71">
        <f t="shared" ref="AM131:AM194" si="118">IF(OR(AG131="",AL131=""),IF(AL131="",AG131,""),AG131-AL131)</f>
        <v>0</v>
      </c>
      <c r="AN131" s="72">
        <f t="shared" ref="AN131:AN194" si="119">IF(AL131="","",IF(OR(C131="",R131=""),"",IF(((R131+Q131)-C131)&lt;0,0,((R131+Q131)-C131))))</f>
        <v>3.4722222222222099E-3</v>
      </c>
      <c r="AO131" s="73">
        <f t="shared" ref="AO131:AO194" si="120">IF(AL131="","",IF(OR(E131="",B131="",G131="yes"),"",B131-E131))</f>
        <v>0</v>
      </c>
      <c r="AP131" s="72" t="str">
        <f t="shared" ref="AP131:AP194" si="121">IF(AN131="","",IF(AN131&gt;$AY$6,"No","Yes"))</f>
        <v>Yes</v>
      </c>
      <c r="AQ131" s="72">
        <f t="shared" ref="AQ131:AQ194" si="122">IF(AL131="","",IF(OR(X131="",Z131=""),"",Z131+Y131-X131))</f>
        <v>6.2499999999999778E-3</v>
      </c>
      <c r="AR131" s="72" t="str">
        <f t="shared" ref="AR131:AR194" si="123">IF(AL131="","",IF(OR(I131="",I131="No",,G131="yes"),"",IF(AB131=E131,"Yes","No")))</f>
        <v>Yes</v>
      </c>
      <c r="AS131" s="72" t="str">
        <f t="shared" ref="AS131:AS194" si="124">IF(G131="YES","",(IF(OR(A131="",AB131="",E131=""),"",(IF(OR(I131="",I131="No",,G131="Yes"),"",IF(OR(B131&lt;&gt;AB131,B131&lt;&gt;E131),IF(AB131&lt;E131,"Validate","Yes"),"No"))))))</f>
        <v>No</v>
      </c>
      <c r="AT131" s="72" t="str">
        <f t="shared" ref="AT131:AT194" si="125">IF(OR(AL131="",AB131="",I131="No"),"",IF(OR(AD131=AB131,AD131=AB131+1),"Yes","No"))</f>
        <v>No</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f t="shared" ref="CN131:CN194" si="126">IF(OR(P131="",R131=""),"",IF(P131+Q131=R131,1,0))</f>
        <v>0</v>
      </c>
      <c r="CO131" s="78">
        <f t="shared" ref="CO131:CO194" si="127">IF(OR(R131="",T131=""),"",IF(R131+S131=T131,1,0))</f>
        <v>0</v>
      </c>
      <c r="CP131" s="78">
        <f t="shared" ref="CP131:CP194" si="128">IF(OR(T131="",V131=""),"",IF(T131+U131=V131,1,0))</f>
        <v>0</v>
      </c>
      <c r="CQ131" s="78">
        <f t="shared" ref="CQ131:CQ194" si="129">IF(OR(V131="",X131=""),"",IF(V131+W131=X131,1,0))</f>
        <v>0</v>
      </c>
      <c r="CR131" s="78">
        <f t="shared" ref="CR131:CR194" si="130">IF(OR(X131="",Z131=""),"",IF(X131+Y131=Z131,1,0))</f>
        <v>0</v>
      </c>
      <c r="CS131" s="78">
        <f t="shared" ref="CS131:CS194" si="131">IF(OR(P131="",R131="",T131="",X131="",Z131="",V131=""),"",IF(P131=R131,1,IF(P131=T131,1,IF(P131=V131,1,IF(P131=X131,1,IF(P131=Z131,1,IF(R131=T131,1,IF(R131=V131,1,IF(R131=X131,1,IF(R131=Z131,1,IF(T131=V131,1,IF(T131=X131,1,IF(T131=Z131,1,IF(V131=X131,1,IF(V131=Z131,1,IF(X131=Z131,1,0))))))))))))))))</f>
        <v>0</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1</v>
      </c>
      <c r="DC131" s="78">
        <f t="shared" ref="DC131:DC194" si="140">IF(COUNTIFS($P$2:$P$1288,P131,$T$2:$T$1288,T131,$R$2:$R$1288,R131,$V$2:$V$1288,V131)&gt;1,1,0)</f>
        <v>0</v>
      </c>
      <c r="DD131" s="78">
        <f t="shared" ref="DD131:DD194" si="141">IF(COUNTIFS($T$2:$T$601,T131,$V$2:$V$601,V131,$P$2:$P$601,P131,$X$2:$X$601,X131)&gt;1,1,0)</f>
        <v>0</v>
      </c>
      <c r="DE131" s="78">
        <f t="shared" ref="DE131:DE194" si="142">IF(ISERROR(DATEVALUE(TEXT(B131,"mm/dd/yyyy"))),"1",IF(B131 &gt;=DATEVALUE(TEXT("06/01/2000","mm/dd/yyyy")),1,"0"))</f>
        <v>1</v>
      </c>
      <c r="DF131" s="78">
        <f t="shared" ref="DF131:DF194" si="143">IF(ISERROR(DATEVALUE(TEXT(E131,"mm/dd/yyyy"))),"1",IF(E131 &gt;=DATEVALUE(TEXT("06/01/2000","mm/dd/yyyy")),1,"0"))</f>
        <v>1</v>
      </c>
      <c r="DG131" s="78">
        <f t="shared" ref="DG131:DG194" si="144">IF(ISERROR(DATEVALUE(TEXT(AB131,"mm/dd/yyyy"))),"1",IF(AB131 &gt;=DATEVALUE(TEXT("06/01/2000","mm/dd/yyyy")),1,"0"))</f>
        <v>1</v>
      </c>
      <c r="DH131" s="78" t="str">
        <f t="shared" ref="DH131:DH194" si="145">IF(ISERROR(DATEVALUE(TEXT(AD131,"mm/dd/yyyy"))),"1",IF(AD131 &gt;=DATEVALUE(TEXT("06/01/2000","mm/dd/yyyy")),1,"0"))</f>
        <v>1</v>
      </c>
      <c r="DI131" s="79">
        <f>IFERROR(IF(J131="","",VLOOKUP(J131,Lists!$D$3:$E$13,2,FALSE)),1)</f>
        <v>0</v>
      </c>
      <c r="DJ131" s="79">
        <f>IFERROR(IF(K131="","",VLOOKUP(K131,Lists!$F$3:$G$14,2,FALSE)),1)</f>
        <v>0</v>
      </c>
      <c r="DK131" s="79" t="str">
        <f>IFERROR(IF(M131="","",VLOOKUP(M131,Lists!$AA$3:$AB$18,2,FALSE)),1)</f>
        <v/>
      </c>
      <c r="DL131" s="79" t="str">
        <f>IFERROR(IF(N131="","",VLOOKUP(N131,Lists!$AC$3:$AD$13,2,FALSE)),1)</f>
        <v/>
      </c>
    </row>
    <row r="132" spans="1:116" ht="15" customHeight="1" x14ac:dyDescent="0.2">
      <c r="A132" s="20">
        <v>374962</v>
      </c>
      <c r="B132" s="19">
        <v>45673</v>
      </c>
      <c r="C132" s="64">
        <v>0.54166666666666663</v>
      </c>
      <c r="D132" s="64" t="s">
        <v>1112</v>
      </c>
      <c r="E132" s="19">
        <v>45673</v>
      </c>
      <c r="F132" s="20">
        <v>13</v>
      </c>
      <c r="G132" s="18" t="s">
        <v>1108</v>
      </c>
      <c r="H132" s="65"/>
      <c r="I132" s="18" t="s">
        <v>1121</v>
      </c>
      <c r="J132" s="66" t="s">
        <v>27</v>
      </c>
      <c r="K132" s="66" t="s">
        <v>420</v>
      </c>
      <c r="L132" s="67" t="s">
        <v>1124</v>
      </c>
      <c r="M132" s="68"/>
      <c r="N132" s="68"/>
      <c r="O132" s="69"/>
      <c r="P132" s="134">
        <v>0.54166666666666663</v>
      </c>
      <c r="Q132" s="70"/>
      <c r="R132" s="134">
        <v>0.55208333333333337</v>
      </c>
      <c r="S132" s="70"/>
      <c r="T132" s="134">
        <v>0.5625</v>
      </c>
      <c r="U132" s="70"/>
      <c r="V132" s="134">
        <v>0.56805555555555554</v>
      </c>
      <c r="W132" s="70"/>
      <c r="X132" s="134">
        <v>0.56874999999999998</v>
      </c>
      <c r="Y132" s="70"/>
      <c r="Z132" s="134">
        <v>0.57222222222222219</v>
      </c>
      <c r="AA132" s="70" t="s">
        <v>1121</v>
      </c>
      <c r="AB132" s="19">
        <v>45673</v>
      </c>
      <c r="AC132" s="20" t="s">
        <v>1108</v>
      </c>
      <c r="AD132" s="19"/>
      <c r="AE132" s="71">
        <f t="shared" si="110"/>
        <v>780</v>
      </c>
      <c r="AF132" s="71">
        <f t="shared" si="111"/>
        <v>818</v>
      </c>
      <c r="AG132" s="71">
        <f t="shared" si="112"/>
        <v>38</v>
      </c>
      <c r="AH132" s="71">
        <f t="shared" si="113"/>
        <v>38</v>
      </c>
      <c r="AI132" s="71" t="str">
        <f t="shared" si="114"/>
        <v/>
      </c>
      <c r="AJ132" s="71" t="str">
        <f t="shared" si="115"/>
        <v/>
      </c>
      <c r="AK132" s="71" t="str">
        <f t="shared" si="116"/>
        <v/>
      </c>
      <c r="AL132" s="71">
        <f t="shared" si="117"/>
        <v>38</v>
      </c>
      <c r="AM132" s="71">
        <f t="shared" si="118"/>
        <v>0</v>
      </c>
      <c r="AN132" s="72">
        <f t="shared" si="119"/>
        <v>1.0416666666666741E-2</v>
      </c>
      <c r="AO132" s="73">
        <f t="shared" si="120"/>
        <v>0</v>
      </c>
      <c r="AP132" s="72" t="str">
        <f t="shared" si="121"/>
        <v>Yes</v>
      </c>
      <c r="AQ132" s="72">
        <f t="shared" si="122"/>
        <v>3.4722222222222099E-3</v>
      </c>
      <c r="AR132" s="72" t="str">
        <f t="shared" si="123"/>
        <v>Yes</v>
      </c>
      <c r="AS132" s="72" t="str">
        <f t="shared" si="124"/>
        <v>No</v>
      </c>
      <c r="AT132" s="72" t="str">
        <f t="shared" si="125"/>
        <v>No</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f t="shared" si="126"/>
        <v>0</v>
      </c>
      <c r="CO132" s="78">
        <f t="shared" si="127"/>
        <v>0</v>
      </c>
      <c r="CP132" s="78">
        <f t="shared" si="128"/>
        <v>0</v>
      </c>
      <c r="CQ132" s="78">
        <f t="shared" si="129"/>
        <v>0</v>
      </c>
      <c r="CR132" s="78">
        <f t="shared" si="130"/>
        <v>0</v>
      </c>
      <c r="CS132" s="78">
        <f t="shared" si="131"/>
        <v>0</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1</v>
      </c>
      <c r="DC132" s="78">
        <f t="shared" si="140"/>
        <v>0</v>
      </c>
      <c r="DD132" s="78">
        <f t="shared" si="141"/>
        <v>0</v>
      </c>
      <c r="DE132" s="78">
        <f t="shared" si="142"/>
        <v>1</v>
      </c>
      <c r="DF132" s="78">
        <f t="shared" si="143"/>
        <v>1</v>
      </c>
      <c r="DG132" s="78">
        <f t="shared" si="144"/>
        <v>1</v>
      </c>
      <c r="DH132" s="78" t="str">
        <f t="shared" si="145"/>
        <v>1</v>
      </c>
      <c r="DI132" s="79">
        <f>IFERROR(IF(J132="","",VLOOKUP(J132,Lists!$D$3:$E$13,2,FALSE)),1)</f>
        <v>0</v>
      </c>
      <c r="DJ132" s="79">
        <f>IFERROR(IF(K132="","",VLOOKUP(K132,Lists!$F$3:$G$14,2,FALSE)),1)</f>
        <v>0</v>
      </c>
      <c r="DK132" s="79" t="str">
        <f>IFERROR(IF(M132="","",VLOOKUP(M132,Lists!$AA$3:$AB$18,2,FALSE)),1)</f>
        <v/>
      </c>
      <c r="DL132" s="79" t="str">
        <f>IFERROR(IF(N132="","",VLOOKUP(N132,Lists!$AC$3:$AD$13,2,FALSE)),1)</f>
        <v/>
      </c>
    </row>
    <row r="133" spans="1:116" ht="15" customHeight="1" x14ac:dyDescent="0.2">
      <c r="A133" s="20">
        <v>28403</v>
      </c>
      <c r="B133" s="19">
        <v>45673</v>
      </c>
      <c r="C133" s="64">
        <v>0.58333333333333337</v>
      </c>
      <c r="D133" s="64" t="s">
        <v>1112</v>
      </c>
      <c r="E133" s="19">
        <v>45673</v>
      </c>
      <c r="F133" s="20">
        <v>13</v>
      </c>
      <c r="G133" s="18" t="s">
        <v>1108</v>
      </c>
      <c r="H133" s="65"/>
      <c r="I133" s="18" t="s">
        <v>1121</v>
      </c>
      <c r="J133" s="66" t="s">
        <v>27</v>
      </c>
      <c r="K133" s="66" t="s">
        <v>420</v>
      </c>
      <c r="L133" s="67" t="s">
        <v>1124</v>
      </c>
      <c r="M133" s="68"/>
      <c r="N133" s="68"/>
      <c r="O133" s="69"/>
      <c r="P133" s="134">
        <v>0.57291666666666663</v>
      </c>
      <c r="Q133" s="70"/>
      <c r="R133" s="134">
        <v>0.57986111111111105</v>
      </c>
      <c r="S133" s="70"/>
      <c r="T133" s="134">
        <v>0.59027777777777779</v>
      </c>
      <c r="U133" s="70"/>
      <c r="V133" s="134">
        <v>0.59722222222222221</v>
      </c>
      <c r="W133" s="70"/>
      <c r="X133" s="134">
        <v>0.59791666666666665</v>
      </c>
      <c r="Y133" s="70"/>
      <c r="Z133" s="134">
        <v>0.60416666666666663</v>
      </c>
      <c r="AA133" s="70" t="s">
        <v>1121</v>
      </c>
      <c r="AB133" s="19">
        <v>45673</v>
      </c>
      <c r="AC133" s="20" t="s">
        <v>1108</v>
      </c>
      <c r="AD133" s="19"/>
      <c r="AE133" s="71">
        <f t="shared" si="110"/>
        <v>825</v>
      </c>
      <c r="AF133" s="71">
        <f t="shared" si="111"/>
        <v>860</v>
      </c>
      <c r="AG133" s="71">
        <f t="shared" si="112"/>
        <v>35</v>
      </c>
      <c r="AH133" s="71">
        <f t="shared" si="113"/>
        <v>35</v>
      </c>
      <c r="AI133" s="71" t="str">
        <f t="shared" si="114"/>
        <v/>
      </c>
      <c r="AJ133" s="71" t="str">
        <f t="shared" si="115"/>
        <v/>
      </c>
      <c r="AK133" s="71" t="str">
        <f t="shared" si="116"/>
        <v/>
      </c>
      <c r="AL133" s="71">
        <f t="shared" si="117"/>
        <v>35</v>
      </c>
      <c r="AM133" s="71">
        <f t="shared" si="118"/>
        <v>0</v>
      </c>
      <c r="AN133" s="72">
        <f t="shared" si="119"/>
        <v>0</v>
      </c>
      <c r="AO133" s="73">
        <f t="shared" si="120"/>
        <v>0</v>
      </c>
      <c r="AP133" s="72" t="str">
        <f t="shared" si="121"/>
        <v>Yes</v>
      </c>
      <c r="AQ133" s="72">
        <f t="shared" si="122"/>
        <v>6.2499999999999778E-3</v>
      </c>
      <c r="AR133" s="72" t="str">
        <f t="shared" si="123"/>
        <v>Yes</v>
      </c>
      <c r="AS133" s="72" t="str">
        <f t="shared" si="124"/>
        <v>No</v>
      </c>
      <c r="AT133" s="72" t="str">
        <f t="shared" si="125"/>
        <v>No</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f t="shared" si="126"/>
        <v>0</v>
      </c>
      <c r="CO133" s="78">
        <f t="shared" si="127"/>
        <v>0</v>
      </c>
      <c r="CP133" s="78">
        <f t="shared" si="128"/>
        <v>0</v>
      </c>
      <c r="CQ133" s="78">
        <f t="shared" si="129"/>
        <v>0</v>
      </c>
      <c r="CR133" s="78">
        <f t="shared" si="130"/>
        <v>0</v>
      </c>
      <c r="CS133" s="78">
        <f t="shared" si="131"/>
        <v>0</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1</v>
      </c>
      <c r="DC133" s="78">
        <f t="shared" si="140"/>
        <v>0</v>
      </c>
      <c r="DD133" s="78">
        <f t="shared" si="141"/>
        <v>0</v>
      </c>
      <c r="DE133" s="78">
        <f t="shared" si="142"/>
        <v>1</v>
      </c>
      <c r="DF133" s="78">
        <f t="shared" si="143"/>
        <v>1</v>
      </c>
      <c r="DG133" s="78">
        <f t="shared" si="144"/>
        <v>1</v>
      </c>
      <c r="DH133" s="78" t="str">
        <f t="shared" si="145"/>
        <v>1</v>
      </c>
      <c r="DI133" s="79">
        <f>IFERROR(IF(J133="","",VLOOKUP(J133,Lists!$D$3:$E$13,2,FALSE)),1)</f>
        <v>0</v>
      </c>
      <c r="DJ133" s="79">
        <f>IFERROR(IF(K133="","",VLOOKUP(K133,Lists!$F$3:$G$14,2,FALSE)),1)</f>
        <v>0</v>
      </c>
      <c r="DK133" s="79" t="str">
        <f>IFERROR(IF(M133="","",VLOOKUP(M133,Lists!$AA$3:$AB$18,2,FALSE)),1)</f>
        <v/>
      </c>
      <c r="DL133" s="79" t="str">
        <f>IFERROR(IF(N133="","",VLOOKUP(N133,Lists!$AC$3:$AD$13,2,FALSE)),1)</f>
        <v/>
      </c>
    </row>
    <row r="134" spans="1:116" ht="15" customHeight="1" x14ac:dyDescent="0.2">
      <c r="A134" s="20">
        <v>409469</v>
      </c>
      <c r="B134" s="19">
        <v>45673</v>
      </c>
      <c r="C134" s="64">
        <v>0.60416666666666663</v>
      </c>
      <c r="D134" s="64" t="s">
        <v>1111</v>
      </c>
      <c r="E134" s="19">
        <v>45673</v>
      </c>
      <c r="F134" s="20">
        <v>13</v>
      </c>
      <c r="G134" s="18" t="s">
        <v>1108</v>
      </c>
      <c r="H134" s="65"/>
      <c r="I134" s="18" t="s">
        <v>1121</v>
      </c>
      <c r="J134" s="66" t="s">
        <v>27</v>
      </c>
      <c r="K134" s="66" t="s">
        <v>420</v>
      </c>
      <c r="L134" s="67" t="s">
        <v>1124</v>
      </c>
      <c r="M134" s="68"/>
      <c r="N134" s="68"/>
      <c r="O134" s="69"/>
      <c r="P134" s="134">
        <v>0.60763888888888895</v>
      </c>
      <c r="Q134" s="70"/>
      <c r="R134" s="134">
        <v>0.61805555555555558</v>
      </c>
      <c r="S134" s="70"/>
      <c r="T134" s="134">
        <v>0.63541666666666663</v>
      </c>
      <c r="U134" s="70"/>
      <c r="V134" s="134">
        <v>0.64583333333333337</v>
      </c>
      <c r="W134" s="70"/>
      <c r="X134" s="134">
        <v>0.64652777777777781</v>
      </c>
      <c r="Y134" s="70"/>
      <c r="Z134" s="134">
        <v>0.65277777777777779</v>
      </c>
      <c r="AA134" s="70" t="s">
        <v>1121</v>
      </c>
      <c r="AB134" s="19">
        <v>45673</v>
      </c>
      <c r="AC134" s="20" t="s">
        <v>1108</v>
      </c>
      <c r="AD134" s="19"/>
      <c r="AE134" s="71">
        <f t="shared" si="110"/>
        <v>875</v>
      </c>
      <c r="AF134" s="71">
        <f t="shared" si="111"/>
        <v>930</v>
      </c>
      <c r="AG134" s="71">
        <f t="shared" si="112"/>
        <v>55</v>
      </c>
      <c r="AH134" s="71">
        <f t="shared" si="113"/>
        <v>55</v>
      </c>
      <c r="AI134" s="71" t="str">
        <f t="shared" si="114"/>
        <v/>
      </c>
      <c r="AJ134" s="71" t="str">
        <f t="shared" si="115"/>
        <v/>
      </c>
      <c r="AK134" s="71" t="str">
        <f t="shared" si="116"/>
        <v/>
      </c>
      <c r="AL134" s="71">
        <f t="shared" si="117"/>
        <v>55</v>
      </c>
      <c r="AM134" s="71">
        <f t="shared" si="118"/>
        <v>0</v>
      </c>
      <c r="AN134" s="72">
        <f t="shared" si="119"/>
        <v>1.3888888888888951E-2</v>
      </c>
      <c r="AO134" s="73">
        <f t="shared" si="120"/>
        <v>0</v>
      </c>
      <c r="AP134" s="72" t="str">
        <f t="shared" si="121"/>
        <v>No</v>
      </c>
      <c r="AQ134" s="72">
        <f t="shared" si="122"/>
        <v>6.2499999999999778E-3</v>
      </c>
      <c r="AR134" s="72" t="str">
        <f t="shared" si="123"/>
        <v>Yes</v>
      </c>
      <c r="AS134" s="72" t="str">
        <f t="shared" si="124"/>
        <v>No</v>
      </c>
      <c r="AT134" s="72" t="str">
        <f t="shared" si="125"/>
        <v>No</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f t="shared" si="126"/>
        <v>0</v>
      </c>
      <c r="CO134" s="78">
        <f t="shared" si="127"/>
        <v>0</v>
      </c>
      <c r="CP134" s="78">
        <f t="shared" si="128"/>
        <v>0</v>
      </c>
      <c r="CQ134" s="78">
        <f t="shared" si="129"/>
        <v>0</v>
      </c>
      <c r="CR134" s="78">
        <f t="shared" si="130"/>
        <v>0</v>
      </c>
      <c r="CS134" s="78">
        <f t="shared" si="131"/>
        <v>0</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1</v>
      </c>
      <c r="DC134" s="78">
        <f t="shared" si="140"/>
        <v>0</v>
      </c>
      <c r="DD134" s="78">
        <f t="shared" si="141"/>
        <v>0</v>
      </c>
      <c r="DE134" s="78">
        <f t="shared" si="142"/>
        <v>1</v>
      </c>
      <c r="DF134" s="78">
        <f t="shared" si="143"/>
        <v>1</v>
      </c>
      <c r="DG134" s="78">
        <f t="shared" si="144"/>
        <v>1</v>
      </c>
      <c r="DH134" s="78" t="str">
        <f t="shared" si="145"/>
        <v>1</v>
      </c>
      <c r="DI134" s="79">
        <f>IFERROR(IF(J134="","",VLOOKUP(J134,Lists!$D$3:$E$13,2,FALSE)),1)</f>
        <v>0</v>
      </c>
      <c r="DJ134" s="79">
        <f>IFERROR(IF(K134="","",VLOOKUP(K134,Lists!$F$3:$G$14,2,FALSE)),1)</f>
        <v>0</v>
      </c>
      <c r="DK134" s="79" t="str">
        <f>IFERROR(IF(M134="","",VLOOKUP(M134,Lists!$AA$3:$AB$18,2,FALSE)),1)</f>
        <v/>
      </c>
      <c r="DL134" s="79" t="str">
        <f>IFERROR(IF(N134="","",VLOOKUP(N134,Lists!$AC$3:$AD$13,2,FALSE)),1)</f>
        <v/>
      </c>
    </row>
    <row r="135" spans="1:116" ht="15" customHeight="1" x14ac:dyDescent="0.2">
      <c r="A135" s="20">
        <v>391806</v>
      </c>
      <c r="B135" s="19">
        <v>45673</v>
      </c>
      <c r="C135" s="64">
        <v>0.64583333333333337</v>
      </c>
      <c r="D135" s="64" t="s">
        <v>1112</v>
      </c>
      <c r="E135" s="19">
        <v>45673</v>
      </c>
      <c r="F135" s="20">
        <v>13</v>
      </c>
      <c r="G135" s="18" t="s">
        <v>1108</v>
      </c>
      <c r="H135" s="65"/>
      <c r="I135" s="18" t="s">
        <v>1121</v>
      </c>
      <c r="J135" s="66" t="s">
        <v>27</v>
      </c>
      <c r="K135" s="66" t="s">
        <v>420</v>
      </c>
      <c r="L135" s="67" t="s">
        <v>1124</v>
      </c>
      <c r="M135" s="68"/>
      <c r="N135" s="68"/>
      <c r="O135" s="69"/>
      <c r="P135" s="134">
        <v>0.65347222222222223</v>
      </c>
      <c r="Q135" s="70"/>
      <c r="R135" s="134">
        <v>0.65972222222222221</v>
      </c>
      <c r="S135" s="70"/>
      <c r="T135" s="134">
        <v>0.67708333333333337</v>
      </c>
      <c r="U135" s="70"/>
      <c r="V135" s="134">
        <v>0.68333333333333324</v>
      </c>
      <c r="W135" s="70"/>
      <c r="X135" s="134">
        <v>0.68402777777777779</v>
      </c>
      <c r="Y135" s="70"/>
      <c r="Z135" s="134">
        <v>0.69097222222222221</v>
      </c>
      <c r="AA135" s="70" t="s">
        <v>1121</v>
      </c>
      <c r="AB135" s="19">
        <v>45673</v>
      </c>
      <c r="AC135" s="20" t="s">
        <v>1108</v>
      </c>
      <c r="AD135" s="19"/>
      <c r="AE135" s="71">
        <f t="shared" si="110"/>
        <v>941</v>
      </c>
      <c r="AF135" s="71">
        <f t="shared" si="111"/>
        <v>984</v>
      </c>
      <c r="AG135" s="71">
        <f t="shared" si="112"/>
        <v>43</v>
      </c>
      <c r="AH135" s="71" t="str">
        <f t="shared" si="113"/>
        <v/>
      </c>
      <c r="AI135" s="71" t="str">
        <f t="shared" si="114"/>
        <v/>
      </c>
      <c r="AJ135" s="71">
        <f t="shared" si="115"/>
        <v>19</v>
      </c>
      <c r="AK135" s="71" t="str">
        <f t="shared" si="116"/>
        <v/>
      </c>
      <c r="AL135" s="71">
        <f t="shared" si="117"/>
        <v>19</v>
      </c>
      <c r="AM135" s="71">
        <f t="shared" si="118"/>
        <v>24</v>
      </c>
      <c r="AN135" s="72">
        <f t="shared" si="119"/>
        <v>1.388888888888884E-2</v>
      </c>
      <c r="AO135" s="73">
        <f t="shared" si="120"/>
        <v>0</v>
      </c>
      <c r="AP135" s="72" t="str">
        <f t="shared" si="121"/>
        <v>No</v>
      </c>
      <c r="AQ135" s="72">
        <f t="shared" si="122"/>
        <v>6.9444444444444198E-3</v>
      </c>
      <c r="AR135" s="72" t="str">
        <f t="shared" si="123"/>
        <v>Yes</v>
      </c>
      <c r="AS135" s="72" t="str">
        <f t="shared" si="124"/>
        <v>No</v>
      </c>
      <c r="AT135" s="72" t="str">
        <f t="shared" si="125"/>
        <v>No</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f t="shared" si="126"/>
        <v>0</v>
      </c>
      <c r="CO135" s="78">
        <f t="shared" si="127"/>
        <v>0</v>
      </c>
      <c r="CP135" s="78">
        <f t="shared" si="128"/>
        <v>0</v>
      </c>
      <c r="CQ135" s="78">
        <f t="shared" si="129"/>
        <v>0</v>
      </c>
      <c r="CR135" s="78">
        <f t="shared" si="130"/>
        <v>0</v>
      </c>
      <c r="CS135" s="78">
        <f t="shared" si="131"/>
        <v>0</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0</v>
      </c>
      <c r="DC135" s="78">
        <f t="shared" si="140"/>
        <v>0</v>
      </c>
      <c r="DD135" s="78">
        <f t="shared" si="141"/>
        <v>0</v>
      </c>
      <c r="DE135" s="78">
        <f t="shared" si="142"/>
        <v>1</v>
      </c>
      <c r="DF135" s="78">
        <f t="shared" si="143"/>
        <v>1</v>
      </c>
      <c r="DG135" s="78">
        <f t="shared" si="144"/>
        <v>1</v>
      </c>
      <c r="DH135" s="78" t="str">
        <f t="shared" si="145"/>
        <v>1</v>
      </c>
      <c r="DI135" s="79">
        <f>IFERROR(IF(J135="","",VLOOKUP(J135,Lists!$D$3:$E$13,2,FALSE)),1)</f>
        <v>0</v>
      </c>
      <c r="DJ135" s="79">
        <f>IFERROR(IF(K135="","",VLOOKUP(K135,Lists!$F$3:$G$14,2,FALSE)),1)</f>
        <v>0</v>
      </c>
      <c r="DK135" s="79" t="str">
        <f>IFERROR(IF(M135="","",VLOOKUP(M135,Lists!$AA$3:$AB$18,2,FALSE)),1)</f>
        <v/>
      </c>
      <c r="DL135" s="79" t="str">
        <f>IFERROR(IF(N135="","",VLOOKUP(N135,Lists!$AC$3:$AD$13,2,FALSE)),1)</f>
        <v/>
      </c>
    </row>
    <row r="136" spans="1:116" ht="15" customHeight="1" x14ac:dyDescent="0.2">
      <c r="A136" s="20"/>
      <c r="B136" s="19"/>
      <c r="C136" s="64"/>
      <c r="D136" s="64"/>
      <c r="E136" s="19"/>
      <c r="F136" s="20"/>
      <c r="G136" s="18"/>
      <c r="H136" s="65"/>
      <c r="I136" s="18"/>
      <c r="J136" s="66"/>
      <c r="K136" s="66"/>
      <c r="L136" s="67"/>
      <c r="M136" s="68"/>
      <c r="N136" s="68"/>
      <c r="O136" s="69"/>
      <c r="P136" s="134"/>
      <c r="Q136" s="70"/>
      <c r="R136" s="134"/>
      <c r="S136" s="70"/>
      <c r="T136" s="134"/>
      <c r="U136" s="70"/>
      <c r="V136" s="134"/>
      <c r="W136" s="70"/>
      <c r="X136" s="134"/>
      <c r="Y136" s="70"/>
      <c r="Z136" s="134"/>
      <c r="AA136" s="70"/>
      <c r="AB136" s="19"/>
      <c r="AC136" s="20"/>
      <c r="AD136" s="19"/>
      <c r="AE136" s="71" t="str">
        <f t="shared" si="110"/>
        <v/>
      </c>
      <c r="AF136" s="71" t="str">
        <f t="shared" si="111"/>
        <v/>
      </c>
      <c r="AG136" s="71" t="str">
        <f t="shared" si="112"/>
        <v/>
      </c>
      <c r="AH136" s="71" t="str">
        <f t="shared" si="113"/>
        <v/>
      </c>
      <c r="AI136" s="71" t="str">
        <f t="shared" si="114"/>
        <v/>
      </c>
      <c r="AJ136" s="71" t="str">
        <f t="shared" si="115"/>
        <v/>
      </c>
      <c r="AK136" s="71" t="str">
        <f t="shared" si="116"/>
        <v/>
      </c>
      <c r="AL136" s="71" t="str">
        <f t="shared" si="117"/>
        <v/>
      </c>
      <c r="AM136" s="71" t="str">
        <f t="shared" si="118"/>
        <v/>
      </c>
      <c r="AN136" s="72" t="str">
        <f t="shared" si="119"/>
        <v/>
      </c>
      <c r="AO136" s="73" t="str">
        <f t="shared" si="120"/>
        <v/>
      </c>
      <c r="AP136" s="72" t="str">
        <f t="shared" si="121"/>
        <v/>
      </c>
      <c r="AQ136" s="72" t="str">
        <f t="shared" si="122"/>
        <v/>
      </c>
      <c r="AR136" s="72" t="str">
        <f t="shared" si="123"/>
        <v/>
      </c>
      <c r="AS136" s="72" t="str">
        <f t="shared" si="124"/>
        <v/>
      </c>
      <c r="AT136" s="72" t="str">
        <f t="shared" si="125"/>
        <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t="str">
        <f t="shared" si="126"/>
        <v/>
      </c>
      <c r="CO136" s="78" t="str">
        <f t="shared" si="127"/>
        <v/>
      </c>
      <c r="CP136" s="78" t="str">
        <f t="shared" si="128"/>
        <v/>
      </c>
      <c r="CQ136" s="78" t="str">
        <f t="shared" si="129"/>
        <v/>
      </c>
      <c r="CR136" s="78" t="str">
        <f t="shared" si="130"/>
        <v/>
      </c>
      <c r="CS136" s="78" t="str">
        <f t="shared" si="131"/>
        <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t="str">
        <f t="shared" si="142"/>
        <v>1</v>
      </c>
      <c r="DF136" s="78" t="str">
        <f t="shared" si="143"/>
        <v>1</v>
      </c>
      <c r="DG136" s="78" t="str">
        <f t="shared" si="144"/>
        <v>1</v>
      </c>
      <c r="DH136" s="78" t="str">
        <f t="shared" si="145"/>
        <v>1</v>
      </c>
      <c r="DI136" s="79" t="str">
        <f>IFERROR(IF(J136="","",VLOOKUP(J136,Lists!$D$3:$E$13,2,FALSE)),1)</f>
        <v/>
      </c>
      <c r="DJ136" s="79" t="str">
        <f>IFERROR(IF(K136="","",VLOOKUP(K136,Lists!$F$3:$G$14,2,FALSE)),1)</f>
        <v/>
      </c>
      <c r="DK136" s="79" t="str">
        <f>IFERROR(IF(M136="","",VLOOKUP(M136,Lists!$AA$3:$AB$18,2,FALSE)),1)</f>
        <v/>
      </c>
      <c r="DL136" s="79" t="str">
        <f>IFERROR(IF(N136="","",VLOOKUP(N136,Lists!$AC$3:$AD$13,2,FALSE)),1)</f>
        <v/>
      </c>
    </row>
    <row r="137" spans="1:116" ht="15" customHeight="1" x14ac:dyDescent="0.2">
      <c r="A137" s="20"/>
      <c r="B137" s="19"/>
      <c r="C137" s="64"/>
      <c r="D137" s="64"/>
      <c r="E137" s="19"/>
      <c r="F137" s="20"/>
      <c r="G137" s="18"/>
      <c r="H137" s="65"/>
      <c r="I137" s="18"/>
      <c r="J137" s="66"/>
      <c r="K137" s="66"/>
      <c r="L137" s="67"/>
      <c r="M137" s="68"/>
      <c r="N137" s="68"/>
      <c r="O137" s="69"/>
      <c r="P137" s="134"/>
      <c r="Q137" s="70"/>
      <c r="R137" s="134"/>
      <c r="S137" s="70"/>
      <c r="T137" s="134"/>
      <c r="U137" s="70"/>
      <c r="V137" s="134"/>
      <c r="W137" s="70"/>
      <c r="X137" s="134"/>
      <c r="Y137" s="70"/>
      <c r="Z137" s="134"/>
      <c r="AA137" s="70"/>
      <c r="AB137" s="19"/>
      <c r="AC137" s="20"/>
      <c r="AD137" s="19"/>
      <c r="AE137" s="71" t="str">
        <f t="shared" si="110"/>
        <v/>
      </c>
      <c r="AF137" s="71" t="str">
        <f t="shared" si="111"/>
        <v/>
      </c>
      <c r="AG137" s="71" t="str">
        <f t="shared" si="112"/>
        <v/>
      </c>
      <c r="AH137" s="71" t="str">
        <f t="shared" si="113"/>
        <v/>
      </c>
      <c r="AI137" s="71" t="str">
        <f t="shared" si="114"/>
        <v/>
      </c>
      <c r="AJ137" s="71" t="str">
        <f t="shared" si="115"/>
        <v/>
      </c>
      <c r="AK137" s="71" t="str">
        <f t="shared" si="116"/>
        <v/>
      </c>
      <c r="AL137" s="71" t="str">
        <f t="shared" si="117"/>
        <v/>
      </c>
      <c r="AM137" s="71" t="str">
        <f t="shared" si="118"/>
        <v/>
      </c>
      <c r="AN137" s="72" t="str">
        <f t="shared" si="119"/>
        <v/>
      </c>
      <c r="AO137" s="73" t="str">
        <f t="shared" si="120"/>
        <v/>
      </c>
      <c r="AP137" s="72" t="str">
        <f t="shared" si="121"/>
        <v/>
      </c>
      <c r="AQ137" s="72" t="str">
        <f t="shared" si="122"/>
        <v/>
      </c>
      <c r="AR137" s="72" t="str">
        <f t="shared" si="123"/>
        <v/>
      </c>
      <c r="AS137" s="72" t="str">
        <f t="shared" si="124"/>
        <v/>
      </c>
      <c r="AT137" s="72" t="str">
        <f t="shared" si="125"/>
        <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t="str">
        <f t="shared" si="126"/>
        <v/>
      </c>
      <c r="CO137" s="78" t="str">
        <f t="shared" si="127"/>
        <v/>
      </c>
      <c r="CP137" s="78" t="str">
        <f t="shared" si="128"/>
        <v/>
      </c>
      <c r="CQ137" s="78" t="str">
        <f t="shared" si="129"/>
        <v/>
      </c>
      <c r="CR137" s="78" t="str">
        <f t="shared" si="130"/>
        <v/>
      </c>
      <c r="CS137" s="78" t="str">
        <f t="shared" si="131"/>
        <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0</v>
      </c>
      <c r="DC137" s="78">
        <f t="shared" si="140"/>
        <v>0</v>
      </c>
      <c r="DD137" s="78">
        <f t="shared" si="141"/>
        <v>0</v>
      </c>
      <c r="DE137" s="78" t="str">
        <f t="shared" si="142"/>
        <v>1</v>
      </c>
      <c r="DF137" s="78" t="str">
        <f t="shared" si="143"/>
        <v>1</v>
      </c>
      <c r="DG137" s="78" t="str">
        <f t="shared" si="144"/>
        <v>1</v>
      </c>
      <c r="DH137" s="78" t="str">
        <f t="shared" si="145"/>
        <v>1</v>
      </c>
      <c r="DI137" s="79" t="str">
        <f>IFERROR(IF(J137="","",VLOOKUP(J137,Lists!$D$3:$E$13,2,FALSE)),1)</f>
        <v/>
      </c>
      <c r="DJ137" s="79" t="str">
        <f>IFERROR(IF(K137="","",VLOOKUP(K137,Lists!$F$3:$G$14,2,FALSE)),1)</f>
        <v/>
      </c>
      <c r="DK137" s="79" t="str">
        <f>IFERROR(IF(M137="","",VLOOKUP(M137,Lists!$AA$3:$AB$18,2,FALSE)),1)</f>
        <v/>
      </c>
      <c r="DL137" s="79" t="str">
        <f>IFERROR(IF(N137="","",VLOOKUP(N137,Lists!$AC$3:$AD$13,2,FALSE)),1)</f>
        <v/>
      </c>
    </row>
    <row r="138" spans="1:116" ht="15" customHeight="1" x14ac:dyDescent="0.2">
      <c r="A138" s="20"/>
      <c r="B138" s="19"/>
      <c r="C138" s="64"/>
      <c r="D138" s="64"/>
      <c r="E138" s="19"/>
      <c r="F138" s="20"/>
      <c r="G138" s="18"/>
      <c r="H138" s="65"/>
      <c r="I138" s="18"/>
      <c r="J138" s="66"/>
      <c r="K138" s="66"/>
      <c r="L138" s="67"/>
      <c r="M138" s="68"/>
      <c r="N138" s="68"/>
      <c r="O138" s="69"/>
      <c r="P138" s="134"/>
      <c r="Q138" s="70"/>
      <c r="R138" s="134"/>
      <c r="S138" s="70"/>
      <c r="T138" s="134"/>
      <c r="U138" s="70"/>
      <c r="V138" s="134"/>
      <c r="W138" s="70"/>
      <c r="X138" s="134"/>
      <c r="Y138" s="70"/>
      <c r="Z138" s="134"/>
      <c r="AA138" s="70"/>
      <c r="AB138" s="19"/>
      <c r="AC138" s="20"/>
      <c r="AD138" s="19"/>
      <c r="AE138" s="71" t="str">
        <f t="shared" si="110"/>
        <v/>
      </c>
      <c r="AF138" s="71" t="str">
        <f t="shared" si="111"/>
        <v/>
      </c>
      <c r="AG138" s="71" t="str">
        <f t="shared" si="112"/>
        <v/>
      </c>
      <c r="AH138" s="71" t="str">
        <f t="shared" si="113"/>
        <v/>
      </c>
      <c r="AI138" s="71" t="str">
        <f t="shared" si="114"/>
        <v/>
      </c>
      <c r="AJ138" s="71" t="str">
        <f t="shared" si="115"/>
        <v/>
      </c>
      <c r="AK138" s="71" t="str">
        <f t="shared" si="116"/>
        <v/>
      </c>
      <c r="AL138" s="71" t="str">
        <f t="shared" si="117"/>
        <v/>
      </c>
      <c r="AM138" s="71" t="str">
        <f t="shared" si="118"/>
        <v/>
      </c>
      <c r="AN138" s="72" t="str">
        <f t="shared" si="119"/>
        <v/>
      </c>
      <c r="AO138" s="73" t="str">
        <f t="shared" si="120"/>
        <v/>
      </c>
      <c r="AP138" s="72" t="str">
        <f t="shared" si="121"/>
        <v/>
      </c>
      <c r="AQ138" s="72" t="str">
        <f t="shared" si="122"/>
        <v/>
      </c>
      <c r="AR138" s="72" t="str">
        <f t="shared" si="123"/>
        <v/>
      </c>
      <c r="AS138" s="72" t="str">
        <f t="shared" si="124"/>
        <v/>
      </c>
      <c r="AT138" s="72" t="str">
        <f t="shared" si="125"/>
        <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t="str">
        <f t="shared" si="126"/>
        <v/>
      </c>
      <c r="CO138" s="78" t="str">
        <f t="shared" si="127"/>
        <v/>
      </c>
      <c r="CP138" s="78" t="str">
        <f t="shared" si="128"/>
        <v/>
      </c>
      <c r="CQ138" s="78" t="str">
        <f t="shared" si="129"/>
        <v/>
      </c>
      <c r="CR138" s="78" t="str">
        <f t="shared" si="130"/>
        <v/>
      </c>
      <c r="CS138" s="78" t="str">
        <f t="shared" si="131"/>
        <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0</v>
      </c>
      <c r="DC138" s="78">
        <f t="shared" si="140"/>
        <v>0</v>
      </c>
      <c r="DD138" s="78">
        <f t="shared" si="141"/>
        <v>0</v>
      </c>
      <c r="DE138" s="78" t="str">
        <f t="shared" si="142"/>
        <v>1</v>
      </c>
      <c r="DF138" s="78" t="str">
        <f t="shared" si="143"/>
        <v>1</v>
      </c>
      <c r="DG138" s="78" t="str">
        <f t="shared" si="144"/>
        <v>1</v>
      </c>
      <c r="DH138" s="78" t="str">
        <f t="shared" si="145"/>
        <v>1</v>
      </c>
      <c r="DI138" s="79" t="str">
        <f>IFERROR(IF(J138="","",VLOOKUP(J138,Lists!$D$3:$E$13,2,FALSE)),1)</f>
        <v/>
      </c>
      <c r="DJ138" s="79" t="str">
        <f>IFERROR(IF(K138="","",VLOOKUP(K138,Lists!$F$3:$G$14,2,FALSE)),1)</f>
        <v/>
      </c>
      <c r="DK138" s="79" t="str">
        <f>IFERROR(IF(M138="","",VLOOKUP(M138,Lists!$AA$3:$AB$18,2,FALSE)),1)</f>
        <v/>
      </c>
      <c r="DL138" s="79" t="str">
        <f>IFERROR(IF(N138="","",VLOOKUP(N138,Lists!$AC$3:$AD$13,2,FALSE)),1)</f>
        <v/>
      </c>
    </row>
    <row r="139" spans="1:116" ht="15" customHeight="1" x14ac:dyDescent="0.2">
      <c r="A139" s="20"/>
      <c r="B139" s="19"/>
      <c r="C139" s="64"/>
      <c r="D139" s="64"/>
      <c r="E139" s="19"/>
      <c r="F139" s="20"/>
      <c r="G139" s="18"/>
      <c r="H139" s="65"/>
      <c r="I139" s="18"/>
      <c r="J139" s="66"/>
      <c r="K139" s="66"/>
      <c r="L139" s="67"/>
      <c r="M139" s="68"/>
      <c r="N139" s="68"/>
      <c r="O139" s="69"/>
      <c r="P139" s="134"/>
      <c r="Q139" s="70"/>
      <c r="R139" s="134"/>
      <c r="S139" s="70"/>
      <c r="T139" s="134"/>
      <c r="U139" s="70"/>
      <c r="V139" s="134"/>
      <c r="W139" s="70"/>
      <c r="X139" s="134"/>
      <c r="Y139" s="70"/>
      <c r="Z139" s="134"/>
      <c r="AA139" s="70"/>
      <c r="AB139" s="19"/>
      <c r="AC139" s="20"/>
      <c r="AD139" s="19"/>
      <c r="AE139" s="71" t="str">
        <f t="shared" si="110"/>
        <v/>
      </c>
      <c r="AF139" s="71" t="str">
        <f t="shared" si="111"/>
        <v/>
      </c>
      <c r="AG139" s="71" t="str">
        <f t="shared" si="112"/>
        <v/>
      </c>
      <c r="AH139" s="71" t="str">
        <f t="shared" si="113"/>
        <v/>
      </c>
      <c r="AI139" s="71" t="str">
        <f t="shared" si="114"/>
        <v/>
      </c>
      <c r="AJ139" s="71" t="str">
        <f t="shared" si="115"/>
        <v/>
      </c>
      <c r="AK139" s="71" t="str">
        <f t="shared" si="116"/>
        <v/>
      </c>
      <c r="AL139" s="71" t="str">
        <f t="shared" si="117"/>
        <v/>
      </c>
      <c r="AM139" s="71" t="str">
        <f t="shared" si="118"/>
        <v/>
      </c>
      <c r="AN139" s="72" t="str">
        <f t="shared" si="119"/>
        <v/>
      </c>
      <c r="AO139" s="73" t="str">
        <f t="shared" si="120"/>
        <v/>
      </c>
      <c r="AP139" s="72" t="str">
        <f t="shared" si="121"/>
        <v/>
      </c>
      <c r="AQ139" s="72" t="str">
        <f t="shared" si="122"/>
        <v/>
      </c>
      <c r="AR139" s="72" t="str">
        <f t="shared" si="123"/>
        <v/>
      </c>
      <c r="AS139" s="72" t="str">
        <f t="shared" si="124"/>
        <v/>
      </c>
      <c r="AT139" s="72" t="str">
        <f t="shared" si="125"/>
        <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t="str">
        <f t="shared" si="126"/>
        <v/>
      </c>
      <c r="CO139" s="78" t="str">
        <f t="shared" si="127"/>
        <v/>
      </c>
      <c r="CP139" s="78" t="str">
        <f t="shared" si="128"/>
        <v/>
      </c>
      <c r="CQ139" s="78" t="str">
        <f t="shared" si="129"/>
        <v/>
      </c>
      <c r="CR139" s="78" t="str">
        <f t="shared" si="130"/>
        <v/>
      </c>
      <c r="CS139" s="78" t="str">
        <f t="shared" si="131"/>
        <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0</v>
      </c>
      <c r="DC139" s="78">
        <f t="shared" si="140"/>
        <v>0</v>
      </c>
      <c r="DD139" s="78">
        <f t="shared" si="141"/>
        <v>0</v>
      </c>
      <c r="DE139" s="78" t="str">
        <f t="shared" si="142"/>
        <v>1</v>
      </c>
      <c r="DF139" s="78" t="str">
        <f t="shared" si="143"/>
        <v>1</v>
      </c>
      <c r="DG139" s="78" t="str">
        <f t="shared" si="144"/>
        <v>1</v>
      </c>
      <c r="DH139" s="78" t="str">
        <f t="shared" si="145"/>
        <v>1</v>
      </c>
      <c r="DI139" s="79" t="str">
        <f>IFERROR(IF(J139="","",VLOOKUP(J139,Lists!$D$3:$E$13,2,FALSE)),1)</f>
        <v/>
      </c>
      <c r="DJ139" s="79" t="str">
        <f>IFERROR(IF(K139="","",VLOOKUP(K139,Lists!$F$3:$G$14,2,FALSE)),1)</f>
        <v/>
      </c>
      <c r="DK139" s="79" t="str">
        <f>IFERROR(IF(M139="","",VLOOKUP(M139,Lists!$AA$3:$AB$18,2,FALSE)),1)</f>
        <v/>
      </c>
      <c r="DL139" s="79" t="str">
        <f>IFERROR(IF(N139="","",VLOOKUP(N139,Lists!$AC$3:$AD$13,2,FALSE)),1)</f>
        <v/>
      </c>
    </row>
    <row r="140" spans="1:116" ht="15" customHeight="1" x14ac:dyDescent="0.2">
      <c r="A140" s="20"/>
      <c r="B140" s="19"/>
      <c r="C140" s="64"/>
      <c r="D140" s="64"/>
      <c r="E140" s="19"/>
      <c r="F140" s="20"/>
      <c r="G140" s="18"/>
      <c r="H140" s="65"/>
      <c r="I140" s="18"/>
      <c r="J140" s="66"/>
      <c r="K140" s="66"/>
      <c r="L140" s="67"/>
      <c r="M140" s="68"/>
      <c r="N140" s="68"/>
      <c r="O140" s="69"/>
      <c r="P140" s="134"/>
      <c r="Q140" s="70"/>
      <c r="R140" s="134"/>
      <c r="S140" s="70"/>
      <c r="T140" s="134"/>
      <c r="U140" s="70"/>
      <c r="V140" s="134"/>
      <c r="W140" s="70"/>
      <c r="X140" s="134"/>
      <c r="Y140" s="70"/>
      <c r="Z140" s="134"/>
      <c r="AA140" s="70"/>
      <c r="AB140" s="19"/>
      <c r="AC140" s="20"/>
      <c r="AD140" s="19"/>
      <c r="AE140" s="71" t="str">
        <f t="shared" si="110"/>
        <v/>
      </c>
      <c r="AF140" s="71" t="str">
        <f t="shared" si="111"/>
        <v/>
      </c>
      <c r="AG140" s="71" t="str">
        <f t="shared" si="112"/>
        <v/>
      </c>
      <c r="AH140" s="71" t="str">
        <f t="shared" si="113"/>
        <v/>
      </c>
      <c r="AI140" s="71" t="str">
        <f t="shared" si="114"/>
        <v/>
      </c>
      <c r="AJ140" s="71" t="str">
        <f t="shared" si="115"/>
        <v/>
      </c>
      <c r="AK140" s="71" t="str">
        <f t="shared" si="116"/>
        <v/>
      </c>
      <c r="AL140" s="71" t="str">
        <f t="shared" si="117"/>
        <v/>
      </c>
      <c r="AM140" s="71" t="str">
        <f t="shared" si="118"/>
        <v/>
      </c>
      <c r="AN140" s="72" t="str">
        <f t="shared" si="119"/>
        <v/>
      </c>
      <c r="AO140" s="73" t="str">
        <f t="shared" si="120"/>
        <v/>
      </c>
      <c r="AP140" s="72" t="str">
        <f t="shared" si="121"/>
        <v/>
      </c>
      <c r="AQ140" s="72" t="str">
        <f t="shared" si="122"/>
        <v/>
      </c>
      <c r="AR140" s="72" t="str">
        <f t="shared" si="123"/>
        <v/>
      </c>
      <c r="AS140" s="72" t="str">
        <f t="shared" si="124"/>
        <v/>
      </c>
      <c r="AT140" s="72" t="str">
        <f t="shared" si="125"/>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t="str">
        <f t="shared" si="126"/>
        <v/>
      </c>
      <c r="CO140" s="78" t="str">
        <f t="shared" si="127"/>
        <v/>
      </c>
      <c r="CP140" s="78" t="str">
        <f t="shared" si="128"/>
        <v/>
      </c>
      <c r="CQ140" s="78" t="str">
        <f t="shared" si="129"/>
        <v/>
      </c>
      <c r="CR140" s="78" t="str">
        <f t="shared" si="130"/>
        <v/>
      </c>
      <c r="CS140" s="78" t="str">
        <f t="shared" si="131"/>
        <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t="str">
        <f t="shared" si="142"/>
        <v>1</v>
      </c>
      <c r="DF140" s="78" t="str">
        <f t="shared" si="143"/>
        <v>1</v>
      </c>
      <c r="DG140" s="78" t="str">
        <f t="shared" si="144"/>
        <v>1</v>
      </c>
      <c r="DH140" s="78" t="str">
        <f t="shared" si="145"/>
        <v>1</v>
      </c>
      <c r="DI140" s="79" t="str">
        <f>IFERROR(IF(J140="","",VLOOKUP(J140,Lists!$D$3:$E$13,2,FALSE)),1)</f>
        <v/>
      </c>
      <c r="DJ140" s="79" t="str">
        <f>IFERROR(IF(K140="","",VLOOKUP(K140,Lists!$F$3:$G$14,2,FALSE)),1)</f>
        <v/>
      </c>
      <c r="DK140" s="79" t="str">
        <f>IFERROR(IF(M140="","",VLOOKUP(M140,Lists!$AA$3:$AB$18,2,FALSE)),1)</f>
        <v/>
      </c>
      <c r="DL140" s="79" t="str">
        <f>IFERROR(IF(N140="","",VLOOKUP(N140,Lists!$AC$3:$AD$13,2,FALSE)),1)</f>
        <v/>
      </c>
    </row>
    <row r="141" spans="1:116" ht="15" customHeight="1" x14ac:dyDescent="0.2">
      <c r="A141" s="20"/>
      <c r="B141" s="19"/>
      <c r="C141" s="64"/>
      <c r="D141" s="64"/>
      <c r="E141" s="19"/>
      <c r="F141" s="20"/>
      <c r="G141" s="18"/>
      <c r="H141" s="65"/>
      <c r="I141" s="18"/>
      <c r="J141" s="66"/>
      <c r="K141" s="66"/>
      <c r="L141" s="67"/>
      <c r="M141" s="68"/>
      <c r="N141" s="68"/>
      <c r="O141" s="69"/>
      <c r="P141" s="134"/>
      <c r="Q141" s="70"/>
      <c r="R141" s="134"/>
      <c r="S141" s="70"/>
      <c r="T141" s="134"/>
      <c r="U141" s="70"/>
      <c r="V141" s="134"/>
      <c r="W141" s="70"/>
      <c r="X141" s="134"/>
      <c r="Y141" s="70"/>
      <c r="Z141" s="134"/>
      <c r="AA141" s="70"/>
      <c r="AB141" s="19"/>
      <c r="AC141" s="20"/>
      <c r="AD141" s="19"/>
      <c r="AE141" s="71" t="str">
        <f t="shared" si="110"/>
        <v/>
      </c>
      <c r="AF141" s="71" t="str">
        <f t="shared" si="111"/>
        <v/>
      </c>
      <c r="AG141" s="71" t="str">
        <f t="shared" si="112"/>
        <v/>
      </c>
      <c r="AH141" s="71" t="str">
        <f t="shared" si="113"/>
        <v/>
      </c>
      <c r="AI141" s="71" t="str">
        <f t="shared" si="114"/>
        <v/>
      </c>
      <c r="AJ141" s="71" t="str">
        <f t="shared" si="115"/>
        <v/>
      </c>
      <c r="AK141" s="71" t="str">
        <f t="shared" si="116"/>
        <v/>
      </c>
      <c r="AL141" s="71" t="str">
        <f t="shared" si="117"/>
        <v/>
      </c>
      <c r="AM141" s="71" t="str">
        <f t="shared" si="118"/>
        <v/>
      </c>
      <c r="AN141" s="72" t="str">
        <f t="shared" si="119"/>
        <v/>
      </c>
      <c r="AO141" s="73" t="str">
        <f t="shared" si="120"/>
        <v/>
      </c>
      <c r="AP141" s="72" t="str">
        <f t="shared" si="121"/>
        <v/>
      </c>
      <c r="AQ141" s="72" t="str">
        <f t="shared" si="122"/>
        <v/>
      </c>
      <c r="AR141" s="72" t="str">
        <f t="shared" si="123"/>
        <v/>
      </c>
      <c r="AS141" s="72" t="str">
        <f t="shared" si="124"/>
        <v/>
      </c>
      <c r="AT141" s="72" t="str">
        <f t="shared" si="125"/>
        <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t="str">
        <f t="shared" si="126"/>
        <v/>
      </c>
      <c r="CO141" s="78" t="str">
        <f t="shared" si="127"/>
        <v/>
      </c>
      <c r="CP141" s="78" t="str">
        <f t="shared" si="128"/>
        <v/>
      </c>
      <c r="CQ141" s="78" t="str">
        <f t="shared" si="129"/>
        <v/>
      </c>
      <c r="CR141" s="78" t="str">
        <f t="shared" si="130"/>
        <v/>
      </c>
      <c r="CS141" s="78" t="str">
        <f t="shared" si="131"/>
        <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0</v>
      </c>
      <c r="DB141" s="78">
        <f t="shared" si="139"/>
        <v>0</v>
      </c>
      <c r="DC141" s="78">
        <f t="shared" si="140"/>
        <v>0</v>
      </c>
      <c r="DD141" s="78">
        <f t="shared" si="141"/>
        <v>0</v>
      </c>
      <c r="DE141" s="78" t="str">
        <f t="shared" si="142"/>
        <v>1</v>
      </c>
      <c r="DF141" s="78" t="str">
        <f t="shared" si="143"/>
        <v>1</v>
      </c>
      <c r="DG141" s="78" t="str">
        <f t="shared" si="144"/>
        <v>1</v>
      </c>
      <c r="DH141" s="78" t="str">
        <f t="shared" si="145"/>
        <v>1</v>
      </c>
      <c r="DI141" s="79" t="str">
        <f>IFERROR(IF(J141="","",VLOOKUP(J141,Lists!$D$3:$E$13,2,FALSE)),1)</f>
        <v/>
      </c>
      <c r="DJ141" s="79" t="str">
        <f>IFERROR(IF(K141="","",VLOOKUP(K141,Lists!$F$3:$G$14,2,FALSE)),1)</f>
        <v/>
      </c>
      <c r="DK141" s="79" t="str">
        <f>IFERROR(IF(M141="","",VLOOKUP(M141,Lists!$AA$3:$AB$18,2,FALSE)),1)</f>
        <v/>
      </c>
      <c r="DL141" s="79" t="str">
        <f>IFERROR(IF(N141="","",VLOOKUP(N141,Lists!$AC$3:$AD$13,2,FALSE)),1)</f>
        <v/>
      </c>
    </row>
    <row r="142" spans="1:116" ht="15" customHeight="1" x14ac:dyDescent="0.2">
      <c r="A142" s="20"/>
      <c r="B142" s="19"/>
      <c r="C142" s="64"/>
      <c r="D142" s="64"/>
      <c r="E142" s="19"/>
      <c r="F142" s="20"/>
      <c r="G142" s="18"/>
      <c r="H142" s="65"/>
      <c r="I142" s="18"/>
      <c r="J142" s="66"/>
      <c r="K142" s="66"/>
      <c r="L142" s="67"/>
      <c r="M142" s="68"/>
      <c r="N142" s="68"/>
      <c r="O142" s="69"/>
      <c r="P142" s="134"/>
      <c r="Q142" s="70"/>
      <c r="R142" s="134"/>
      <c r="S142" s="70"/>
      <c r="T142" s="134"/>
      <c r="U142" s="70"/>
      <c r="V142" s="134"/>
      <c r="W142" s="70"/>
      <c r="X142" s="134"/>
      <c r="Y142" s="70"/>
      <c r="Z142" s="134"/>
      <c r="AA142" s="70"/>
      <c r="AB142" s="19"/>
      <c r="AC142" s="20"/>
      <c r="AD142" s="19"/>
      <c r="AE142" s="71" t="str">
        <f t="shared" si="110"/>
        <v/>
      </c>
      <c r="AF142" s="71" t="str">
        <f t="shared" si="111"/>
        <v/>
      </c>
      <c r="AG142" s="71" t="str">
        <f t="shared" si="112"/>
        <v/>
      </c>
      <c r="AH142" s="71" t="str">
        <f t="shared" si="113"/>
        <v/>
      </c>
      <c r="AI142" s="71" t="str">
        <f t="shared" si="114"/>
        <v/>
      </c>
      <c r="AJ142" s="71" t="str">
        <f t="shared" si="115"/>
        <v/>
      </c>
      <c r="AK142" s="71" t="str">
        <f t="shared" si="116"/>
        <v/>
      </c>
      <c r="AL142" s="71" t="str">
        <f t="shared" si="117"/>
        <v/>
      </c>
      <c r="AM142" s="71" t="str">
        <f t="shared" si="118"/>
        <v/>
      </c>
      <c r="AN142" s="72" t="str">
        <f t="shared" si="119"/>
        <v/>
      </c>
      <c r="AO142" s="73" t="str">
        <f t="shared" si="120"/>
        <v/>
      </c>
      <c r="AP142" s="72" t="str">
        <f t="shared" si="121"/>
        <v/>
      </c>
      <c r="AQ142" s="72" t="str">
        <f t="shared" si="122"/>
        <v/>
      </c>
      <c r="AR142" s="72" t="str">
        <f t="shared" si="123"/>
        <v/>
      </c>
      <c r="AS142" s="72" t="str">
        <f t="shared" si="124"/>
        <v/>
      </c>
      <c r="AT142" s="72" t="str">
        <f t="shared" si="125"/>
        <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t="str">
        <f t="shared" si="126"/>
        <v/>
      </c>
      <c r="CO142" s="78" t="str">
        <f t="shared" si="127"/>
        <v/>
      </c>
      <c r="CP142" s="78" t="str">
        <f t="shared" si="128"/>
        <v/>
      </c>
      <c r="CQ142" s="78" t="str">
        <f t="shared" si="129"/>
        <v/>
      </c>
      <c r="CR142" s="78" t="str">
        <f t="shared" si="130"/>
        <v/>
      </c>
      <c r="CS142" s="78" t="str">
        <f t="shared" si="131"/>
        <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0</v>
      </c>
      <c r="DB142" s="78">
        <f t="shared" si="139"/>
        <v>0</v>
      </c>
      <c r="DC142" s="78">
        <f t="shared" si="140"/>
        <v>0</v>
      </c>
      <c r="DD142" s="78">
        <f t="shared" si="141"/>
        <v>0</v>
      </c>
      <c r="DE142" s="78" t="str">
        <f t="shared" si="142"/>
        <v>1</v>
      </c>
      <c r="DF142" s="78" t="str">
        <f t="shared" si="143"/>
        <v>1</v>
      </c>
      <c r="DG142" s="78" t="str">
        <f t="shared" si="144"/>
        <v>1</v>
      </c>
      <c r="DH142" s="78" t="str">
        <f t="shared" si="145"/>
        <v>1</v>
      </c>
      <c r="DI142" s="79" t="str">
        <f>IFERROR(IF(J142="","",VLOOKUP(J142,Lists!$D$3:$E$13,2,FALSE)),1)</f>
        <v/>
      </c>
      <c r="DJ142" s="79" t="str">
        <f>IFERROR(IF(K142="","",VLOOKUP(K142,Lists!$F$3:$G$14,2,FALSE)),1)</f>
        <v/>
      </c>
      <c r="DK142" s="79" t="str">
        <f>IFERROR(IF(M142="","",VLOOKUP(M142,Lists!$AA$3:$AB$18,2,FALSE)),1)</f>
        <v/>
      </c>
      <c r="DL142" s="79" t="str">
        <f>IFERROR(IF(N142="","",VLOOKUP(N142,Lists!$AC$3:$AD$13,2,FALSE)),1)</f>
        <v/>
      </c>
    </row>
    <row r="143" spans="1:116" ht="15" customHeight="1" x14ac:dyDescent="0.2">
      <c r="A143" s="20"/>
      <c r="B143" s="19"/>
      <c r="C143" s="64"/>
      <c r="D143" s="64"/>
      <c r="E143" s="19"/>
      <c r="F143" s="20"/>
      <c r="G143" s="18"/>
      <c r="H143" s="65"/>
      <c r="I143" s="18"/>
      <c r="J143" s="66"/>
      <c r="K143" s="66"/>
      <c r="L143" s="67"/>
      <c r="M143" s="68"/>
      <c r="N143" s="68"/>
      <c r="O143" s="69"/>
      <c r="P143" s="134"/>
      <c r="Q143" s="70"/>
      <c r="R143" s="134"/>
      <c r="S143" s="70"/>
      <c r="T143" s="134"/>
      <c r="U143" s="70"/>
      <c r="V143" s="134"/>
      <c r="W143" s="70"/>
      <c r="X143" s="134"/>
      <c r="Y143" s="70"/>
      <c r="Z143" s="134"/>
      <c r="AA143" s="70"/>
      <c r="AB143" s="19"/>
      <c r="AC143" s="20"/>
      <c r="AD143" s="19"/>
      <c r="AE143" s="71" t="str">
        <f t="shared" si="110"/>
        <v/>
      </c>
      <c r="AF143" s="71" t="str">
        <f t="shared" si="111"/>
        <v/>
      </c>
      <c r="AG143" s="71" t="str">
        <f t="shared" si="112"/>
        <v/>
      </c>
      <c r="AH143" s="71" t="str">
        <f t="shared" si="113"/>
        <v/>
      </c>
      <c r="AI143" s="71" t="str">
        <f t="shared" si="114"/>
        <v/>
      </c>
      <c r="AJ143" s="71" t="str">
        <f t="shared" si="115"/>
        <v/>
      </c>
      <c r="AK143" s="71" t="str">
        <f t="shared" si="116"/>
        <v/>
      </c>
      <c r="AL143" s="71" t="str">
        <f t="shared" si="117"/>
        <v/>
      </c>
      <c r="AM143" s="71" t="str">
        <f t="shared" si="118"/>
        <v/>
      </c>
      <c r="AN143" s="72" t="str">
        <f t="shared" si="119"/>
        <v/>
      </c>
      <c r="AO143" s="73" t="str">
        <f t="shared" si="120"/>
        <v/>
      </c>
      <c r="AP143" s="72" t="str">
        <f t="shared" si="121"/>
        <v/>
      </c>
      <c r="AQ143" s="72" t="str">
        <f t="shared" si="122"/>
        <v/>
      </c>
      <c r="AR143" s="72" t="str">
        <f t="shared" si="123"/>
        <v/>
      </c>
      <c r="AS143" s="72" t="str">
        <f t="shared" si="124"/>
        <v/>
      </c>
      <c r="AT143" s="72" t="str">
        <f t="shared" si="125"/>
        <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t="str">
        <f t="shared" si="126"/>
        <v/>
      </c>
      <c r="CO143" s="78" t="str">
        <f t="shared" si="127"/>
        <v/>
      </c>
      <c r="CP143" s="78" t="str">
        <f t="shared" si="128"/>
        <v/>
      </c>
      <c r="CQ143" s="78" t="str">
        <f t="shared" si="129"/>
        <v/>
      </c>
      <c r="CR143" s="78" t="str">
        <f t="shared" si="130"/>
        <v/>
      </c>
      <c r="CS143" s="78" t="str">
        <f t="shared" si="131"/>
        <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t="str">
        <f t="shared" si="142"/>
        <v>1</v>
      </c>
      <c r="DF143" s="78" t="str">
        <f t="shared" si="143"/>
        <v>1</v>
      </c>
      <c r="DG143" s="78" t="str">
        <f t="shared" si="144"/>
        <v>1</v>
      </c>
      <c r="DH143" s="78" t="str">
        <f t="shared" si="145"/>
        <v>1</v>
      </c>
      <c r="DI143" s="79" t="str">
        <f>IFERROR(IF(J143="","",VLOOKUP(J143,Lists!$D$3:$E$13,2,FALSE)),1)</f>
        <v/>
      </c>
      <c r="DJ143" s="79" t="str">
        <f>IFERROR(IF(K143="","",VLOOKUP(K143,Lists!$F$3:$G$14,2,FALSE)),1)</f>
        <v/>
      </c>
      <c r="DK143" s="79" t="str">
        <f>IFERROR(IF(M143="","",VLOOKUP(M143,Lists!$AA$3:$AB$18,2,FALSE)),1)</f>
        <v/>
      </c>
      <c r="DL143" s="79" t="str">
        <f>IFERROR(IF(N143="","",VLOOKUP(N143,Lists!$AC$3:$AD$13,2,FALSE)),1)</f>
        <v/>
      </c>
    </row>
    <row r="144" spans="1:116" ht="15" customHeight="1" x14ac:dyDescent="0.2">
      <c r="A144" s="20"/>
      <c r="B144" s="19"/>
      <c r="C144" s="64"/>
      <c r="D144" s="64"/>
      <c r="E144" s="19"/>
      <c r="F144" s="20"/>
      <c r="G144" s="18"/>
      <c r="H144" s="65"/>
      <c r="I144" s="18"/>
      <c r="J144" s="66"/>
      <c r="K144" s="66"/>
      <c r="L144" s="67"/>
      <c r="M144" s="68"/>
      <c r="N144" s="68"/>
      <c r="O144" s="69"/>
      <c r="P144" s="134"/>
      <c r="Q144" s="70"/>
      <c r="R144" s="134"/>
      <c r="S144" s="70"/>
      <c r="T144" s="134"/>
      <c r="U144" s="70"/>
      <c r="V144" s="134"/>
      <c r="W144" s="70"/>
      <c r="X144" s="134"/>
      <c r="Y144" s="70"/>
      <c r="Z144" s="134"/>
      <c r="AA144" s="70"/>
      <c r="AB144" s="19"/>
      <c r="AC144" s="20"/>
      <c r="AD144" s="19"/>
      <c r="AE144" s="71" t="str">
        <f t="shared" si="110"/>
        <v/>
      </c>
      <c r="AF144" s="71" t="str">
        <f t="shared" si="111"/>
        <v/>
      </c>
      <c r="AG144" s="71" t="str">
        <f t="shared" si="112"/>
        <v/>
      </c>
      <c r="AH144" s="71" t="str">
        <f t="shared" si="113"/>
        <v/>
      </c>
      <c r="AI144" s="71" t="str">
        <f t="shared" si="114"/>
        <v/>
      </c>
      <c r="AJ144" s="71" t="str">
        <f t="shared" si="115"/>
        <v/>
      </c>
      <c r="AK144" s="71" t="str">
        <f t="shared" si="116"/>
        <v/>
      </c>
      <c r="AL144" s="71" t="str">
        <f t="shared" si="117"/>
        <v/>
      </c>
      <c r="AM144" s="71" t="str">
        <f t="shared" si="118"/>
        <v/>
      </c>
      <c r="AN144" s="72" t="str">
        <f t="shared" si="119"/>
        <v/>
      </c>
      <c r="AO144" s="73" t="str">
        <f t="shared" si="120"/>
        <v/>
      </c>
      <c r="AP144" s="72" t="str">
        <f t="shared" si="121"/>
        <v/>
      </c>
      <c r="AQ144" s="72" t="str">
        <f t="shared" si="122"/>
        <v/>
      </c>
      <c r="AR144" s="72" t="str">
        <f t="shared" si="123"/>
        <v/>
      </c>
      <c r="AS144" s="72" t="str">
        <f t="shared" si="124"/>
        <v/>
      </c>
      <c r="AT144" s="72" t="str">
        <f t="shared" si="125"/>
        <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t="str">
        <f t="shared" si="126"/>
        <v/>
      </c>
      <c r="CO144" s="78" t="str">
        <f t="shared" si="127"/>
        <v/>
      </c>
      <c r="CP144" s="78" t="str">
        <f t="shared" si="128"/>
        <v/>
      </c>
      <c r="CQ144" s="78" t="str">
        <f t="shared" si="129"/>
        <v/>
      </c>
      <c r="CR144" s="78" t="str">
        <f t="shared" si="130"/>
        <v/>
      </c>
      <c r="CS144" s="78" t="str">
        <f t="shared" si="131"/>
        <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0</v>
      </c>
      <c r="DC144" s="78">
        <f t="shared" si="140"/>
        <v>0</v>
      </c>
      <c r="DD144" s="78">
        <f t="shared" si="141"/>
        <v>0</v>
      </c>
      <c r="DE144" s="78" t="str">
        <f t="shared" si="142"/>
        <v>1</v>
      </c>
      <c r="DF144" s="78" t="str">
        <f t="shared" si="143"/>
        <v>1</v>
      </c>
      <c r="DG144" s="78" t="str">
        <f t="shared" si="144"/>
        <v>1</v>
      </c>
      <c r="DH144" s="78" t="str">
        <f t="shared" si="145"/>
        <v>1</v>
      </c>
      <c r="DI144" s="79" t="str">
        <f>IFERROR(IF(J144="","",VLOOKUP(J144,Lists!$D$3:$E$13,2,FALSE)),1)</f>
        <v/>
      </c>
      <c r="DJ144" s="79" t="str">
        <f>IFERROR(IF(K144="","",VLOOKUP(K144,Lists!$F$3:$G$14,2,FALSE)),1)</f>
        <v/>
      </c>
      <c r="DK144" s="79" t="str">
        <f>IFERROR(IF(M144="","",VLOOKUP(M144,Lists!$AA$3:$AB$18,2,FALSE)),1)</f>
        <v/>
      </c>
      <c r="DL144" s="79" t="str">
        <f>IFERROR(IF(N144="","",VLOOKUP(N144,Lists!$AC$3:$AD$13,2,FALSE)),1)</f>
        <v/>
      </c>
    </row>
    <row r="145" spans="1:116" ht="15" customHeight="1" x14ac:dyDescent="0.2">
      <c r="A145" s="20"/>
      <c r="B145" s="19"/>
      <c r="C145" s="64"/>
      <c r="D145" s="64"/>
      <c r="E145" s="19"/>
      <c r="F145" s="20"/>
      <c r="G145" s="18"/>
      <c r="H145" s="65"/>
      <c r="I145" s="18"/>
      <c r="J145" s="66"/>
      <c r="K145" s="66"/>
      <c r="L145" s="67"/>
      <c r="M145" s="68"/>
      <c r="N145" s="68"/>
      <c r="O145" s="69"/>
      <c r="P145" s="134"/>
      <c r="Q145" s="70"/>
      <c r="R145" s="134"/>
      <c r="S145" s="70"/>
      <c r="T145" s="134"/>
      <c r="U145" s="70"/>
      <c r="V145" s="134"/>
      <c r="W145" s="70"/>
      <c r="X145" s="134"/>
      <c r="Y145" s="70"/>
      <c r="Z145" s="134"/>
      <c r="AA145" s="70"/>
      <c r="AB145" s="19"/>
      <c r="AC145" s="20"/>
      <c r="AD145" s="19"/>
      <c r="AE145" s="71" t="str">
        <f t="shared" si="110"/>
        <v/>
      </c>
      <c r="AF145" s="71" t="str">
        <f t="shared" si="111"/>
        <v/>
      </c>
      <c r="AG145" s="71" t="str">
        <f t="shared" si="112"/>
        <v/>
      </c>
      <c r="AH145" s="71" t="str">
        <f t="shared" si="113"/>
        <v/>
      </c>
      <c r="AI145" s="71" t="str">
        <f t="shared" si="114"/>
        <v/>
      </c>
      <c r="AJ145" s="71" t="str">
        <f t="shared" si="115"/>
        <v/>
      </c>
      <c r="AK145" s="71" t="str">
        <f t="shared" si="116"/>
        <v/>
      </c>
      <c r="AL145" s="71" t="str">
        <f t="shared" si="117"/>
        <v/>
      </c>
      <c r="AM145" s="71" t="str">
        <f t="shared" si="118"/>
        <v/>
      </c>
      <c r="AN145" s="72" t="str">
        <f t="shared" si="119"/>
        <v/>
      </c>
      <c r="AO145" s="73" t="str">
        <f t="shared" si="120"/>
        <v/>
      </c>
      <c r="AP145" s="72" t="str">
        <f t="shared" si="121"/>
        <v/>
      </c>
      <c r="AQ145" s="72" t="str">
        <f t="shared" si="122"/>
        <v/>
      </c>
      <c r="AR145" s="72" t="str">
        <f t="shared" si="123"/>
        <v/>
      </c>
      <c r="AS145" s="72" t="str">
        <f t="shared" si="124"/>
        <v/>
      </c>
      <c r="AT145" s="72" t="str">
        <f t="shared" si="125"/>
        <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t="str">
        <f t="shared" si="126"/>
        <v/>
      </c>
      <c r="CO145" s="78" t="str">
        <f t="shared" si="127"/>
        <v/>
      </c>
      <c r="CP145" s="78" t="str">
        <f t="shared" si="128"/>
        <v/>
      </c>
      <c r="CQ145" s="78" t="str">
        <f t="shared" si="129"/>
        <v/>
      </c>
      <c r="CR145" s="78" t="str">
        <f t="shared" si="130"/>
        <v/>
      </c>
      <c r="CS145" s="78" t="str">
        <f t="shared" si="131"/>
        <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t="str">
        <f t="shared" si="142"/>
        <v>1</v>
      </c>
      <c r="DF145" s="78" t="str">
        <f t="shared" si="143"/>
        <v>1</v>
      </c>
      <c r="DG145" s="78" t="str">
        <f t="shared" si="144"/>
        <v>1</v>
      </c>
      <c r="DH145" s="78" t="str">
        <f t="shared" si="145"/>
        <v>1</v>
      </c>
      <c r="DI145" s="79" t="str">
        <f>IFERROR(IF(J145="","",VLOOKUP(J145,Lists!$D$3:$E$13,2,FALSE)),1)</f>
        <v/>
      </c>
      <c r="DJ145" s="79" t="str">
        <f>IFERROR(IF(K145="","",VLOOKUP(K145,Lists!$F$3:$G$14,2,FALSE)),1)</f>
        <v/>
      </c>
      <c r="DK145" s="79" t="str">
        <f>IFERROR(IF(M145="","",VLOOKUP(M145,Lists!$AA$3:$AB$18,2,FALSE)),1)</f>
        <v/>
      </c>
      <c r="DL145" s="79" t="str">
        <f>IFERROR(IF(N145="","",VLOOKUP(N145,Lists!$AC$3:$AD$13,2,FALSE)),1)</f>
        <v/>
      </c>
    </row>
    <row r="146" spans="1:116" ht="15" customHeight="1" x14ac:dyDescent="0.2">
      <c r="A146" s="20"/>
      <c r="B146" s="19"/>
      <c r="C146" s="64"/>
      <c r="D146" s="64"/>
      <c r="E146" s="19"/>
      <c r="F146" s="20"/>
      <c r="G146" s="18"/>
      <c r="H146" s="65"/>
      <c r="I146" s="18"/>
      <c r="J146" s="66"/>
      <c r="K146" s="66"/>
      <c r="L146" s="67"/>
      <c r="M146" s="68"/>
      <c r="N146" s="68"/>
      <c r="O146" s="69"/>
      <c r="P146" s="134"/>
      <c r="Q146" s="70"/>
      <c r="R146" s="134"/>
      <c r="S146" s="70"/>
      <c r="T146" s="134"/>
      <c r="U146" s="70"/>
      <c r="V146" s="134"/>
      <c r="W146" s="70"/>
      <c r="X146" s="134"/>
      <c r="Y146" s="70"/>
      <c r="Z146" s="134"/>
      <c r="AA146" s="70"/>
      <c r="AB146" s="19"/>
      <c r="AC146" s="20"/>
      <c r="AD146" s="19"/>
      <c r="AE146" s="71" t="str">
        <f t="shared" si="110"/>
        <v/>
      </c>
      <c r="AF146" s="71" t="str">
        <f t="shared" si="111"/>
        <v/>
      </c>
      <c r="AG146" s="71" t="str">
        <f t="shared" si="112"/>
        <v/>
      </c>
      <c r="AH146" s="71" t="str">
        <f t="shared" si="113"/>
        <v/>
      </c>
      <c r="AI146" s="71" t="str">
        <f t="shared" si="114"/>
        <v/>
      </c>
      <c r="AJ146" s="71" t="str">
        <f t="shared" si="115"/>
        <v/>
      </c>
      <c r="AK146" s="71" t="str">
        <f t="shared" si="116"/>
        <v/>
      </c>
      <c r="AL146" s="71" t="str">
        <f t="shared" si="117"/>
        <v/>
      </c>
      <c r="AM146" s="71" t="str">
        <f t="shared" si="118"/>
        <v/>
      </c>
      <c r="AN146" s="72" t="str">
        <f t="shared" si="119"/>
        <v/>
      </c>
      <c r="AO146" s="73" t="str">
        <f t="shared" si="120"/>
        <v/>
      </c>
      <c r="AP146" s="72" t="str">
        <f t="shared" si="121"/>
        <v/>
      </c>
      <c r="AQ146" s="72" t="str">
        <f t="shared" si="122"/>
        <v/>
      </c>
      <c r="AR146" s="72" t="str">
        <f t="shared" si="123"/>
        <v/>
      </c>
      <c r="AS146" s="72" t="str">
        <f t="shared" si="124"/>
        <v/>
      </c>
      <c r="AT146" s="72" t="str">
        <f t="shared" si="125"/>
        <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t="str">
        <f t="shared" si="126"/>
        <v/>
      </c>
      <c r="CO146" s="78" t="str">
        <f t="shared" si="127"/>
        <v/>
      </c>
      <c r="CP146" s="78" t="str">
        <f t="shared" si="128"/>
        <v/>
      </c>
      <c r="CQ146" s="78" t="str">
        <f t="shared" si="129"/>
        <v/>
      </c>
      <c r="CR146" s="78" t="str">
        <f t="shared" si="130"/>
        <v/>
      </c>
      <c r="CS146" s="78" t="str">
        <f t="shared" si="131"/>
        <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0</v>
      </c>
      <c r="DC146" s="78">
        <f t="shared" si="140"/>
        <v>0</v>
      </c>
      <c r="DD146" s="78">
        <f t="shared" si="141"/>
        <v>0</v>
      </c>
      <c r="DE146" s="78" t="str">
        <f t="shared" si="142"/>
        <v>1</v>
      </c>
      <c r="DF146" s="78" t="str">
        <f t="shared" si="143"/>
        <v>1</v>
      </c>
      <c r="DG146" s="78" t="str">
        <f t="shared" si="144"/>
        <v>1</v>
      </c>
      <c r="DH146" s="78" t="str">
        <f t="shared" si="145"/>
        <v>1</v>
      </c>
      <c r="DI146" s="79" t="str">
        <f>IFERROR(IF(J146="","",VLOOKUP(J146,Lists!$D$3:$E$13,2,FALSE)),1)</f>
        <v/>
      </c>
      <c r="DJ146" s="79" t="str">
        <f>IFERROR(IF(K146="","",VLOOKUP(K146,Lists!$F$3:$G$14,2,FALSE)),1)</f>
        <v/>
      </c>
      <c r="DK146" s="79" t="str">
        <f>IFERROR(IF(M146="","",VLOOKUP(M146,Lists!$AA$3:$AB$18,2,FALSE)),1)</f>
        <v/>
      </c>
      <c r="DL146" s="79" t="str">
        <f>IFERROR(IF(N146="","",VLOOKUP(N146,Lists!$AC$3:$AD$13,2,FALSE)),1)</f>
        <v/>
      </c>
    </row>
    <row r="147" spans="1:116" ht="15" customHeight="1" x14ac:dyDescent="0.2">
      <c r="A147" s="20"/>
      <c r="B147" s="19"/>
      <c r="C147" s="64"/>
      <c r="D147" s="64"/>
      <c r="E147" s="19"/>
      <c r="F147" s="20"/>
      <c r="G147" s="18"/>
      <c r="H147" s="65"/>
      <c r="I147" s="18"/>
      <c r="J147" s="66"/>
      <c r="K147" s="66"/>
      <c r="L147" s="67"/>
      <c r="M147" s="68"/>
      <c r="N147" s="68"/>
      <c r="O147" s="69"/>
      <c r="P147" s="134"/>
      <c r="Q147" s="70"/>
      <c r="R147" s="134"/>
      <c r="S147" s="70"/>
      <c r="T147" s="134"/>
      <c r="U147" s="70"/>
      <c r="V147" s="134"/>
      <c r="W147" s="70"/>
      <c r="X147" s="134"/>
      <c r="Y147" s="70"/>
      <c r="Z147" s="134"/>
      <c r="AA147" s="70"/>
      <c r="AB147" s="19"/>
      <c r="AC147" s="20"/>
      <c r="AD147" s="19"/>
      <c r="AE147" s="71" t="str">
        <f t="shared" si="110"/>
        <v/>
      </c>
      <c r="AF147" s="71" t="str">
        <f t="shared" si="111"/>
        <v/>
      </c>
      <c r="AG147" s="71" t="str">
        <f t="shared" si="112"/>
        <v/>
      </c>
      <c r="AH147" s="71" t="str">
        <f t="shared" si="113"/>
        <v/>
      </c>
      <c r="AI147" s="71" t="str">
        <f t="shared" si="114"/>
        <v/>
      </c>
      <c r="AJ147" s="71" t="str">
        <f t="shared" si="115"/>
        <v/>
      </c>
      <c r="AK147" s="71" t="str">
        <f t="shared" si="116"/>
        <v/>
      </c>
      <c r="AL147" s="71" t="str">
        <f t="shared" si="117"/>
        <v/>
      </c>
      <c r="AM147" s="71" t="str">
        <f t="shared" si="118"/>
        <v/>
      </c>
      <c r="AN147" s="72" t="str">
        <f t="shared" si="119"/>
        <v/>
      </c>
      <c r="AO147" s="73" t="str">
        <f t="shared" si="120"/>
        <v/>
      </c>
      <c r="AP147" s="72" t="str">
        <f t="shared" si="121"/>
        <v/>
      </c>
      <c r="AQ147" s="72" t="str">
        <f t="shared" si="122"/>
        <v/>
      </c>
      <c r="AR147" s="72" t="str">
        <f t="shared" si="123"/>
        <v/>
      </c>
      <c r="AS147" s="72" t="str">
        <f t="shared" si="124"/>
        <v/>
      </c>
      <c r="AT147" s="72" t="str">
        <f t="shared" si="125"/>
        <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t="str">
        <f t="shared" si="126"/>
        <v/>
      </c>
      <c r="CO147" s="78" t="str">
        <f t="shared" si="127"/>
        <v/>
      </c>
      <c r="CP147" s="78" t="str">
        <f t="shared" si="128"/>
        <v/>
      </c>
      <c r="CQ147" s="78" t="str">
        <f t="shared" si="129"/>
        <v/>
      </c>
      <c r="CR147" s="78" t="str">
        <f t="shared" si="130"/>
        <v/>
      </c>
      <c r="CS147" s="78" t="str">
        <f t="shared" si="131"/>
        <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t="str">
        <f t="shared" si="142"/>
        <v>1</v>
      </c>
      <c r="DF147" s="78" t="str">
        <f t="shared" si="143"/>
        <v>1</v>
      </c>
      <c r="DG147" s="78" t="str">
        <f t="shared" si="144"/>
        <v>1</v>
      </c>
      <c r="DH147" s="78" t="str">
        <f t="shared" si="145"/>
        <v>1</v>
      </c>
      <c r="DI147" s="79" t="str">
        <f>IFERROR(IF(J147="","",VLOOKUP(J147,Lists!$D$3:$E$13,2,FALSE)),1)</f>
        <v/>
      </c>
      <c r="DJ147" s="79" t="str">
        <f>IFERROR(IF(K147="","",VLOOKUP(K147,Lists!$F$3:$G$14,2,FALSE)),1)</f>
        <v/>
      </c>
      <c r="DK147" s="79" t="str">
        <f>IFERROR(IF(M147="","",VLOOKUP(M147,Lists!$AA$3:$AB$18,2,FALSE)),1)</f>
        <v/>
      </c>
      <c r="DL147" s="79" t="str">
        <f>IFERROR(IF(N147="","",VLOOKUP(N147,Lists!$AC$3:$AD$13,2,FALSE)),1)</f>
        <v/>
      </c>
    </row>
    <row r="148" spans="1:116" ht="15" customHeight="1" x14ac:dyDescent="0.2">
      <c r="A148" s="20"/>
      <c r="B148" s="19"/>
      <c r="C148" s="64"/>
      <c r="D148" s="64"/>
      <c r="E148" s="19"/>
      <c r="F148" s="20"/>
      <c r="G148" s="18"/>
      <c r="H148" s="65"/>
      <c r="I148" s="18"/>
      <c r="J148" s="66"/>
      <c r="K148" s="66"/>
      <c r="L148" s="67"/>
      <c r="M148" s="68"/>
      <c r="N148" s="68"/>
      <c r="O148" s="69"/>
      <c r="P148" s="134"/>
      <c r="Q148" s="70"/>
      <c r="R148" s="134"/>
      <c r="S148" s="70"/>
      <c r="T148" s="134"/>
      <c r="U148" s="70"/>
      <c r="V148" s="134"/>
      <c r="W148" s="70"/>
      <c r="X148" s="134"/>
      <c r="Y148" s="70"/>
      <c r="Z148" s="134"/>
      <c r="AA148" s="70"/>
      <c r="AB148" s="19"/>
      <c r="AC148" s="20"/>
      <c r="AD148" s="19"/>
      <c r="AE148" s="71" t="str">
        <f t="shared" si="110"/>
        <v/>
      </c>
      <c r="AF148" s="71" t="str">
        <f t="shared" si="111"/>
        <v/>
      </c>
      <c r="AG148" s="71" t="str">
        <f t="shared" si="112"/>
        <v/>
      </c>
      <c r="AH148" s="71" t="str">
        <f t="shared" si="113"/>
        <v/>
      </c>
      <c r="AI148" s="71" t="str">
        <f t="shared" si="114"/>
        <v/>
      </c>
      <c r="AJ148" s="71" t="str">
        <f t="shared" si="115"/>
        <v/>
      </c>
      <c r="AK148" s="71" t="str">
        <f t="shared" si="116"/>
        <v/>
      </c>
      <c r="AL148" s="71" t="str">
        <f t="shared" si="117"/>
        <v/>
      </c>
      <c r="AM148" s="71" t="str">
        <f t="shared" si="118"/>
        <v/>
      </c>
      <c r="AN148" s="72" t="str">
        <f t="shared" si="119"/>
        <v/>
      </c>
      <c r="AO148" s="73" t="str">
        <f t="shared" si="120"/>
        <v/>
      </c>
      <c r="AP148" s="72" t="str">
        <f t="shared" si="121"/>
        <v/>
      </c>
      <c r="AQ148" s="72" t="str">
        <f t="shared" si="122"/>
        <v/>
      </c>
      <c r="AR148" s="72" t="str">
        <f t="shared" si="123"/>
        <v/>
      </c>
      <c r="AS148" s="72" t="str">
        <f t="shared" si="124"/>
        <v/>
      </c>
      <c r="AT148" s="72" t="str">
        <f t="shared" si="125"/>
        <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t="str">
        <f t="shared" si="126"/>
        <v/>
      </c>
      <c r="CO148" s="78" t="str">
        <f t="shared" si="127"/>
        <v/>
      </c>
      <c r="CP148" s="78" t="str">
        <f t="shared" si="128"/>
        <v/>
      </c>
      <c r="CQ148" s="78" t="str">
        <f t="shared" si="129"/>
        <v/>
      </c>
      <c r="CR148" s="78" t="str">
        <f t="shared" si="130"/>
        <v/>
      </c>
      <c r="CS148" s="78" t="str">
        <f t="shared" si="131"/>
        <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0</v>
      </c>
      <c r="DC148" s="78">
        <f t="shared" si="140"/>
        <v>0</v>
      </c>
      <c r="DD148" s="78">
        <f t="shared" si="141"/>
        <v>0</v>
      </c>
      <c r="DE148" s="78" t="str">
        <f t="shared" si="142"/>
        <v>1</v>
      </c>
      <c r="DF148" s="78" t="str">
        <f t="shared" si="143"/>
        <v>1</v>
      </c>
      <c r="DG148" s="78" t="str">
        <f t="shared" si="144"/>
        <v>1</v>
      </c>
      <c r="DH148" s="78" t="str">
        <f t="shared" si="145"/>
        <v>1</v>
      </c>
      <c r="DI148" s="79" t="str">
        <f>IFERROR(IF(J148="","",VLOOKUP(J148,Lists!$D$3:$E$13,2,FALSE)),1)</f>
        <v/>
      </c>
      <c r="DJ148" s="79" t="str">
        <f>IFERROR(IF(K148="","",VLOOKUP(K148,Lists!$F$3:$G$14,2,FALSE)),1)</f>
        <v/>
      </c>
      <c r="DK148" s="79" t="str">
        <f>IFERROR(IF(M148="","",VLOOKUP(M148,Lists!$AA$3:$AB$18,2,FALSE)),1)</f>
        <v/>
      </c>
      <c r="DL148" s="79" t="str">
        <f>IFERROR(IF(N148="","",VLOOKUP(N148,Lists!$AC$3:$AD$13,2,FALSE)),1)</f>
        <v/>
      </c>
    </row>
    <row r="149" spans="1:116" ht="15" customHeight="1" x14ac:dyDescent="0.2">
      <c r="A149" s="20"/>
      <c r="B149" s="19"/>
      <c r="C149" s="64"/>
      <c r="D149" s="64"/>
      <c r="E149" s="19"/>
      <c r="F149" s="20"/>
      <c r="G149" s="18"/>
      <c r="H149" s="65"/>
      <c r="I149" s="18"/>
      <c r="J149" s="66"/>
      <c r="K149" s="66"/>
      <c r="L149" s="67"/>
      <c r="M149" s="68"/>
      <c r="N149" s="68"/>
      <c r="O149" s="69"/>
      <c r="P149" s="134"/>
      <c r="Q149" s="70"/>
      <c r="R149" s="134"/>
      <c r="S149" s="70"/>
      <c r="T149" s="134"/>
      <c r="U149" s="70"/>
      <c r="V149" s="134"/>
      <c r="W149" s="70"/>
      <c r="X149" s="134"/>
      <c r="Y149" s="70"/>
      <c r="Z149" s="134"/>
      <c r="AA149" s="70"/>
      <c r="AB149" s="19"/>
      <c r="AC149" s="20"/>
      <c r="AD149" s="19"/>
      <c r="AE149" s="71" t="str">
        <f t="shared" si="110"/>
        <v/>
      </c>
      <c r="AF149" s="71" t="str">
        <f t="shared" si="111"/>
        <v/>
      </c>
      <c r="AG149" s="71" t="str">
        <f t="shared" si="112"/>
        <v/>
      </c>
      <c r="AH149" s="71" t="str">
        <f t="shared" si="113"/>
        <v/>
      </c>
      <c r="AI149" s="71" t="str">
        <f t="shared" si="114"/>
        <v/>
      </c>
      <c r="AJ149" s="71" t="str">
        <f t="shared" si="115"/>
        <v/>
      </c>
      <c r="AK149" s="71" t="str">
        <f t="shared" si="116"/>
        <v/>
      </c>
      <c r="AL149" s="71" t="str">
        <f t="shared" si="117"/>
        <v/>
      </c>
      <c r="AM149" s="71" t="str">
        <f t="shared" si="118"/>
        <v/>
      </c>
      <c r="AN149" s="72" t="str">
        <f t="shared" si="119"/>
        <v/>
      </c>
      <c r="AO149" s="73" t="str">
        <f t="shared" si="120"/>
        <v/>
      </c>
      <c r="AP149" s="72" t="str">
        <f t="shared" si="121"/>
        <v/>
      </c>
      <c r="AQ149" s="72" t="str">
        <f t="shared" si="122"/>
        <v/>
      </c>
      <c r="AR149" s="72" t="str">
        <f t="shared" si="123"/>
        <v/>
      </c>
      <c r="AS149" s="72" t="str">
        <f t="shared" si="124"/>
        <v/>
      </c>
      <c r="AT149" s="72" t="str">
        <f t="shared" si="125"/>
        <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t="str">
        <f t="shared" si="126"/>
        <v/>
      </c>
      <c r="CO149" s="78" t="str">
        <f t="shared" si="127"/>
        <v/>
      </c>
      <c r="CP149" s="78" t="str">
        <f t="shared" si="128"/>
        <v/>
      </c>
      <c r="CQ149" s="78" t="str">
        <f t="shared" si="129"/>
        <v/>
      </c>
      <c r="CR149" s="78" t="str">
        <f t="shared" si="130"/>
        <v/>
      </c>
      <c r="CS149" s="78" t="str">
        <f t="shared" si="131"/>
        <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t="str">
        <f t="shared" si="142"/>
        <v>1</v>
      </c>
      <c r="DF149" s="78" t="str">
        <f t="shared" si="143"/>
        <v>1</v>
      </c>
      <c r="DG149" s="78" t="str">
        <f t="shared" si="144"/>
        <v>1</v>
      </c>
      <c r="DH149" s="78" t="str">
        <f t="shared" si="145"/>
        <v>1</v>
      </c>
      <c r="DI149" s="79" t="str">
        <f>IFERROR(IF(J149="","",VLOOKUP(J149,Lists!$D$3:$E$13,2,FALSE)),1)</f>
        <v/>
      </c>
      <c r="DJ149" s="79" t="str">
        <f>IFERROR(IF(K149="","",VLOOKUP(K149,Lists!$F$3:$G$14,2,FALSE)),1)</f>
        <v/>
      </c>
      <c r="DK149" s="79" t="str">
        <f>IFERROR(IF(M149="","",VLOOKUP(M149,Lists!$AA$3:$AB$18,2,FALSE)),1)</f>
        <v/>
      </c>
      <c r="DL149" s="79" t="str">
        <f>IFERROR(IF(N149="","",VLOOKUP(N149,Lists!$AC$3:$AD$13,2,FALSE)),1)</f>
        <v/>
      </c>
    </row>
    <row r="150" spans="1:116" ht="15" customHeight="1" x14ac:dyDescent="0.2">
      <c r="A150" s="20"/>
      <c r="B150" s="19"/>
      <c r="C150" s="64"/>
      <c r="D150" s="64"/>
      <c r="E150" s="19"/>
      <c r="F150" s="20"/>
      <c r="G150" s="18"/>
      <c r="H150" s="65"/>
      <c r="I150" s="18"/>
      <c r="J150" s="66"/>
      <c r="K150" s="66"/>
      <c r="L150" s="67"/>
      <c r="M150" s="68"/>
      <c r="N150" s="68"/>
      <c r="O150" s="69"/>
      <c r="P150" s="134"/>
      <c r="Q150" s="70"/>
      <c r="R150" s="134"/>
      <c r="S150" s="70"/>
      <c r="T150" s="134"/>
      <c r="U150" s="70"/>
      <c r="V150" s="134"/>
      <c r="W150" s="70"/>
      <c r="X150" s="134"/>
      <c r="Y150" s="70"/>
      <c r="Z150" s="134"/>
      <c r="AA150" s="70"/>
      <c r="AB150" s="19"/>
      <c r="AC150" s="20"/>
      <c r="AD150" s="19"/>
      <c r="AE150" s="71" t="str">
        <f t="shared" si="110"/>
        <v/>
      </c>
      <c r="AF150" s="71" t="str">
        <f t="shared" si="111"/>
        <v/>
      </c>
      <c r="AG150" s="71" t="str">
        <f t="shared" si="112"/>
        <v/>
      </c>
      <c r="AH150" s="71" t="str">
        <f t="shared" si="113"/>
        <v/>
      </c>
      <c r="AI150" s="71" t="str">
        <f t="shared" si="114"/>
        <v/>
      </c>
      <c r="AJ150" s="71" t="str">
        <f t="shared" si="115"/>
        <v/>
      </c>
      <c r="AK150" s="71" t="str">
        <f t="shared" si="116"/>
        <v/>
      </c>
      <c r="AL150" s="71" t="str">
        <f t="shared" si="117"/>
        <v/>
      </c>
      <c r="AM150" s="71" t="str">
        <f t="shared" si="118"/>
        <v/>
      </c>
      <c r="AN150" s="72" t="str">
        <f t="shared" si="119"/>
        <v/>
      </c>
      <c r="AO150" s="73" t="str">
        <f t="shared" si="120"/>
        <v/>
      </c>
      <c r="AP150" s="72" t="str">
        <f t="shared" si="121"/>
        <v/>
      </c>
      <c r="AQ150" s="72" t="str">
        <f t="shared" si="122"/>
        <v/>
      </c>
      <c r="AR150" s="72" t="str">
        <f t="shared" si="123"/>
        <v/>
      </c>
      <c r="AS150" s="72" t="str">
        <f t="shared" si="124"/>
        <v/>
      </c>
      <c r="AT150" s="72" t="str">
        <f t="shared" si="125"/>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t="str">
        <f t="shared" si="126"/>
        <v/>
      </c>
      <c r="CO150" s="78" t="str">
        <f t="shared" si="127"/>
        <v/>
      </c>
      <c r="CP150" s="78" t="str">
        <f t="shared" si="128"/>
        <v/>
      </c>
      <c r="CQ150" s="78" t="str">
        <f t="shared" si="129"/>
        <v/>
      </c>
      <c r="CR150" s="78" t="str">
        <f t="shared" si="130"/>
        <v/>
      </c>
      <c r="CS150" s="78" t="str">
        <f t="shared" si="131"/>
        <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t="str">
        <f t="shared" si="142"/>
        <v>1</v>
      </c>
      <c r="DF150" s="78" t="str">
        <f t="shared" si="143"/>
        <v>1</v>
      </c>
      <c r="DG150" s="78" t="str">
        <f t="shared" si="144"/>
        <v>1</v>
      </c>
      <c r="DH150" s="78" t="str">
        <f t="shared" si="145"/>
        <v>1</v>
      </c>
      <c r="DI150" s="79" t="str">
        <f>IFERROR(IF(J150="","",VLOOKUP(J150,Lists!$D$3:$E$13,2,FALSE)),1)</f>
        <v/>
      </c>
      <c r="DJ150" s="79" t="str">
        <f>IFERROR(IF(K150="","",VLOOKUP(K150,Lists!$F$3:$G$14,2,FALSE)),1)</f>
        <v/>
      </c>
      <c r="DK150" s="79" t="str">
        <f>IFERROR(IF(M150="","",VLOOKUP(M150,Lists!$AA$3:$AB$18,2,FALSE)),1)</f>
        <v/>
      </c>
      <c r="DL150" s="79" t="str">
        <f>IFERROR(IF(N150="","",VLOOKUP(N150,Lists!$AC$3:$AD$13,2,FALSE)),1)</f>
        <v/>
      </c>
    </row>
    <row r="151" spans="1:116" ht="15" customHeight="1" x14ac:dyDescent="0.2">
      <c r="A151" s="20"/>
      <c r="B151" s="19"/>
      <c r="C151" s="64"/>
      <c r="D151" s="64"/>
      <c r="E151" s="19"/>
      <c r="F151" s="20"/>
      <c r="G151" s="18"/>
      <c r="H151" s="65"/>
      <c r="I151" s="18"/>
      <c r="J151" s="66"/>
      <c r="K151" s="66"/>
      <c r="L151" s="67"/>
      <c r="M151" s="68"/>
      <c r="N151" s="68"/>
      <c r="O151" s="69"/>
      <c r="P151" s="134"/>
      <c r="Q151" s="70"/>
      <c r="R151" s="134"/>
      <c r="S151" s="70"/>
      <c r="T151" s="134"/>
      <c r="U151" s="70"/>
      <c r="V151" s="134"/>
      <c r="W151" s="70"/>
      <c r="X151" s="134"/>
      <c r="Y151" s="70"/>
      <c r="Z151" s="134"/>
      <c r="AA151" s="70"/>
      <c r="AB151" s="19"/>
      <c r="AC151" s="20"/>
      <c r="AD151" s="19"/>
      <c r="AE151" s="71" t="str">
        <f t="shared" si="110"/>
        <v/>
      </c>
      <c r="AF151" s="71" t="str">
        <f t="shared" si="111"/>
        <v/>
      </c>
      <c r="AG151" s="71" t="str">
        <f t="shared" si="112"/>
        <v/>
      </c>
      <c r="AH151" s="71" t="str">
        <f t="shared" si="113"/>
        <v/>
      </c>
      <c r="AI151" s="71" t="str">
        <f t="shared" si="114"/>
        <v/>
      </c>
      <c r="AJ151" s="71" t="str">
        <f t="shared" si="115"/>
        <v/>
      </c>
      <c r="AK151" s="71" t="str">
        <f t="shared" si="116"/>
        <v/>
      </c>
      <c r="AL151" s="71" t="str">
        <f t="shared" si="117"/>
        <v/>
      </c>
      <c r="AM151" s="71" t="str">
        <f t="shared" si="118"/>
        <v/>
      </c>
      <c r="AN151" s="72" t="str">
        <f t="shared" si="119"/>
        <v/>
      </c>
      <c r="AO151" s="73" t="str">
        <f t="shared" si="120"/>
        <v/>
      </c>
      <c r="AP151" s="72" t="str">
        <f t="shared" si="121"/>
        <v/>
      </c>
      <c r="AQ151" s="72" t="str">
        <f t="shared" si="122"/>
        <v/>
      </c>
      <c r="AR151" s="72" t="str">
        <f t="shared" si="123"/>
        <v/>
      </c>
      <c r="AS151" s="72" t="str">
        <f t="shared" si="124"/>
        <v/>
      </c>
      <c r="AT151" s="72" t="str">
        <f t="shared" si="125"/>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t="str">
        <f t="shared" si="126"/>
        <v/>
      </c>
      <c r="CO151" s="78" t="str">
        <f t="shared" si="127"/>
        <v/>
      </c>
      <c r="CP151" s="78" t="str">
        <f t="shared" si="128"/>
        <v/>
      </c>
      <c r="CQ151" s="78" t="str">
        <f t="shared" si="129"/>
        <v/>
      </c>
      <c r="CR151" s="78" t="str">
        <f t="shared" si="130"/>
        <v/>
      </c>
      <c r="CS151" s="78" t="str">
        <f t="shared" si="131"/>
        <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t="str">
        <f t="shared" si="142"/>
        <v>1</v>
      </c>
      <c r="DF151" s="78" t="str">
        <f t="shared" si="143"/>
        <v>1</v>
      </c>
      <c r="DG151" s="78" t="str">
        <f t="shared" si="144"/>
        <v>1</v>
      </c>
      <c r="DH151" s="78" t="str">
        <f t="shared" si="145"/>
        <v>1</v>
      </c>
      <c r="DI151" s="79" t="str">
        <f>IFERROR(IF(J151="","",VLOOKUP(J151,Lists!$D$3:$E$13,2,FALSE)),1)</f>
        <v/>
      </c>
      <c r="DJ151" s="79" t="str">
        <f>IFERROR(IF(K151="","",VLOOKUP(K151,Lists!$F$3:$G$14,2,FALSE)),1)</f>
        <v/>
      </c>
      <c r="DK151" s="79" t="str">
        <f>IFERROR(IF(M151="","",VLOOKUP(M151,Lists!$AA$3:$AB$18,2,FALSE)),1)</f>
        <v/>
      </c>
      <c r="DL151" s="79" t="str">
        <f>IFERROR(IF(N151="","",VLOOKUP(N151,Lists!$AC$3:$AD$13,2,FALSE)),1)</f>
        <v/>
      </c>
    </row>
    <row r="152" spans="1:116" ht="15" customHeight="1" x14ac:dyDescent="0.2">
      <c r="A152" s="20"/>
      <c r="B152" s="19"/>
      <c r="C152" s="64"/>
      <c r="D152" s="64"/>
      <c r="E152" s="19"/>
      <c r="F152" s="20"/>
      <c r="G152" s="18"/>
      <c r="H152" s="65"/>
      <c r="I152" s="18"/>
      <c r="J152" s="66"/>
      <c r="K152" s="66"/>
      <c r="L152" s="67"/>
      <c r="M152" s="68"/>
      <c r="N152" s="68"/>
      <c r="O152" s="69"/>
      <c r="P152" s="134"/>
      <c r="Q152" s="70"/>
      <c r="R152" s="134"/>
      <c r="S152" s="70"/>
      <c r="T152" s="134"/>
      <c r="U152" s="70"/>
      <c r="V152" s="134"/>
      <c r="W152" s="70"/>
      <c r="X152" s="134"/>
      <c r="Y152" s="70"/>
      <c r="Z152" s="134"/>
      <c r="AA152" s="70"/>
      <c r="AB152" s="19"/>
      <c r="AC152" s="20"/>
      <c r="AD152" s="19"/>
      <c r="AE152" s="71" t="str">
        <f t="shared" si="110"/>
        <v/>
      </c>
      <c r="AF152" s="71" t="str">
        <f t="shared" si="111"/>
        <v/>
      </c>
      <c r="AG152" s="71" t="str">
        <f t="shared" si="112"/>
        <v/>
      </c>
      <c r="AH152" s="71" t="str">
        <f t="shared" si="113"/>
        <v/>
      </c>
      <c r="AI152" s="71" t="str">
        <f t="shared" si="114"/>
        <v/>
      </c>
      <c r="AJ152" s="71" t="str">
        <f t="shared" si="115"/>
        <v/>
      </c>
      <c r="AK152" s="71" t="str">
        <f t="shared" si="116"/>
        <v/>
      </c>
      <c r="AL152" s="71" t="str">
        <f t="shared" si="117"/>
        <v/>
      </c>
      <c r="AM152" s="71" t="str">
        <f t="shared" si="118"/>
        <v/>
      </c>
      <c r="AN152" s="72" t="str">
        <f t="shared" si="119"/>
        <v/>
      </c>
      <c r="AO152" s="73" t="str">
        <f t="shared" si="120"/>
        <v/>
      </c>
      <c r="AP152" s="72" t="str">
        <f t="shared" si="121"/>
        <v/>
      </c>
      <c r="AQ152" s="72" t="str">
        <f t="shared" si="122"/>
        <v/>
      </c>
      <c r="AR152" s="72" t="str">
        <f t="shared" si="123"/>
        <v/>
      </c>
      <c r="AS152" s="72" t="str">
        <f t="shared" si="124"/>
        <v/>
      </c>
      <c r="AT152" s="72" t="str">
        <f t="shared" si="125"/>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t="str">
        <f t="shared" si="126"/>
        <v/>
      </c>
      <c r="CO152" s="78" t="str">
        <f t="shared" si="127"/>
        <v/>
      </c>
      <c r="CP152" s="78" t="str">
        <f t="shared" si="128"/>
        <v/>
      </c>
      <c r="CQ152" s="78" t="str">
        <f t="shared" si="129"/>
        <v/>
      </c>
      <c r="CR152" s="78" t="str">
        <f t="shared" si="130"/>
        <v/>
      </c>
      <c r="CS152" s="78" t="str">
        <f t="shared" si="131"/>
        <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t="str">
        <f t="shared" si="142"/>
        <v>1</v>
      </c>
      <c r="DF152" s="78" t="str">
        <f t="shared" si="143"/>
        <v>1</v>
      </c>
      <c r="DG152" s="78" t="str">
        <f t="shared" si="144"/>
        <v>1</v>
      </c>
      <c r="DH152" s="78" t="str">
        <f t="shared" si="145"/>
        <v>1</v>
      </c>
      <c r="DI152" s="79" t="str">
        <f>IFERROR(IF(J152="","",VLOOKUP(J152,Lists!$D$3:$E$13,2,FALSE)),1)</f>
        <v/>
      </c>
      <c r="DJ152" s="79" t="str">
        <f>IFERROR(IF(K152="","",VLOOKUP(K152,Lists!$F$3:$G$14,2,FALSE)),1)</f>
        <v/>
      </c>
      <c r="DK152" s="79" t="str">
        <f>IFERROR(IF(M152="","",VLOOKUP(M152,Lists!$AA$3:$AB$18,2,FALSE)),1)</f>
        <v/>
      </c>
      <c r="DL152" s="79" t="str">
        <f>IFERROR(IF(N152="","",VLOOKUP(N152,Lists!$AC$3:$AD$13,2,FALSE)),1)</f>
        <v/>
      </c>
    </row>
    <row r="153" spans="1:116" ht="15" customHeight="1" x14ac:dyDescent="0.2">
      <c r="A153" s="20"/>
      <c r="B153" s="19"/>
      <c r="C153" s="64"/>
      <c r="D153" s="64"/>
      <c r="E153" s="19"/>
      <c r="F153" s="20"/>
      <c r="G153" s="18"/>
      <c r="H153" s="65"/>
      <c r="I153" s="18"/>
      <c r="J153" s="66"/>
      <c r="K153" s="66"/>
      <c r="L153" s="67"/>
      <c r="M153" s="68"/>
      <c r="N153" s="68"/>
      <c r="O153" s="69"/>
      <c r="P153" s="134"/>
      <c r="Q153" s="70"/>
      <c r="R153" s="134"/>
      <c r="S153" s="70"/>
      <c r="T153" s="134"/>
      <c r="U153" s="70"/>
      <c r="V153" s="134"/>
      <c r="W153" s="70"/>
      <c r="X153" s="134"/>
      <c r="Y153" s="70"/>
      <c r="Z153" s="134"/>
      <c r="AA153" s="70"/>
      <c r="AB153" s="19"/>
      <c r="AC153" s="20"/>
      <c r="AD153" s="19"/>
      <c r="AE153" s="71" t="str">
        <f t="shared" si="110"/>
        <v/>
      </c>
      <c r="AF153" s="71" t="str">
        <f t="shared" si="111"/>
        <v/>
      </c>
      <c r="AG153" s="71" t="str">
        <f t="shared" si="112"/>
        <v/>
      </c>
      <c r="AH153" s="71" t="str">
        <f t="shared" si="113"/>
        <v/>
      </c>
      <c r="AI153" s="71" t="str">
        <f t="shared" si="114"/>
        <v/>
      </c>
      <c r="AJ153" s="71" t="str">
        <f t="shared" si="115"/>
        <v/>
      </c>
      <c r="AK153" s="71" t="str">
        <f t="shared" si="116"/>
        <v/>
      </c>
      <c r="AL153" s="71" t="str">
        <f t="shared" si="117"/>
        <v/>
      </c>
      <c r="AM153" s="71" t="str">
        <f t="shared" si="118"/>
        <v/>
      </c>
      <c r="AN153" s="72" t="str">
        <f t="shared" si="119"/>
        <v/>
      </c>
      <c r="AO153" s="73" t="str">
        <f t="shared" si="120"/>
        <v/>
      </c>
      <c r="AP153" s="72" t="str">
        <f t="shared" si="121"/>
        <v/>
      </c>
      <c r="AQ153" s="72" t="str">
        <f t="shared" si="122"/>
        <v/>
      </c>
      <c r="AR153" s="72" t="str">
        <f t="shared" si="123"/>
        <v/>
      </c>
      <c r="AS153" s="72" t="str">
        <f t="shared" si="124"/>
        <v/>
      </c>
      <c r="AT153" s="72" t="str">
        <f t="shared" si="125"/>
        <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t="str">
        <f t="shared" si="126"/>
        <v/>
      </c>
      <c r="CO153" s="78" t="str">
        <f t="shared" si="127"/>
        <v/>
      </c>
      <c r="CP153" s="78" t="str">
        <f t="shared" si="128"/>
        <v/>
      </c>
      <c r="CQ153" s="78" t="str">
        <f t="shared" si="129"/>
        <v/>
      </c>
      <c r="CR153" s="78" t="str">
        <f t="shared" si="130"/>
        <v/>
      </c>
      <c r="CS153" s="78" t="str">
        <f t="shared" si="131"/>
        <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0</v>
      </c>
      <c r="DC153" s="78">
        <f t="shared" si="140"/>
        <v>0</v>
      </c>
      <c r="DD153" s="78">
        <f t="shared" si="141"/>
        <v>0</v>
      </c>
      <c r="DE153" s="78" t="str">
        <f t="shared" si="142"/>
        <v>1</v>
      </c>
      <c r="DF153" s="78" t="str">
        <f t="shared" si="143"/>
        <v>1</v>
      </c>
      <c r="DG153" s="78" t="str">
        <f t="shared" si="144"/>
        <v>1</v>
      </c>
      <c r="DH153" s="78" t="str">
        <f t="shared" si="145"/>
        <v>1</v>
      </c>
      <c r="DI153" s="79" t="str">
        <f>IFERROR(IF(J153="","",VLOOKUP(J153,Lists!$D$3:$E$13,2,FALSE)),1)</f>
        <v/>
      </c>
      <c r="DJ153" s="79" t="str">
        <f>IFERROR(IF(K153="","",VLOOKUP(K153,Lists!$F$3:$G$14,2,FALSE)),1)</f>
        <v/>
      </c>
      <c r="DK153" s="79" t="str">
        <f>IFERROR(IF(M153="","",VLOOKUP(M153,Lists!$AA$3:$AB$18,2,FALSE)),1)</f>
        <v/>
      </c>
      <c r="DL153" s="79" t="str">
        <f>IFERROR(IF(N153="","",VLOOKUP(N153,Lists!$AC$3:$AD$13,2,FALSE)),1)</f>
        <v/>
      </c>
    </row>
    <row r="154" spans="1:116" ht="15" customHeight="1" x14ac:dyDescent="0.2">
      <c r="A154" s="20"/>
      <c r="B154" s="19"/>
      <c r="C154" s="64"/>
      <c r="D154" s="64"/>
      <c r="E154" s="19"/>
      <c r="F154" s="20"/>
      <c r="G154" s="18"/>
      <c r="H154" s="65"/>
      <c r="I154" s="18"/>
      <c r="J154" s="66"/>
      <c r="K154" s="66"/>
      <c r="L154" s="67"/>
      <c r="M154" s="68"/>
      <c r="N154" s="68"/>
      <c r="O154" s="69"/>
      <c r="P154" s="134"/>
      <c r="Q154" s="70"/>
      <c r="R154" s="134"/>
      <c r="S154" s="70"/>
      <c r="T154" s="134"/>
      <c r="U154" s="70"/>
      <c r="V154" s="134"/>
      <c r="W154" s="70"/>
      <c r="X154" s="134"/>
      <c r="Y154" s="70"/>
      <c r="Z154" s="134"/>
      <c r="AA154" s="70"/>
      <c r="AB154" s="19"/>
      <c r="AC154" s="20"/>
      <c r="AD154" s="19"/>
      <c r="AE154" s="71" t="str">
        <f t="shared" si="110"/>
        <v/>
      </c>
      <c r="AF154" s="71" t="str">
        <f t="shared" si="111"/>
        <v/>
      </c>
      <c r="AG154" s="71" t="str">
        <f t="shared" si="112"/>
        <v/>
      </c>
      <c r="AH154" s="71" t="str">
        <f t="shared" si="113"/>
        <v/>
      </c>
      <c r="AI154" s="71" t="str">
        <f t="shared" si="114"/>
        <v/>
      </c>
      <c r="AJ154" s="71" t="str">
        <f t="shared" si="115"/>
        <v/>
      </c>
      <c r="AK154" s="71" t="str">
        <f t="shared" si="116"/>
        <v/>
      </c>
      <c r="AL154" s="71" t="str">
        <f t="shared" si="117"/>
        <v/>
      </c>
      <c r="AM154" s="71" t="str">
        <f t="shared" si="118"/>
        <v/>
      </c>
      <c r="AN154" s="72" t="str">
        <f t="shared" si="119"/>
        <v/>
      </c>
      <c r="AO154" s="73" t="str">
        <f t="shared" si="120"/>
        <v/>
      </c>
      <c r="AP154" s="72" t="str">
        <f t="shared" si="121"/>
        <v/>
      </c>
      <c r="AQ154" s="72" t="str">
        <f t="shared" si="122"/>
        <v/>
      </c>
      <c r="AR154" s="72" t="str">
        <f t="shared" si="123"/>
        <v/>
      </c>
      <c r="AS154" s="72" t="str">
        <f t="shared" si="124"/>
        <v/>
      </c>
      <c r="AT154" s="72" t="str">
        <f t="shared" si="125"/>
        <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t="str">
        <f t="shared" si="126"/>
        <v/>
      </c>
      <c r="CO154" s="78" t="str">
        <f t="shared" si="127"/>
        <v/>
      </c>
      <c r="CP154" s="78" t="str">
        <f t="shared" si="128"/>
        <v/>
      </c>
      <c r="CQ154" s="78" t="str">
        <f t="shared" si="129"/>
        <v/>
      </c>
      <c r="CR154" s="78" t="str">
        <f t="shared" si="130"/>
        <v/>
      </c>
      <c r="CS154" s="78" t="str">
        <f t="shared" si="131"/>
        <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0</v>
      </c>
      <c r="DC154" s="78">
        <f t="shared" si="140"/>
        <v>0</v>
      </c>
      <c r="DD154" s="78">
        <f t="shared" si="141"/>
        <v>0</v>
      </c>
      <c r="DE154" s="78" t="str">
        <f t="shared" si="142"/>
        <v>1</v>
      </c>
      <c r="DF154" s="78" t="str">
        <f t="shared" si="143"/>
        <v>1</v>
      </c>
      <c r="DG154" s="78" t="str">
        <f t="shared" si="144"/>
        <v>1</v>
      </c>
      <c r="DH154" s="78" t="str">
        <f t="shared" si="145"/>
        <v>1</v>
      </c>
      <c r="DI154" s="79" t="str">
        <f>IFERROR(IF(J154="","",VLOOKUP(J154,Lists!$D$3:$E$13,2,FALSE)),1)</f>
        <v/>
      </c>
      <c r="DJ154" s="79" t="str">
        <f>IFERROR(IF(K154="","",VLOOKUP(K154,Lists!$F$3:$G$14,2,FALSE)),1)</f>
        <v/>
      </c>
      <c r="DK154" s="79" t="str">
        <f>IFERROR(IF(M154="","",VLOOKUP(M154,Lists!$AA$3:$AB$18,2,FALSE)),1)</f>
        <v/>
      </c>
      <c r="DL154" s="79" t="str">
        <f>IFERROR(IF(N154="","",VLOOKUP(N154,Lists!$AC$3:$AD$13,2,FALSE)),1)</f>
        <v/>
      </c>
    </row>
    <row r="155" spans="1:116" ht="15" customHeight="1" x14ac:dyDescent="0.2">
      <c r="A155" s="20"/>
      <c r="B155" s="19"/>
      <c r="C155" s="64"/>
      <c r="D155" s="64"/>
      <c r="E155" s="19"/>
      <c r="F155" s="20"/>
      <c r="G155" s="18"/>
      <c r="H155" s="65"/>
      <c r="I155" s="18"/>
      <c r="J155" s="66"/>
      <c r="K155" s="66"/>
      <c r="L155" s="67"/>
      <c r="M155" s="68"/>
      <c r="N155" s="68"/>
      <c r="O155" s="69"/>
      <c r="P155" s="134"/>
      <c r="Q155" s="70"/>
      <c r="R155" s="134"/>
      <c r="S155" s="70"/>
      <c r="T155" s="134"/>
      <c r="U155" s="70"/>
      <c r="V155" s="134"/>
      <c r="W155" s="70"/>
      <c r="X155" s="134"/>
      <c r="Y155" s="70"/>
      <c r="Z155" s="134"/>
      <c r="AA155" s="70"/>
      <c r="AB155" s="19"/>
      <c r="AC155" s="20"/>
      <c r="AD155" s="19"/>
      <c r="AE155" s="71" t="str">
        <f t="shared" si="110"/>
        <v/>
      </c>
      <c r="AF155" s="71" t="str">
        <f t="shared" si="111"/>
        <v/>
      </c>
      <c r="AG155" s="71" t="str">
        <f t="shared" si="112"/>
        <v/>
      </c>
      <c r="AH155" s="71" t="str">
        <f t="shared" si="113"/>
        <v/>
      </c>
      <c r="AI155" s="71" t="str">
        <f t="shared" si="114"/>
        <v/>
      </c>
      <c r="AJ155" s="71" t="str">
        <f t="shared" si="115"/>
        <v/>
      </c>
      <c r="AK155" s="71" t="str">
        <f t="shared" si="116"/>
        <v/>
      </c>
      <c r="AL155" s="71" t="str">
        <f t="shared" si="117"/>
        <v/>
      </c>
      <c r="AM155" s="71" t="str">
        <f t="shared" si="118"/>
        <v/>
      </c>
      <c r="AN155" s="72" t="str">
        <f t="shared" si="119"/>
        <v/>
      </c>
      <c r="AO155" s="73" t="str">
        <f t="shared" si="120"/>
        <v/>
      </c>
      <c r="AP155" s="72" t="str">
        <f t="shared" si="121"/>
        <v/>
      </c>
      <c r="AQ155" s="72" t="str">
        <f t="shared" si="122"/>
        <v/>
      </c>
      <c r="AR155" s="72" t="str">
        <f t="shared" si="123"/>
        <v/>
      </c>
      <c r="AS155" s="72" t="str">
        <f t="shared" si="124"/>
        <v/>
      </c>
      <c r="AT155" s="72" t="str">
        <f t="shared" si="125"/>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t="str">
        <f t="shared" si="126"/>
        <v/>
      </c>
      <c r="CO155" s="78" t="str">
        <f t="shared" si="127"/>
        <v/>
      </c>
      <c r="CP155" s="78" t="str">
        <f t="shared" si="128"/>
        <v/>
      </c>
      <c r="CQ155" s="78" t="str">
        <f t="shared" si="129"/>
        <v/>
      </c>
      <c r="CR155" s="78" t="str">
        <f t="shared" si="130"/>
        <v/>
      </c>
      <c r="CS155" s="78" t="str">
        <f t="shared" si="131"/>
        <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0</v>
      </c>
      <c r="DC155" s="78">
        <f t="shared" si="140"/>
        <v>0</v>
      </c>
      <c r="DD155" s="78">
        <f t="shared" si="141"/>
        <v>0</v>
      </c>
      <c r="DE155" s="78" t="str">
        <f t="shared" si="142"/>
        <v>1</v>
      </c>
      <c r="DF155" s="78" t="str">
        <f t="shared" si="143"/>
        <v>1</v>
      </c>
      <c r="DG155" s="78" t="str">
        <f t="shared" si="144"/>
        <v>1</v>
      </c>
      <c r="DH155" s="78" t="str">
        <f t="shared" si="145"/>
        <v>1</v>
      </c>
      <c r="DI155" s="79" t="str">
        <f>IFERROR(IF(J155="","",VLOOKUP(J155,Lists!$D$3:$E$13,2,FALSE)),1)</f>
        <v/>
      </c>
      <c r="DJ155" s="79" t="str">
        <f>IFERROR(IF(K155="","",VLOOKUP(K155,Lists!$F$3:$G$14,2,FALSE)),1)</f>
        <v/>
      </c>
      <c r="DK155" s="79" t="str">
        <f>IFERROR(IF(M155="","",VLOOKUP(M155,Lists!$AA$3:$AB$18,2,FALSE)),1)</f>
        <v/>
      </c>
      <c r="DL155" s="79" t="str">
        <f>IFERROR(IF(N155="","",VLOOKUP(N155,Lists!$AC$3:$AD$13,2,FALSE)),1)</f>
        <v/>
      </c>
    </row>
    <row r="156" spans="1:116" ht="15" customHeight="1" x14ac:dyDescent="0.2">
      <c r="A156" s="20"/>
      <c r="B156" s="19"/>
      <c r="C156" s="64"/>
      <c r="D156" s="64"/>
      <c r="E156" s="19"/>
      <c r="F156" s="20"/>
      <c r="G156" s="18"/>
      <c r="H156" s="65"/>
      <c r="I156" s="18"/>
      <c r="J156" s="66"/>
      <c r="K156" s="66"/>
      <c r="L156" s="67"/>
      <c r="M156" s="68"/>
      <c r="N156" s="68"/>
      <c r="O156" s="69"/>
      <c r="P156" s="134"/>
      <c r="Q156" s="70"/>
      <c r="R156" s="134"/>
      <c r="S156" s="70"/>
      <c r="T156" s="134"/>
      <c r="U156" s="70"/>
      <c r="V156" s="134"/>
      <c r="W156" s="70"/>
      <c r="X156" s="134"/>
      <c r="Y156" s="70"/>
      <c r="Z156" s="134"/>
      <c r="AA156" s="70"/>
      <c r="AB156" s="19"/>
      <c r="AC156" s="20"/>
      <c r="AD156" s="19"/>
      <c r="AE156" s="71" t="str">
        <f t="shared" si="110"/>
        <v/>
      </c>
      <c r="AF156" s="71" t="str">
        <f t="shared" si="111"/>
        <v/>
      </c>
      <c r="AG156" s="71" t="str">
        <f t="shared" si="112"/>
        <v/>
      </c>
      <c r="AH156" s="71" t="str">
        <f t="shared" si="113"/>
        <v/>
      </c>
      <c r="AI156" s="71" t="str">
        <f t="shared" si="114"/>
        <v/>
      </c>
      <c r="AJ156" s="71" t="str">
        <f t="shared" si="115"/>
        <v/>
      </c>
      <c r="AK156" s="71" t="str">
        <f t="shared" si="116"/>
        <v/>
      </c>
      <c r="AL156" s="71" t="str">
        <f t="shared" si="117"/>
        <v/>
      </c>
      <c r="AM156" s="71" t="str">
        <f t="shared" si="118"/>
        <v/>
      </c>
      <c r="AN156" s="72" t="str">
        <f t="shared" si="119"/>
        <v/>
      </c>
      <c r="AO156" s="73" t="str">
        <f t="shared" si="120"/>
        <v/>
      </c>
      <c r="AP156" s="72" t="str">
        <f t="shared" si="121"/>
        <v/>
      </c>
      <c r="AQ156" s="72" t="str">
        <f t="shared" si="122"/>
        <v/>
      </c>
      <c r="AR156" s="72" t="str">
        <f t="shared" si="123"/>
        <v/>
      </c>
      <c r="AS156" s="72" t="str">
        <f t="shared" si="124"/>
        <v/>
      </c>
      <c r="AT156" s="72" t="str">
        <f t="shared" si="125"/>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t="str">
        <f t="shared" si="126"/>
        <v/>
      </c>
      <c r="CO156" s="78" t="str">
        <f t="shared" si="127"/>
        <v/>
      </c>
      <c r="CP156" s="78" t="str">
        <f t="shared" si="128"/>
        <v/>
      </c>
      <c r="CQ156" s="78" t="str">
        <f t="shared" si="129"/>
        <v/>
      </c>
      <c r="CR156" s="78" t="str">
        <f t="shared" si="130"/>
        <v/>
      </c>
      <c r="CS156" s="78" t="str">
        <f t="shared" si="131"/>
        <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0</v>
      </c>
      <c r="DC156" s="78">
        <f t="shared" si="140"/>
        <v>0</v>
      </c>
      <c r="DD156" s="78">
        <f t="shared" si="141"/>
        <v>0</v>
      </c>
      <c r="DE156" s="78" t="str">
        <f t="shared" si="142"/>
        <v>1</v>
      </c>
      <c r="DF156" s="78" t="str">
        <f t="shared" si="143"/>
        <v>1</v>
      </c>
      <c r="DG156" s="78" t="str">
        <f t="shared" si="144"/>
        <v>1</v>
      </c>
      <c r="DH156" s="78" t="str">
        <f t="shared" si="145"/>
        <v>1</v>
      </c>
      <c r="DI156" s="79" t="str">
        <f>IFERROR(IF(J156="","",VLOOKUP(J156,Lists!$D$3:$E$13,2,FALSE)),1)</f>
        <v/>
      </c>
      <c r="DJ156" s="79" t="str">
        <f>IFERROR(IF(K156="","",VLOOKUP(K156,Lists!$F$3:$G$14,2,FALSE)),1)</f>
        <v/>
      </c>
      <c r="DK156" s="79" t="str">
        <f>IFERROR(IF(M156="","",VLOOKUP(M156,Lists!$AA$3:$AB$18,2,FALSE)),1)</f>
        <v/>
      </c>
      <c r="DL156" s="79" t="str">
        <f>IFERROR(IF(N156="","",VLOOKUP(N156,Lists!$AC$3:$AD$13,2,FALSE)),1)</f>
        <v/>
      </c>
    </row>
    <row r="157" spans="1:116" ht="15" customHeight="1" x14ac:dyDescent="0.2">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110"/>
        <v/>
      </c>
      <c r="AF157" s="71" t="str">
        <f t="shared" si="111"/>
        <v/>
      </c>
      <c r="AG157" s="71" t="str">
        <f t="shared" si="112"/>
        <v/>
      </c>
      <c r="AH157" s="71" t="str">
        <f t="shared" si="113"/>
        <v/>
      </c>
      <c r="AI157" s="71" t="str">
        <f t="shared" si="114"/>
        <v/>
      </c>
      <c r="AJ157" s="71" t="str">
        <f t="shared" si="115"/>
        <v/>
      </c>
      <c r="AK157" s="71" t="str">
        <f t="shared" si="116"/>
        <v/>
      </c>
      <c r="AL157" s="71" t="str">
        <f t="shared" si="117"/>
        <v/>
      </c>
      <c r="AM157" s="71" t="str">
        <f t="shared" si="118"/>
        <v/>
      </c>
      <c r="AN157" s="72" t="str">
        <f t="shared" si="119"/>
        <v/>
      </c>
      <c r="AO157" s="73" t="str">
        <f t="shared" si="120"/>
        <v/>
      </c>
      <c r="AP157" s="72" t="str">
        <f t="shared" si="121"/>
        <v/>
      </c>
      <c r="AQ157" s="72" t="str">
        <f t="shared" si="122"/>
        <v/>
      </c>
      <c r="AR157" s="72" t="str">
        <f t="shared" si="123"/>
        <v/>
      </c>
      <c r="AS157" s="72" t="str">
        <f t="shared" si="124"/>
        <v/>
      </c>
      <c r="AT157" s="72" t="str">
        <f t="shared" si="125"/>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26"/>
        <v/>
      </c>
      <c r="CO157" s="78" t="str">
        <f t="shared" si="127"/>
        <v/>
      </c>
      <c r="CP157" s="78" t="str">
        <f t="shared" si="128"/>
        <v/>
      </c>
      <c r="CQ157" s="78" t="str">
        <f t="shared" si="129"/>
        <v/>
      </c>
      <c r="CR157" s="78" t="str">
        <f t="shared" si="130"/>
        <v/>
      </c>
      <c r="CS157" s="78" t="str">
        <f t="shared" si="131"/>
        <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t="str">
        <f t="shared" si="142"/>
        <v>1</v>
      </c>
      <c r="DF157" s="78" t="str">
        <f t="shared" si="143"/>
        <v>1</v>
      </c>
      <c r="DG157" s="78" t="str">
        <f t="shared" si="144"/>
        <v>1</v>
      </c>
      <c r="DH157" s="78" t="str">
        <f t="shared" si="145"/>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2">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110"/>
        <v/>
      </c>
      <c r="AF158" s="71" t="str">
        <f t="shared" si="111"/>
        <v/>
      </c>
      <c r="AG158" s="71" t="str">
        <f t="shared" si="112"/>
        <v/>
      </c>
      <c r="AH158" s="71" t="str">
        <f t="shared" si="113"/>
        <v/>
      </c>
      <c r="AI158" s="71" t="str">
        <f t="shared" si="114"/>
        <v/>
      </c>
      <c r="AJ158" s="71" t="str">
        <f t="shared" si="115"/>
        <v/>
      </c>
      <c r="AK158" s="71" t="str">
        <f t="shared" si="116"/>
        <v/>
      </c>
      <c r="AL158" s="71" t="str">
        <f t="shared" si="117"/>
        <v/>
      </c>
      <c r="AM158" s="71" t="str">
        <f t="shared" si="118"/>
        <v/>
      </c>
      <c r="AN158" s="72" t="str">
        <f t="shared" si="119"/>
        <v/>
      </c>
      <c r="AO158" s="73" t="str">
        <f t="shared" si="120"/>
        <v/>
      </c>
      <c r="AP158" s="72" t="str">
        <f t="shared" si="121"/>
        <v/>
      </c>
      <c r="AQ158" s="72" t="str">
        <f t="shared" si="122"/>
        <v/>
      </c>
      <c r="AR158" s="72" t="str">
        <f t="shared" si="123"/>
        <v/>
      </c>
      <c r="AS158" s="72" t="str">
        <f t="shared" si="124"/>
        <v/>
      </c>
      <c r="AT158" s="72" t="str">
        <f t="shared" si="125"/>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26"/>
        <v/>
      </c>
      <c r="CO158" s="78" t="str">
        <f t="shared" si="127"/>
        <v/>
      </c>
      <c r="CP158" s="78" t="str">
        <f t="shared" si="128"/>
        <v/>
      </c>
      <c r="CQ158" s="78" t="str">
        <f t="shared" si="129"/>
        <v/>
      </c>
      <c r="CR158" s="78" t="str">
        <f t="shared" si="130"/>
        <v/>
      </c>
      <c r="CS158" s="78" t="str">
        <f t="shared" si="131"/>
        <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t="str">
        <f t="shared" si="142"/>
        <v>1</v>
      </c>
      <c r="DF158" s="78" t="str">
        <f t="shared" si="143"/>
        <v>1</v>
      </c>
      <c r="DG158" s="78" t="str">
        <f t="shared" si="144"/>
        <v>1</v>
      </c>
      <c r="DH158" s="78" t="str">
        <f t="shared" si="145"/>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2">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110"/>
        <v/>
      </c>
      <c r="AF159" s="71" t="str">
        <f t="shared" si="111"/>
        <v/>
      </c>
      <c r="AG159" s="71" t="str">
        <f t="shared" si="112"/>
        <v/>
      </c>
      <c r="AH159" s="71" t="str">
        <f t="shared" si="113"/>
        <v/>
      </c>
      <c r="AI159" s="71" t="str">
        <f t="shared" si="114"/>
        <v/>
      </c>
      <c r="AJ159" s="71" t="str">
        <f t="shared" si="115"/>
        <v/>
      </c>
      <c r="AK159" s="71" t="str">
        <f t="shared" si="116"/>
        <v/>
      </c>
      <c r="AL159" s="71" t="str">
        <f t="shared" si="117"/>
        <v/>
      </c>
      <c r="AM159" s="71" t="str">
        <f t="shared" si="118"/>
        <v/>
      </c>
      <c r="AN159" s="72" t="str">
        <f t="shared" si="119"/>
        <v/>
      </c>
      <c r="AO159" s="73" t="str">
        <f t="shared" si="120"/>
        <v/>
      </c>
      <c r="AP159" s="72" t="str">
        <f t="shared" si="121"/>
        <v/>
      </c>
      <c r="AQ159" s="72" t="str">
        <f t="shared" si="122"/>
        <v/>
      </c>
      <c r="AR159" s="72" t="str">
        <f t="shared" si="123"/>
        <v/>
      </c>
      <c r="AS159" s="72" t="str">
        <f t="shared" si="124"/>
        <v/>
      </c>
      <c r="AT159" s="72" t="str">
        <f t="shared" si="125"/>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26"/>
        <v/>
      </c>
      <c r="CO159" s="78" t="str">
        <f t="shared" si="127"/>
        <v/>
      </c>
      <c r="CP159" s="78" t="str">
        <f t="shared" si="128"/>
        <v/>
      </c>
      <c r="CQ159" s="78" t="str">
        <f t="shared" si="129"/>
        <v/>
      </c>
      <c r="CR159" s="78" t="str">
        <f t="shared" si="130"/>
        <v/>
      </c>
      <c r="CS159" s="78" t="str">
        <f t="shared" si="131"/>
        <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0</v>
      </c>
      <c r="DC159" s="78">
        <f t="shared" si="140"/>
        <v>0</v>
      </c>
      <c r="DD159" s="78">
        <f t="shared" si="141"/>
        <v>0</v>
      </c>
      <c r="DE159" s="78" t="str">
        <f t="shared" si="142"/>
        <v>1</v>
      </c>
      <c r="DF159" s="78" t="str">
        <f t="shared" si="143"/>
        <v>1</v>
      </c>
      <c r="DG159" s="78" t="str">
        <f t="shared" si="144"/>
        <v>1</v>
      </c>
      <c r="DH159" s="78" t="str">
        <f t="shared" si="145"/>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2">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110"/>
        <v/>
      </c>
      <c r="AF160" s="71" t="str">
        <f t="shared" si="111"/>
        <v/>
      </c>
      <c r="AG160" s="71" t="str">
        <f t="shared" si="112"/>
        <v/>
      </c>
      <c r="AH160" s="71" t="str">
        <f t="shared" si="113"/>
        <v/>
      </c>
      <c r="AI160" s="71" t="str">
        <f t="shared" si="114"/>
        <v/>
      </c>
      <c r="AJ160" s="71" t="str">
        <f t="shared" si="115"/>
        <v/>
      </c>
      <c r="AK160" s="71" t="str">
        <f t="shared" si="116"/>
        <v/>
      </c>
      <c r="AL160" s="71" t="str">
        <f t="shared" si="117"/>
        <v/>
      </c>
      <c r="AM160" s="71" t="str">
        <f t="shared" si="118"/>
        <v/>
      </c>
      <c r="AN160" s="72" t="str">
        <f t="shared" si="119"/>
        <v/>
      </c>
      <c r="AO160" s="73" t="str">
        <f t="shared" si="120"/>
        <v/>
      </c>
      <c r="AP160" s="72" t="str">
        <f t="shared" si="121"/>
        <v/>
      </c>
      <c r="AQ160" s="72" t="str">
        <f t="shared" si="122"/>
        <v/>
      </c>
      <c r="AR160" s="72" t="str">
        <f t="shared" si="123"/>
        <v/>
      </c>
      <c r="AS160" s="72" t="str">
        <f t="shared" si="124"/>
        <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26"/>
        <v/>
      </c>
      <c r="CO160" s="78" t="str">
        <f t="shared" si="127"/>
        <v/>
      </c>
      <c r="CP160" s="78" t="str">
        <f t="shared" si="128"/>
        <v/>
      </c>
      <c r="CQ160" s="78" t="str">
        <f t="shared" si="129"/>
        <v/>
      </c>
      <c r="CR160" s="78" t="str">
        <f t="shared" si="130"/>
        <v/>
      </c>
      <c r="CS160" s="78" t="str">
        <f t="shared" si="131"/>
        <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t="str">
        <f t="shared" si="142"/>
        <v>1</v>
      </c>
      <c r="DF160" s="78" t="str">
        <f t="shared" si="143"/>
        <v>1</v>
      </c>
      <c r="DG160" s="78" t="str">
        <f t="shared" si="144"/>
        <v>1</v>
      </c>
      <c r="DH160" s="78" t="str">
        <f t="shared" si="145"/>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2">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110"/>
        <v/>
      </c>
      <c r="AF161" s="71" t="str">
        <f t="shared" si="111"/>
        <v/>
      </c>
      <c r="AG161" s="71" t="str">
        <f t="shared" si="112"/>
        <v/>
      </c>
      <c r="AH161" s="71" t="str">
        <f t="shared" si="113"/>
        <v/>
      </c>
      <c r="AI161" s="71" t="str">
        <f t="shared" si="114"/>
        <v/>
      </c>
      <c r="AJ161" s="71" t="str">
        <f t="shared" si="115"/>
        <v/>
      </c>
      <c r="AK161" s="71" t="str">
        <f t="shared" si="116"/>
        <v/>
      </c>
      <c r="AL161" s="71" t="str">
        <f t="shared" si="117"/>
        <v/>
      </c>
      <c r="AM161" s="71" t="str">
        <f t="shared" si="118"/>
        <v/>
      </c>
      <c r="AN161" s="72" t="str">
        <f t="shared" si="119"/>
        <v/>
      </c>
      <c r="AO161" s="73" t="str">
        <f t="shared" si="120"/>
        <v/>
      </c>
      <c r="AP161" s="72" t="str">
        <f t="shared" si="121"/>
        <v/>
      </c>
      <c r="AQ161" s="72" t="str">
        <f t="shared" si="122"/>
        <v/>
      </c>
      <c r="AR161" s="72" t="str">
        <f t="shared" si="123"/>
        <v/>
      </c>
      <c r="AS161" s="72" t="str">
        <f t="shared" si="124"/>
        <v/>
      </c>
      <c r="AT161" s="72" t="str">
        <f t="shared" si="125"/>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26"/>
        <v/>
      </c>
      <c r="CO161" s="78" t="str">
        <f t="shared" si="127"/>
        <v/>
      </c>
      <c r="CP161" s="78" t="str">
        <f t="shared" si="128"/>
        <v/>
      </c>
      <c r="CQ161" s="78" t="str">
        <f t="shared" si="129"/>
        <v/>
      </c>
      <c r="CR161" s="78" t="str">
        <f t="shared" si="130"/>
        <v/>
      </c>
      <c r="CS161" s="78" t="str">
        <f t="shared" si="131"/>
        <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t="str">
        <f t="shared" si="142"/>
        <v>1</v>
      </c>
      <c r="DF161" s="78" t="str">
        <f t="shared" si="143"/>
        <v>1</v>
      </c>
      <c r="DG161" s="78" t="str">
        <f t="shared" si="144"/>
        <v>1</v>
      </c>
      <c r="DH161" s="78" t="str">
        <f t="shared" si="145"/>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2">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110"/>
        <v/>
      </c>
      <c r="AF162" s="71" t="str">
        <f t="shared" si="111"/>
        <v/>
      </c>
      <c r="AG162" s="71" t="str">
        <f t="shared" si="112"/>
        <v/>
      </c>
      <c r="AH162" s="71" t="str">
        <f t="shared" si="113"/>
        <v/>
      </c>
      <c r="AI162" s="71" t="str">
        <f t="shared" si="114"/>
        <v/>
      </c>
      <c r="AJ162" s="71" t="str">
        <f t="shared" si="115"/>
        <v/>
      </c>
      <c r="AK162" s="71" t="str">
        <f t="shared" si="116"/>
        <v/>
      </c>
      <c r="AL162" s="71" t="str">
        <f t="shared" si="117"/>
        <v/>
      </c>
      <c r="AM162" s="71" t="str">
        <f t="shared" si="118"/>
        <v/>
      </c>
      <c r="AN162" s="72" t="str">
        <f t="shared" si="119"/>
        <v/>
      </c>
      <c r="AO162" s="73" t="str">
        <f t="shared" si="120"/>
        <v/>
      </c>
      <c r="AP162" s="72" t="str">
        <f t="shared" si="121"/>
        <v/>
      </c>
      <c r="AQ162" s="72" t="str">
        <f t="shared" si="122"/>
        <v/>
      </c>
      <c r="AR162" s="72" t="str">
        <f t="shared" si="123"/>
        <v/>
      </c>
      <c r="AS162" s="72" t="str">
        <f t="shared" si="124"/>
        <v/>
      </c>
      <c r="AT162" s="72" t="str">
        <f t="shared" si="125"/>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26"/>
        <v/>
      </c>
      <c r="CO162" s="78" t="str">
        <f t="shared" si="127"/>
        <v/>
      </c>
      <c r="CP162" s="78" t="str">
        <f t="shared" si="128"/>
        <v/>
      </c>
      <c r="CQ162" s="78" t="str">
        <f t="shared" si="129"/>
        <v/>
      </c>
      <c r="CR162" s="78" t="str">
        <f t="shared" si="130"/>
        <v/>
      </c>
      <c r="CS162" s="78" t="str">
        <f t="shared" si="131"/>
        <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t="str">
        <f t="shared" si="142"/>
        <v>1</v>
      </c>
      <c r="DF162" s="78" t="str">
        <f t="shared" si="143"/>
        <v>1</v>
      </c>
      <c r="DG162" s="78" t="str">
        <f t="shared" si="144"/>
        <v>1</v>
      </c>
      <c r="DH162" s="78" t="str">
        <f t="shared" si="145"/>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2">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110"/>
        <v/>
      </c>
      <c r="AF163" s="71" t="str">
        <f t="shared" si="111"/>
        <v/>
      </c>
      <c r="AG163" s="71" t="str">
        <f t="shared" si="112"/>
        <v/>
      </c>
      <c r="AH163" s="71" t="str">
        <f t="shared" si="113"/>
        <v/>
      </c>
      <c r="AI163" s="71" t="str">
        <f t="shared" si="114"/>
        <v/>
      </c>
      <c r="AJ163" s="71" t="str">
        <f t="shared" si="115"/>
        <v/>
      </c>
      <c r="AK163" s="71" t="str">
        <f t="shared" si="116"/>
        <v/>
      </c>
      <c r="AL163" s="71" t="str">
        <f t="shared" si="117"/>
        <v/>
      </c>
      <c r="AM163" s="71" t="str">
        <f t="shared" si="118"/>
        <v/>
      </c>
      <c r="AN163" s="72" t="str">
        <f t="shared" si="119"/>
        <v/>
      </c>
      <c r="AO163" s="73" t="str">
        <f t="shared" si="120"/>
        <v/>
      </c>
      <c r="AP163" s="72" t="str">
        <f t="shared" si="121"/>
        <v/>
      </c>
      <c r="AQ163" s="72" t="str">
        <f t="shared" si="122"/>
        <v/>
      </c>
      <c r="AR163" s="72" t="str">
        <f t="shared" si="123"/>
        <v/>
      </c>
      <c r="AS163" s="72" t="str">
        <f t="shared" si="124"/>
        <v/>
      </c>
      <c r="AT163" s="72" t="str">
        <f t="shared" si="125"/>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26"/>
        <v/>
      </c>
      <c r="CO163" s="78" t="str">
        <f t="shared" si="127"/>
        <v/>
      </c>
      <c r="CP163" s="78" t="str">
        <f t="shared" si="128"/>
        <v/>
      </c>
      <c r="CQ163" s="78" t="str">
        <f t="shared" si="129"/>
        <v/>
      </c>
      <c r="CR163" s="78" t="str">
        <f t="shared" si="130"/>
        <v/>
      </c>
      <c r="CS163" s="78" t="str">
        <f t="shared" si="131"/>
        <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t="str">
        <f t="shared" si="142"/>
        <v>1</v>
      </c>
      <c r="DF163" s="78" t="str">
        <f t="shared" si="143"/>
        <v>1</v>
      </c>
      <c r="DG163" s="78" t="str">
        <f t="shared" si="144"/>
        <v>1</v>
      </c>
      <c r="DH163" s="78" t="str">
        <f t="shared" si="145"/>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2">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110"/>
        <v/>
      </c>
      <c r="AF164" s="71" t="str">
        <f t="shared" si="111"/>
        <v/>
      </c>
      <c r="AG164" s="71" t="str">
        <f t="shared" si="112"/>
        <v/>
      </c>
      <c r="AH164" s="71" t="str">
        <f t="shared" si="113"/>
        <v/>
      </c>
      <c r="AI164" s="71" t="str">
        <f t="shared" si="114"/>
        <v/>
      </c>
      <c r="AJ164" s="71" t="str">
        <f t="shared" si="115"/>
        <v/>
      </c>
      <c r="AK164" s="71" t="str">
        <f t="shared" si="116"/>
        <v/>
      </c>
      <c r="AL164" s="71" t="str">
        <f t="shared" si="117"/>
        <v/>
      </c>
      <c r="AM164" s="71" t="str">
        <f t="shared" si="118"/>
        <v/>
      </c>
      <c r="AN164" s="72" t="str">
        <f t="shared" si="119"/>
        <v/>
      </c>
      <c r="AO164" s="73" t="str">
        <f t="shared" si="120"/>
        <v/>
      </c>
      <c r="AP164" s="72" t="str">
        <f t="shared" si="121"/>
        <v/>
      </c>
      <c r="AQ164" s="72" t="str">
        <f t="shared" si="122"/>
        <v/>
      </c>
      <c r="AR164" s="72" t="str">
        <f t="shared" si="123"/>
        <v/>
      </c>
      <c r="AS164" s="72" t="str">
        <f t="shared" si="124"/>
        <v/>
      </c>
      <c r="AT164" s="72" t="str">
        <f t="shared" si="125"/>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26"/>
        <v/>
      </c>
      <c r="CO164" s="78" t="str">
        <f t="shared" si="127"/>
        <v/>
      </c>
      <c r="CP164" s="78" t="str">
        <f t="shared" si="128"/>
        <v/>
      </c>
      <c r="CQ164" s="78" t="str">
        <f t="shared" si="129"/>
        <v/>
      </c>
      <c r="CR164" s="78" t="str">
        <f t="shared" si="130"/>
        <v/>
      </c>
      <c r="CS164" s="78" t="str">
        <f t="shared" si="131"/>
        <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t="str">
        <f t="shared" si="142"/>
        <v>1</v>
      </c>
      <c r="DF164" s="78" t="str">
        <f t="shared" si="143"/>
        <v>1</v>
      </c>
      <c r="DG164" s="78" t="str">
        <f t="shared" si="144"/>
        <v>1</v>
      </c>
      <c r="DH164" s="78" t="str">
        <f t="shared" si="145"/>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2">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110"/>
        <v/>
      </c>
      <c r="AF165" s="71" t="str">
        <f t="shared" si="111"/>
        <v/>
      </c>
      <c r="AG165" s="71" t="str">
        <f t="shared" si="112"/>
        <v/>
      </c>
      <c r="AH165" s="71" t="str">
        <f t="shared" si="113"/>
        <v/>
      </c>
      <c r="AI165" s="71" t="str">
        <f t="shared" si="114"/>
        <v/>
      </c>
      <c r="AJ165" s="71" t="str">
        <f t="shared" si="115"/>
        <v/>
      </c>
      <c r="AK165" s="71" t="str">
        <f t="shared" si="116"/>
        <v/>
      </c>
      <c r="AL165" s="71" t="str">
        <f t="shared" si="117"/>
        <v/>
      </c>
      <c r="AM165" s="71" t="str">
        <f t="shared" si="118"/>
        <v/>
      </c>
      <c r="AN165" s="72" t="str">
        <f t="shared" si="119"/>
        <v/>
      </c>
      <c r="AO165" s="73" t="str">
        <f t="shared" si="120"/>
        <v/>
      </c>
      <c r="AP165" s="72" t="str">
        <f t="shared" si="121"/>
        <v/>
      </c>
      <c r="AQ165" s="72" t="str">
        <f t="shared" si="122"/>
        <v/>
      </c>
      <c r="AR165" s="72" t="str">
        <f t="shared" si="123"/>
        <v/>
      </c>
      <c r="AS165" s="72" t="str">
        <f t="shared" si="124"/>
        <v/>
      </c>
      <c r="AT165" s="72" t="str">
        <f t="shared" si="125"/>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26"/>
        <v/>
      </c>
      <c r="CO165" s="78" t="str">
        <f t="shared" si="127"/>
        <v/>
      </c>
      <c r="CP165" s="78" t="str">
        <f t="shared" si="128"/>
        <v/>
      </c>
      <c r="CQ165" s="78" t="str">
        <f t="shared" si="129"/>
        <v/>
      </c>
      <c r="CR165" s="78" t="str">
        <f t="shared" si="130"/>
        <v/>
      </c>
      <c r="CS165" s="78" t="str">
        <f t="shared" si="131"/>
        <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0</v>
      </c>
      <c r="DC165" s="78">
        <f t="shared" si="140"/>
        <v>0</v>
      </c>
      <c r="DD165" s="78">
        <f t="shared" si="141"/>
        <v>0</v>
      </c>
      <c r="DE165" s="78" t="str">
        <f t="shared" si="142"/>
        <v>1</v>
      </c>
      <c r="DF165" s="78" t="str">
        <f t="shared" si="143"/>
        <v>1</v>
      </c>
      <c r="DG165" s="78" t="str">
        <f t="shared" si="144"/>
        <v>1</v>
      </c>
      <c r="DH165" s="78" t="str">
        <f t="shared" si="145"/>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2">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110"/>
        <v/>
      </c>
      <c r="AF166" s="71" t="str">
        <f t="shared" si="111"/>
        <v/>
      </c>
      <c r="AG166" s="71" t="str">
        <f t="shared" si="112"/>
        <v/>
      </c>
      <c r="AH166" s="71" t="str">
        <f t="shared" si="113"/>
        <v/>
      </c>
      <c r="AI166" s="71" t="str">
        <f t="shared" si="114"/>
        <v/>
      </c>
      <c r="AJ166" s="71" t="str">
        <f t="shared" si="115"/>
        <v/>
      </c>
      <c r="AK166" s="71" t="str">
        <f t="shared" si="116"/>
        <v/>
      </c>
      <c r="AL166" s="71" t="str">
        <f t="shared" si="117"/>
        <v/>
      </c>
      <c r="AM166" s="71" t="str">
        <f t="shared" si="118"/>
        <v/>
      </c>
      <c r="AN166" s="72" t="str">
        <f t="shared" si="119"/>
        <v/>
      </c>
      <c r="AO166" s="73" t="str">
        <f t="shared" si="120"/>
        <v/>
      </c>
      <c r="AP166" s="72" t="str">
        <f t="shared" si="121"/>
        <v/>
      </c>
      <c r="AQ166" s="72" t="str">
        <f t="shared" si="122"/>
        <v/>
      </c>
      <c r="AR166" s="72" t="str">
        <f t="shared" si="123"/>
        <v/>
      </c>
      <c r="AS166" s="72" t="str">
        <f t="shared" si="124"/>
        <v/>
      </c>
      <c r="AT166" s="72" t="str">
        <f t="shared" si="125"/>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26"/>
        <v/>
      </c>
      <c r="CO166" s="78" t="str">
        <f t="shared" si="127"/>
        <v/>
      </c>
      <c r="CP166" s="78" t="str">
        <f t="shared" si="128"/>
        <v/>
      </c>
      <c r="CQ166" s="78" t="str">
        <f t="shared" si="129"/>
        <v/>
      </c>
      <c r="CR166" s="78" t="str">
        <f t="shared" si="130"/>
        <v/>
      </c>
      <c r="CS166" s="78" t="str">
        <f t="shared" si="131"/>
        <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t="str">
        <f t="shared" si="142"/>
        <v>1</v>
      </c>
      <c r="DF166" s="78" t="str">
        <f t="shared" si="143"/>
        <v>1</v>
      </c>
      <c r="DG166" s="78" t="str">
        <f t="shared" si="144"/>
        <v>1</v>
      </c>
      <c r="DH166" s="78" t="str">
        <f t="shared" si="145"/>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9nLCpOIl+PXKV74O3e5YZnA0XbKFuIRnMwKgcs0GCrjB3nhXbkmqmm6mfs2lVSDEd6ggiHUlwP0GfrWEo9gfkw==" saltValue="GKiUeSJNW6uPapdV3McD7w==" spinCount="100000" sheet="1" selectLockedCells="1" autoFilter="0"/>
  <autoFilter ref="A1:DL1289"/>
  <sortState ref="G920:G934">
    <sortCondition ref="G920"/>
  </sortState>
  <mergeCells count="31">
    <mergeCell ref="BH73:BI73"/>
    <mergeCell ref="BH74:BI74"/>
    <mergeCell ref="BH75:BI75"/>
    <mergeCell ref="BH76:BI76"/>
    <mergeCell ref="BH77:BI77"/>
    <mergeCell ref="BH68:BI68"/>
    <mergeCell ref="BH69:BI69"/>
    <mergeCell ref="BH70:BI70"/>
    <mergeCell ref="BH71:BI71"/>
    <mergeCell ref="BH72:BI72"/>
    <mergeCell ref="BH63:BI63"/>
    <mergeCell ref="BH64:BI64"/>
    <mergeCell ref="BH65:BI65"/>
    <mergeCell ref="BH66:BI66"/>
    <mergeCell ref="BH67:BI67"/>
    <mergeCell ref="BH58:BI58"/>
    <mergeCell ref="BH59:BI59"/>
    <mergeCell ref="BH60:BI60"/>
    <mergeCell ref="BH61:BI61"/>
    <mergeCell ref="BH62:BI62"/>
    <mergeCell ref="BH52:BI52"/>
    <mergeCell ref="BH54:BI54"/>
    <mergeCell ref="BH55:BI55"/>
    <mergeCell ref="BH56:BI56"/>
    <mergeCell ref="BH57:BI57"/>
    <mergeCell ref="BH53:BI53"/>
    <mergeCell ref="BH4:BJ6"/>
    <mergeCell ref="BH9:BI9"/>
    <mergeCell ref="BH10:BI10"/>
    <mergeCell ref="BH50:BI50"/>
    <mergeCell ref="BH51:BI51"/>
  </mergeCells>
  <conditionalFormatting sqref="D2:D1288">
    <cfRule type="expression" priority="5">
      <formula>"Yes, No"</formula>
    </cfRule>
  </conditionalFormatting>
  <conditionalFormatting sqref="H2:H1288">
    <cfRule type="expression" dxfId="20" priority="24">
      <formula>$G2="No"</formula>
    </cfRule>
  </conditionalFormatting>
  <conditionalFormatting sqref="J2:L2 L3 J3:J1288 K4:L601">
    <cfRule type="expression" dxfId="19" priority="17">
      <formula>$I2="No"</formula>
    </cfRule>
  </conditionalFormatting>
  <conditionalFormatting sqref="K3">
    <cfRule type="expression" dxfId="18" priority="2">
      <formula>$I3="No"</formula>
    </cfRule>
  </conditionalFormatting>
  <conditionalFormatting sqref="L2:L601">
    <cfRule type="expression" dxfId="17" priority="16">
      <formula>$K2="Other"</formula>
    </cfRule>
  </conditionalFormatting>
  <conditionalFormatting sqref="M2:O601">
    <cfRule type="expression" dxfId="16" priority="18">
      <formula>$I2="Yes"</formula>
    </cfRule>
  </conditionalFormatting>
  <conditionalFormatting sqref="O2:O601">
    <cfRule type="expression" dxfId="15" priority="15">
      <formula>$N2="Other"</formula>
    </cfRule>
  </conditionalFormatting>
  <conditionalFormatting sqref="P2:Z601">
    <cfRule type="expression" dxfId="14" priority="19">
      <formula>$G2="Yes"</formula>
    </cfRule>
  </conditionalFormatting>
  <conditionalFormatting sqref="AA2:AD1288">
    <cfRule type="expression" dxfId="13" priority="4">
      <formula>$H2="Patient No Show"</formula>
    </cfRule>
  </conditionalFormatting>
  <conditionalFormatting sqref="AB2:AB601">
    <cfRule type="expression" dxfId="12" priority="7">
      <formula>$AA2="No"</formula>
    </cfRule>
  </conditionalFormatting>
  <conditionalFormatting sqref="AD2:AD601">
    <cfRule type="expression" dxfId="11" priority="6">
      <formula>$AC2="No"</formula>
    </cfRule>
  </conditionalFormatting>
  <conditionalFormatting sqref="AE2:AM1288 AS2:AT1288">
    <cfRule type="cellIs" dxfId="10" priority="20" operator="equal">
      <formula>"Validate"</formula>
    </cfRule>
  </conditionalFormatting>
  <conditionalFormatting sqref="BK11">
    <cfRule type="iconSet" priority="8">
      <iconSet iconSet="3Symbols">
        <cfvo type="percent" val="0"/>
        <cfvo type="num" val="0.5"/>
        <cfvo type="num" val="1"/>
      </iconSet>
    </cfRule>
  </conditionalFormatting>
  <conditionalFormatting sqref="BK12:BK49">
    <cfRule type="iconSet" priority="38">
      <iconSet iconSet="3Symbols">
        <cfvo type="percent" val="0"/>
        <cfvo type="num" val="0.5"/>
        <cfvo type="num" val="1"/>
      </iconSet>
    </cfRule>
  </conditionalFormatting>
  <conditionalFormatting sqref="BK51:BK53">
    <cfRule type="iconSet" priority="14">
      <iconSet iconSet="3Symbols">
        <cfvo type="percent" val="0"/>
        <cfvo type="num" val="0.5"/>
        <cfvo type="num" val="1"/>
      </iconSet>
    </cfRule>
  </conditionalFormatting>
  <conditionalFormatting sqref="BK55:BK72">
    <cfRule type="iconSet" priority="22">
      <iconSet iconSet="3Symbols">
        <cfvo type="percent" val="0"/>
        <cfvo type="num" val="0.5"/>
        <cfvo type="num" val="1"/>
      </iconSet>
    </cfRule>
  </conditionalFormatting>
  <conditionalFormatting sqref="BK73 BK76 BK78:BK88">
    <cfRule type="iconSet" priority="21">
      <iconSet iconSet="3Symbols">
        <cfvo type="percent" val="0"/>
        <cfvo type="num" val="0.5"/>
        <cfvo type="num" val="1"/>
      </iconSet>
    </cfRule>
  </conditionalFormatting>
  <conditionalFormatting sqref="BK74:BK75">
    <cfRule type="iconSet" priority="13">
      <iconSet iconSet="3Symbols">
        <cfvo type="percent" val="0"/>
        <cfvo type="num" val="0.5"/>
        <cfvo type="num" val="1"/>
      </iconSet>
    </cfRule>
  </conditionalFormatting>
  <conditionalFormatting sqref="BK77">
    <cfRule type="iconSet" priority="9">
      <iconSet iconSet="3Symbols">
        <cfvo type="percent" val="0"/>
        <cfvo type="num" val="0.5"/>
        <cfvo type="num" val="1"/>
      </iconSet>
    </cfRule>
  </conditionalFormatting>
  <conditionalFormatting sqref="BK98">
    <cfRule type="iconSet" priority="12">
      <iconSet iconSet="3Symbols">
        <cfvo type="percent" val="0"/>
        <cfvo type="num" val="0.5"/>
        <cfvo type="num" val="1"/>
      </iconSet>
    </cfRule>
  </conditionalFormatting>
  <conditionalFormatting sqref="CN2:DH1288 CM601">
    <cfRule type="cellIs" dxfId="9" priority="10" operator="equal">
      <formula>1</formula>
    </cfRule>
  </conditionalFormatting>
  <conditionalFormatting sqref="DB2:DH1288">
    <cfRule type="cellIs" dxfId="8" priority="11" operator="equal">
      <formula>1</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Lists!$D$3:$D$13</xm:f>
          </x14:formula1>
          <xm:sqref>J2:J1288</xm:sqref>
        </x14:dataValidation>
        <x14:dataValidation type="list" allowBlank="1" showInputMessage="1" showErrorMessage="1">
          <x14:formula1>
            <xm:f>Lists!$B$2:$B$14</xm:f>
          </x14:formula1>
          <xm:sqref>H2:H1288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zoomScale="86" workbookViewId="0">
      <selection activeCell="B2" sqref="B2:B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topLeftCell="D1" zoomScale="84" zoomScaleNormal="84" workbookViewId="0">
      <selection activeCell="D14" sqref="D14"/>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7" t="s">
        <v>612</v>
      </c>
      <c r="P1" s="41"/>
      <c r="Q1" s="159" t="s">
        <v>613</v>
      </c>
      <c r="R1" s="159" t="s">
        <v>614</v>
      </c>
      <c r="S1" s="159"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1105</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0"/>
      <c r="R2" s="160"/>
      <c r="S2" s="160"/>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0</v>
      </c>
      <c r="E3" s="52">
        <v>0</v>
      </c>
      <c r="F3" s="52" t="s">
        <v>1106</v>
      </c>
      <c r="G3" s="53">
        <f t="shared" ref="G3:G15" si="1">IF(OR(C3="",E3="",C3="ND"),"",IF(E3="ND",C3,IF(C3-E3&gt;=0,C3-E3,"ERROR")))</f>
        <v>0</v>
      </c>
      <c r="H3" s="54">
        <v>1</v>
      </c>
      <c r="I3" s="55">
        <v>4</v>
      </c>
      <c r="J3" s="137">
        <v>0</v>
      </c>
      <c r="K3" s="137">
        <v>0</v>
      </c>
      <c r="L3" s="138">
        <f t="shared" ref="L3:L15" si="2">IF(OR(J3="",K3=""),"",SUM(J3:K3))</f>
        <v>0</v>
      </c>
      <c r="M3" s="139">
        <v>45673</v>
      </c>
      <c r="N3" s="139">
        <v>45679</v>
      </c>
      <c r="O3" s="53">
        <f t="shared" si="0"/>
        <v>6</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8</v>
      </c>
      <c r="E4" s="52">
        <v>9</v>
      </c>
      <c r="F4" s="52" t="s">
        <v>1106</v>
      </c>
      <c r="G4" s="53">
        <f t="shared" si="1"/>
        <v>0</v>
      </c>
      <c r="H4" s="54">
        <v>1</v>
      </c>
      <c r="I4" s="55">
        <v>8</v>
      </c>
      <c r="J4" s="137">
        <v>2</v>
      </c>
      <c r="K4" s="137">
        <v>5</v>
      </c>
      <c r="L4" s="138">
        <f t="shared" si="2"/>
        <v>7</v>
      </c>
      <c r="M4" s="139">
        <v>45673</v>
      </c>
      <c r="N4" s="139">
        <v>45680</v>
      </c>
      <c r="O4" s="53">
        <f t="shared" si="0"/>
        <v>7</v>
      </c>
      <c r="P4" s="41"/>
      <c r="Q4" s="152" t="s">
        <v>618</v>
      </c>
      <c r="R4" s="153"/>
      <c r="S4" s="153"/>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19</v>
      </c>
      <c r="D5" s="52">
        <v>21</v>
      </c>
      <c r="E5" s="52">
        <v>19</v>
      </c>
      <c r="F5" s="52" t="s">
        <v>1106</v>
      </c>
      <c r="G5" s="53">
        <f t="shared" si="1"/>
        <v>0</v>
      </c>
      <c r="H5" s="54">
        <v>3</v>
      </c>
      <c r="I5" s="55">
        <v>8</v>
      </c>
      <c r="J5" s="137">
        <v>8</v>
      </c>
      <c r="K5" s="137">
        <v>10</v>
      </c>
      <c r="L5" s="138">
        <f t="shared" si="2"/>
        <v>18</v>
      </c>
      <c r="M5" s="139">
        <v>45673</v>
      </c>
      <c r="N5" s="139">
        <v>45679</v>
      </c>
      <c r="O5" s="53">
        <f t="shared" si="0"/>
        <v>6</v>
      </c>
      <c r="P5" s="41"/>
      <c r="Q5" s="152"/>
      <c r="R5" s="153"/>
      <c r="S5" s="153"/>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20</v>
      </c>
      <c r="E6" s="52">
        <v>6</v>
      </c>
      <c r="F6" s="52" t="s">
        <v>1106</v>
      </c>
      <c r="G6" s="53">
        <f t="shared" si="1"/>
        <v>0</v>
      </c>
      <c r="H6" s="54">
        <v>2</v>
      </c>
      <c r="I6" s="55">
        <v>8</v>
      </c>
      <c r="J6" s="137">
        <v>5</v>
      </c>
      <c r="K6" s="137">
        <v>15</v>
      </c>
      <c r="L6" s="138">
        <f t="shared" si="2"/>
        <v>20</v>
      </c>
      <c r="M6" s="139">
        <v>45673</v>
      </c>
      <c r="N6" s="139">
        <v>45679</v>
      </c>
      <c r="O6" s="53">
        <f t="shared" si="0"/>
        <v>6</v>
      </c>
      <c r="P6" s="41"/>
      <c r="Q6" s="152"/>
      <c r="R6" s="153"/>
      <c r="S6" s="153"/>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15</v>
      </c>
      <c r="E7" s="52">
        <v>1</v>
      </c>
      <c r="F7" s="52" t="s">
        <v>1106</v>
      </c>
      <c r="G7" s="53">
        <f t="shared" si="1"/>
        <v>0</v>
      </c>
      <c r="H7" s="54">
        <v>1</v>
      </c>
      <c r="I7" s="55">
        <v>8</v>
      </c>
      <c r="J7" s="137">
        <v>2</v>
      </c>
      <c r="K7" s="137">
        <v>10</v>
      </c>
      <c r="L7" s="138">
        <f t="shared" si="2"/>
        <v>12</v>
      </c>
      <c r="M7" s="139">
        <v>45673</v>
      </c>
      <c r="N7" s="139">
        <v>45680</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27</v>
      </c>
      <c r="D8" s="52">
        <v>15</v>
      </c>
      <c r="E8" s="52">
        <v>27</v>
      </c>
      <c r="F8" s="52" t="s">
        <v>1106</v>
      </c>
      <c r="G8" s="53">
        <f t="shared" si="1"/>
        <v>0</v>
      </c>
      <c r="H8" s="54">
        <v>4</v>
      </c>
      <c r="I8" s="55">
        <v>8</v>
      </c>
      <c r="J8" s="137">
        <v>10</v>
      </c>
      <c r="K8" s="137">
        <v>2</v>
      </c>
      <c r="L8" s="138">
        <f t="shared" si="2"/>
        <v>12</v>
      </c>
      <c r="M8" s="139">
        <v>45673</v>
      </c>
      <c r="N8" s="139">
        <v>45679</v>
      </c>
      <c r="O8" s="53">
        <f t="shared" si="0"/>
        <v>6</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1</v>
      </c>
      <c r="E9" s="52">
        <v>2</v>
      </c>
      <c r="F9" s="52" t="s">
        <v>1106</v>
      </c>
      <c r="G9" s="53">
        <f t="shared" si="1"/>
        <v>0</v>
      </c>
      <c r="H9" s="54">
        <v>1</v>
      </c>
      <c r="I9" s="55">
        <v>4</v>
      </c>
      <c r="J9" s="137">
        <v>0</v>
      </c>
      <c r="K9" s="137">
        <v>0</v>
      </c>
      <c r="L9" s="138">
        <f t="shared" si="2"/>
        <v>0</v>
      </c>
      <c r="M9" s="139">
        <v>45673</v>
      </c>
      <c r="N9" s="139">
        <v>45680</v>
      </c>
      <c r="O9" s="53">
        <f t="shared" si="0"/>
        <v>7</v>
      </c>
      <c r="P9" s="41"/>
      <c r="Q9" s="161" t="s">
        <v>411</v>
      </c>
      <c r="R9" s="162"/>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6</v>
      </c>
      <c r="E10" s="52">
        <v>12</v>
      </c>
      <c r="F10" s="52" t="s">
        <v>1106</v>
      </c>
      <c r="G10" s="53">
        <f t="shared" si="1"/>
        <v>0</v>
      </c>
      <c r="H10" s="54">
        <v>1</v>
      </c>
      <c r="I10" s="55">
        <v>8</v>
      </c>
      <c r="J10" s="137">
        <v>4</v>
      </c>
      <c r="K10" s="137">
        <v>0</v>
      </c>
      <c r="L10" s="138">
        <f t="shared" si="2"/>
        <v>4</v>
      </c>
      <c r="M10" s="139">
        <v>45673</v>
      </c>
      <c r="N10" s="139">
        <v>45680</v>
      </c>
      <c r="O10" s="53">
        <f t="shared" si="0"/>
        <v>7</v>
      </c>
      <c r="P10" s="41"/>
      <c r="Q10" s="161" t="s">
        <v>413</v>
      </c>
      <c r="R10" s="162"/>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33</v>
      </c>
      <c r="D11" s="52">
        <v>31</v>
      </c>
      <c r="E11" s="52">
        <v>32</v>
      </c>
      <c r="F11" s="52" t="s">
        <v>1106</v>
      </c>
      <c r="G11" s="53">
        <f t="shared" si="1"/>
        <v>1</v>
      </c>
      <c r="H11" s="54">
        <v>5</v>
      </c>
      <c r="I11" s="55">
        <v>8</v>
      </c>
      <c r="J11" s="137">
        <v>25</v>
      </c>
      <c r="K11" s="137">
        <v>7</v>
      </c>
      <c r="L11" s="138">
        <f t="shared" si="2"/>
        <v>32</v>
      </c>
      <c r="M11" s="139">
        <v>45673</v>
      </c>
      <c r="N11" s="139">
        <v>45679</v>
      </c>
      <c r="O11" s="53">
        <f t="shared" si="0"/>
        <v>6</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16</v>
      </c>
      <c r="D12" s="52">
        <v>25</v>
      </c>
      <c r="E12" s="52">
        <v>15</v>
      </c>
      <c r="F12" s="52" t="s">
        <v>1106</v>
      </c>
      <c r="G12" s="53">
        <f t="shared" si="1"/>
        <v>1</v>
      </c>
      <c r="H12" s="54">
        <v>5</v>
      </c>
      <c r="I12" s="55">
        <v>4</v>
      </c>
      <c r="J12" s="137">
        <v>6</v>
      </c>
      <c r="K12" s="137">
        <v>20</v>
      </c>
      <c r="L12" s="138">
        <f t="shared" si="2"/>
        <v>26</v>
      </c>
      <c r="M12" s="139">
        <v>45673</v>
      </c>
      <c r="N12" s="139">
        <v>45679</v>
      </c>
      <c r="O12" s="53">
        <f t="shared" si="0"/>
        <v>6</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1105</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13</v>
      </c>
      <c r="D14" s="52">
        <v>5</v>
      </c>
      <c r="E14" s="52">
        <v>13</v>
      </c>
      <c r="F14" s="52" t="s">
        <v>1106</v>
      </c>
      <c r="G14" s="53">
        <f t="shared" si="1"/>
        <v>0</v>
      </c>
      <c r="H14" s="54">
        <v>1</v>
      </c>
      <c r="I14" s="55">
        <v>4</v>
      </c>
      <c r="J14" s="137">
        <v>2</v>
      </c>
      <c r="K14" s="137">
        <v>1</v>
      </c>
      <c r="L14" s="138">
        <f t="shared" si="2"/>
        <v>3</v>
      </c>
      <c r="M14" s="139">
        <v>45673</v>
      </c>
      <c r="N14" s="139">
        <v>45680</v>
      </c>
      <c r="O14" s="53">
        <f t="shared" si="0"/>
        <v>7</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0</v>
      </c>
      <c r="E15" s="52">
        <v>1</v>
      </c>
      <c r="F15" s="52" t="s">
        <v>1106</v>
      </c>
      <c r="G15" s="53">
        <f t="shared" si="1"/>
        <v>0</v>
      </c>
      <c r="H15" s="60">
        <v>1</v>
      </c>
      <c r="I15" s="61">
        <v>4</v>
      </c>
      <c r="J15" s="137">
        <v>0</v>
      </c>
      <c r="K15" s="137">
        <v>0</v>
      </c>
      <c r="L15" s="138">
        <f t="shared" si="2"/>
        <v>0</v>
      </c>
      <c r="M15" s="139">
        <v>45673</v>
      </c>
      <c r="N15" s="139">
        <v>45680</v>
      </c>
      <c r="O15" s="53">
        <f t="shared" si="0"/>
        <v>7</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1" t="s">
        <v>643</v>
      </c>
      <c r="R30" s="162"/>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6" t="s">
        <v>644</v>
      </c>
      <c r="R31" s="157"/>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6" t="s">
        <v>645</v>
      </c>
      <c r="R32" s="157"/>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6" t="s">
        <v>646</v>
      </c>
      <c r="R33" s="157"/>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66" t="s">
        <v>647</v>
      </c>
      <c r="B1" s="167"/>
      <c r="C1" s="168"/>
      <c r="D1" s="84" t="s">
        <v>648</v>
      </c>
      <c r="E1" s="21"/>
      <c r="F1" s="169" t="s">
        <v>649</v>
      </c>
      <c r="G1" s="169"/>
      <c r="H1" s="169"/>
      <c r="I1" s="84" t="s">
        <v>650</v>
      </c>
      <c r="J1" s="84" t="s">
        <v>651</v>
      </c>
      <c r="K1" s="21"/>
      <c r="L1" s="85" t="s">
        <v>52</v>
      </c>
      <c r="M1" s="85" t="s">
        <v>652</v>
      </c>
      <c r="N1" s="84" t="s">
        <v>14</v>
      </c>
      <c r="O1" s="86" t="s">
        <v>15</v>
      </c>
      <c r="P1" s="86" t="s">
        <v>16</v>
      </c>
      <c r="Q1" s="86" t="s">
        <v>374</v>
      </c>
      <c r="R1" s="84" t="s">
        <v>653</v>
      </c>
      <c r="S1" s="84" t="s">
        <v>654</v>
      </c>
      <c r="T1" s="21"/>
      <c r="U1" s="166" t="s">
        <v>655</v>
      </c>
      <c r="V1" s="168"/>
      <c r="W1" s="21"/>
      <c r="X1" s="169" t="s">
        <v>640</v>
      </c>
      <c r="Y1" s="169" t="s">
        <v>641</v>
      </c>
      <c r="Z1" s="21"/>
      <c r="AA1" s="169" t="s">
        <v>5</v>
      </c>
      <c r="AB1" s="169" t="s">
        <v>9</v>
      </c>
      <c r="AC1" s="169" t="s">
        <v>651</v>
      </c>
      <c r="AD1" s="169" t="s">
        <v>14</v>
      </c>
      <c r="AE1" s="169" t="s">
        <v>15</v>
      </c>
      <c r="AF1" s="169" t="s">
        <v>16</v>
      </c>
      <c r="AG1" s="169"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9"/>
      <c r="Y2" s="169"/>
      <c r="Z2" s="21"/>
      <c r="AA2" s="169" t="s">
        <v>663</v>
      </c>
      <c r="AB2" s="169" t="s">
        <v>663</v>
      </c>
      <c r="AC2" s="169" t="s">
        <v>663</v>
      </c>
      <c r="AD2" s="169" t="s">
        <v>663</v>
      </c>
      <c r="AE2" s="169" t="s">
        <v>663</v>
      </c>
      <c r="AF2" s="169" t="s">
        <v>663</v>
      </c>
      <c r="AG2" s="169"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4" t="s">
        <v>411</v>
      </c>
      <c r="V9" s="155"/>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4" t="s">
        <v>413</v>
      </c>
      <c r="V10" s="155"/>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3" t="s">
        <v>13</v>
      </c>
      <c r="M22" s="164"/>
      <c r="N22" s="164"/>
      <c r="O22" s="164"/>
      <c r="P22" s="164"/>
      <c r="Q22" s="165"/>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6" t="s">
        <v>666</v>
      </c>
      <c r="V23" s="157"/>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6" t="s">
        <v>667</v>
      </c>
      <c r="V24" s="157"/>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70" t="s">
        <v>615</v>
      </c>
      <c r="V25" s="171"/>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U23:V23"/>
    <mergeCell ref="U24:V24"/>
    <mergeCell ref="U25:V25"/>
    <mergeCell ref="AE1:AE2"/>
    <mergeCell ref="AF1:AF2"/>
    <mergeCell ref="AG1:AG2"/>
    <mergeCell ref="U9:V9"/>
    <mergeCell ref="U10:V10"/>
    <mergeCell ref="AA1:AA2"/>
    <mergeCell ref="AB1:AB2"/>
    <mergeCell ref="AD1:AD2"/>
    <mergeCell ref="AC1:AC2"/>
    <mergeCell ref="Y1:Y2"/>
    <mergeCell ref="L22:Q22"/>
    <mergeCell ref="A1:C1"/>
    <mergeCell ref="F1:H1"/>
    <mergeCell ref="U1:V1"/>
    <mergeCell ref="X1:X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2" t="s">
        <v>695</v>
      </c>
      <c r="D9" s="102" t="s">
        <v>683</v>
      </c>
      <c r="E9" s="103" t="s">
        <v>708</v>
      </c>
      <c r="F9" s="104" t="s">
        <v>709</v>
      </c>
    </row>
    <row r="10" spans="1:6" ht="75.75" thickBot="1" x14ac:dyDescent="0.3">
      <c r="A10" s="120" t="s">
        <v>710</v>
      </c>
      <c r="B10" s="121" t="s">
        <v>711</v>
      </c>
      <c r="C10" s="173"/>
      <c r="D10" s="102" t="s">
        <v>712</v>
      </c>
      <c r="E10" s="103" t="s">
        <v>713</v>
      </c>
      <c r="F10" s="104" t="s">
        <v>714</v>
      </c>
    </row>
    <row r="11" spans="1:6" ht="94.5" thickBot="1" x14ac:dyDescent="0.3">
      <c r="A11" s="99" t="s">
        <v>715</v>
      </c>
      <c r="B11" s="122" t="s">
        <v>716</v>
      </c>
      <c r="C11" s="173"/>
      <c r="D11" s="102" t="s">
        <v>717</v>
      </c>
      <c r="E11" s="103" t="s">
        <v>718</v>
      </c>
      <c r="F11" s="104" t="s">
        <v>719</v>
      </c>
    </row>
    <row r="12" spans="1:6" ht="57" thickBot="1" x14ac:dyDescent="0.3">
      <c r="A12" s="99" t="s">
        <v>720</v>
      </c>
      <c r="B12" s="123" t="s">
        <v>721</v>
      </c>
      <c r="C12" s="173"/>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31-January-2025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0.21268939393939393</v>
      </c>
      <c r="H2" s="15">
        <f>SUMIF('OR KPI 1-4 &amp; 6 manual'!$F$2:$F$1288,Script!F2,'OR KPI 1-4 &amp; 6 manual'!$AL$2:$AM$1288)/('OR KPI 1-4 &amp; 6 manual'!$AY$3*VLOOKUP('Summary Sheet'!$C$8,'Summary Sheet'!$K$82:$M$93,3))</f>
        <v>0.21268939393939393</v>
      </c>
      <c r="I2" s="125">
        <f>IF('OR KPI 1-4 &amp; 6 IT'!D3="",COUNTIFS('OR KPI 1-4 &amp; 6 manual'!$A$2:$A$1288,"&gt;0",'OR KPI 1-4 &amp; 6 manual'!$F$2:$F$1288,F2,'OR KPI 1-4 &amp; 6 manual'!$G$2:$G$1288,"No"),'OR KPI 1-4 &amp; 6 IT'!D3)</f>
        <v>11</v>
      </c>
      <c r="J2" cm="1">
        <f t="array" ref="J2">IF('OR KPI 1-4 &amp; 6 IT'!X3="",((SUMPRODUCT(('OR KPI 1-4 &amp; 6 manual'!$F$2:$F$1288&lt;&gt;"")/COUNTIF('OR KPI 1-4 &amp; 6 manual'!$F$2:$F$1288,'OR KPI 1-4 &amp; 6 manual'!$F$2:$F$1288&amp;"")))),'OR KPI 1-4 &amp; 6 IT'!X3)</f>
        <v>7.0000000000000036</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31-January-2025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0.1715909090909091</v>
      </c>
      <c r="H3" s="15">
        <f>SUMIF('OR KPI 1-4 &amp; 6 manual'!$F$2:$F$1288,Script!F3,'OR KPI 1-4 &amp; 6 manual'!$AL$2:$AM$1288)/('OR KPI 1-4 &amp; 6 manual'!$AY$3*VLOOKUP('Summary Sheet'!$C$8,'Summary Sheet'!$K$82:$M$93,3))</f>
        <v>0.1715909090909091</v>
      </c>
      <c r="I3" s="125">
        <f>IF('OR KPI 1-4 &amp; 6 IT'!D4="",COUNTIFS('OR KPI 1-4 &amp; 6 manual'!$A$2:$A$1288,"&gt;0",'OR KPI 1-4 &amp; 6 manual'!$F$2:$F$1288,F3,'OR KPI 1-4 &amp; 6 manual'!$G$2:$G$1288,"No"),'OR KPI 1-4 &amp; 6 IT'!D4)</f>
        <v>27</v>
      </c>
      <c r="K3" s="126" t="str">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
      </c>
      <c r="L3" t="s">
        <v>22</v>
      </c>
      <c r="M3">
        <f>IF('OR KPI 1-4 &amp; 6 IT'!I4="",COUNTIFS('OR KPI 1-4 &amp; 6 manual'!$A$2:$A$1288,"&gt;0",'OR KPI 1-4 &amp; 6 manual'!$M$2:$M$1288,Script!L3,'OR KPI 1-4 &amp; 6 manual'!$P$2:$P$1288,"&gt;0"),'OR KPI 1-4 &amp; 6 IT'!I4)</f>
        <v>0</v>
      </c>
      <c r="N3" s="127" t="str">
        <f>IFERROR(IF('OR KPI 1-4 &amp; 6 IT'!J4="",AVERAGEIF('OR KPI 1-4 &amp; 6 manual'!$M$2:$M$1288,L3,'OR KPI 1-4 &amp; 6 manual'!$AO$2:$AO$1288),'OR KPI 1-4 &amp; 6 IT'!J4),"")</f>
        <v/>
      </c>
      <c r="O3" s="127"/>
    </row>
    <row r="4" spans="1:23" x14ac:dyDescent="0.25">
      <c r="A4" t="str">
        <f>'Summary Sheet'!$C$10</f>
        <v>JD-GEN-4</v>
      </c>
      <c r="B4" t="str">
        <f>_xlfn.CONCAT(VLOOKUP('Summary Sheet'!$C$8,'Summary Sheet'!$K$82:$L$93,2),"-",'Summary Sheet'!$C$8,"-",'Summary Sheet'!$C$9)</f>
        <v>31-January-2025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0.1884469696969697</v>
      </c>
      <c r="H4" s="15">
        <f>SUMIF('OR KPI 1-4 &amp; 6 manual'!$F$2:$F$1288,Script!F4,'OR KPI 1-4 &amp; 6 manual'!$AL$2:$AM$1288)/('OR KPI 1-4 &amp; 6 manual'!$AY$3*VLOOKUP('Summary Sheet'!$C$8,'Summary Sheet'!$K$82:$M$93,3))</f>
        <v>0.1884469696969697</v>
      </c>
      <c r="I4" s="125">
        <f>IF('OR KPI 1-4 &amp; 6 IT'!D5="",COUNTIFS('OR KPI 1-4 &amp; 6 manual'!$A$2:$A$1288,"&gt;0",'OR KPI 1-4 &amp; 6 manual'!$F$2:$F$1288,F4,'OR KPI 1-4 &amp; 6 manual'!$G$2:$G$1288,"No"),'OR KPI 1-4 &amp; 6 IT'!D5)</f>
        <v>23</v>
      </c>
      <c r="K4" s="126">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0</v>
      </c>
      <c r="L4" t="s">
        <v>1087</v>
      </c>
      <c r="M4">
        <f>IF('OR KPI 1-4 &amp; 6 IT'!I5="",COUNTIFS('OR KPI 1-4 &amp; 6 manual'!$A$2:$A$1288,"&gt;0",'OR KPI 1-4 &amp; 6 manual'!$M$2:$M$1288,Script!L4,'OR KPI 1-4 &amp; 6 manual'!$P$2:$P$1288,"&gt;0"),'OR KPI 1-4 &amp; 6 IT'!I5)</f>
        <v>2</v>
      </c>
      <c r="N4" s="127">
        <f>IFERROR(IF('OR KPI 1-4 &amp; 6 IT'!J5="",AVERAGEIF('OR KPI 1-4 &amp; 6 manual'!$M$2:$M$1288,L4,'OR KPI 1-4 &amp; 6 manual'!$AO$2:$AO$1288),'OR KPI 1-4 &amp; 6 IT'!J5),"")</f>
        <v>1</v>
      </c>
      <c r="O4" s="127"/>
    </row>
    <row r="5" spans="1:23" x14ac:dyDescent="0.25">
      <c r="A5" t="str">
        <f>'Summary Sheet'!$C$10</f>
        <v>JD-GEN-4</v>
      </c>
      <c r="B5" t="str">
        <f>_xlfn.CONCAT(VLOOKUP('Summary Sheet'!$C$8,'Summary Sheet'!$K$82:$L$93,2),"-",'Summary Sheet'!$C$8,"-",'Summary Sheet'!$C$9)</f>
        <v>31-January-2025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0.18551136363636364</v>
      </c>
      <c r="H5" s="15">
        <f>SUMIF('OR KPI 1-4 &amp; 6 manual'!$F$2:$F$1288,Script!F5,'OR KPI 1-4 &amp; 6 manual'!$AL$2:$AM$1288)/('OR KPI 1-4 &amp; 6 manual'!$AY$3*VLOOKUP('Summary Sheet'!$C$8,'Summary Sheet'!$K$82:$M$93,3))</f>
        <v>0.18551136363636364</v>
      </c>
      <c r="I5" s="125">
        <f>IF('OR KPI 1-4 &amp; 6 IT'!D6="",COUNTIFS('OR KPI 1-4 &amp; 6 manual'!$A$2:$A$1288,"&gt;0",'OR KPI 1-4 &amp; 6 manual'!$F$2:$F$1288,F5,'OR KPI 1-4 &amp; 6 manual'!$G$2:$G$1288,"No"),'OR KPI 1-4 &amp; 6 IT'!D6)</f>
        <v>16</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5</v>
      </c>
      <c r="N5" s="127">
        <f>IFERROR(IF('OR KPI 1-4 &amp; 6 IT'!J6="",AVERAGEIF('OR KPI 1-4 &amp; 6 manual'!$M$2:$M$1288,L5,'OR KPI 1-4 &amp; 6 manual'!$AO$2:$AO$1288),'OR KPI 1-4 &amp; 6 IT'!J6),"")</f>
        <v>4</v>
      </c>
      <c r="O5" s="127"/>
    </row>
    <row r="6" spans="1:23" x14ac:dyDescent="0.25">
      <c r="A6" t="str">
        <f>'Summary Sheet'!$C$10</f>
        <v>JD-GEN-4</v>
      </c>
      <c r="B6" t="str">
        <f>_xlfn.CONCAT(VLOOKUP('Summary Sheet'!$C$8,'Summary Sheet'!$K$82:$L$93,2),"-",'Summary Sheet'!$C$8,"-",'Summary Sheet'!$C$9)</f>
        <v>31-January-2025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0.20473484848484849</v>
      </c>
      <c r="H6" s="15">
        <f>SUMIF('OR KPI 1-4 &amp; 6 manual'!$F$2:$F$1288,Script!F6,'OR KPI 1-4 &amp; 6 manual'!$AL$2:$AM$1288)/('OR KPI 1-4 &amp; 6 manual'!$AY$3*VLOOKUP('Summary Sheet'!$C$8,'Summary Sheet'!$K$82:$M$93,3))</f>
        <v>0.20473484848484849</v>
      </c>
      <c r="I6" s="125">
        <f>IF('OR KPI 1-4 &amp; 6 IT'!D7="",COUNTIFS('OR KPI 1-4 &amp; 6 manual'!$A$2:$A$1288,"&gt;0",'OR KPI 1-4 &amp; 6 manual'!$F$2:$F$1288,F6,'OR KPI 1-4 &amp; 6 manual'!$G$2:$G$1288,"No"),'OR KPI 1-4 &amp; 6 IT'!D7)</f>
        <v>15</v>
      </c>
      <c r="K6" s="126">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0</v>
      </c>
      <c r="L6" t="s">
        <v>29</v>
      </c>
      <c r="M6">
        <f>IF('OR KPI 1-4 &amp; 6 IT'!I7="",COUNTIFS('OR KPI 1-4 &amp; 6 manual'!$A$2:$A$1288,"&gt;0",'OR KPI 1-4 &amp; 6 manual'!$M$2:$M$1288,Script!L6,'OR KPI 1-4 &amp; 6 manual'!$P$2:$P$1288,"&gt;0"),'OR KPI 1-4 &amp; 6 IT'!I7)</f>
        <v>5</v>
      </c>
      <c r="N6" s="127">
        <f>IFERROR(IF('OR KPI 1-4 &amp; 6 IT'!J7="",AVERAGEIF('OR KPI 1-4 &amp; 6 manual'!$M$2:$M$1288,L6,'OR KPI 1-4 &amp; 6 manual'!$AO$2:$AO$1288),'OR KPI 1-4 &amp; 6 IT'!J7),"")</f>
        <v>1.8</v>
      </c>
      <c r="O6" s="127"/>
    </row>
    <row r="7" spans="1:23" x14ac:dyDescent="0.25">
      <c r="A7" t="str">
        <f>'Summary Sheet'!$C$10</f>
        <v>JD-GEN-4</v>
      </c>
      <c r="B7" t="str">
        <f>_xlfn.CONCAT(VLOOKUP('Summary Sheet'!$C$8,'Summary Sheet'!$K$82:$L$93,2),"-",'Summary Sheet'!$C$8,"-",'Summary Sheet'!$C$9)</f>
        <v>31-January-2025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31-January-2025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0.18759469696969697</v>
      </c>
      <c r="H8" s="15">
        <f>SUMIF('OR KPI 1-4 &amp; 6 manual'!$F$2:$F$1288,Script!F8,'OR KPI 1-4 &amp; 6 manual'!$AL$2:$AM$1288)/('OR KPI 1-4 &amp; 6 manual'!$AY$3*VLOOKUP('Summary Sheet'!$C$8,'Summary Sheet'!$K$82:$M$93,3))</f>
        <v>0.18759469696969697</v>
      </c>
      <c r="I8" s="125">
        <f>IF('OR KPI 1-4 &amp; 6 IT'!D9="",COUNTIFS('OR KPI 1-4 &amp; 6 manual'!$A$2:$A$1288,"&gt;0",'OR KPI 1-4 &amp; 6 manual'!$F$2:$F$1288,F8,'OR KPI 1-4 &amp; 6 manual'!$G$2:$G$1288,"No"),'OR KPI 1-4 &amp; 6 IT'!D9)</f>
        <v>18</v>
      </c>
      <c r="K8" s="126">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0</v>
      </c>
      <c r="L8" t="s">
        <v>33</v>
      </c>
      <c r="M8">
        <f>IF('OR KPI 1-4 &amp; 6 IT'!I9="",COUNTIFS('OR KPI 1-4 &amp; 6 manual'!$A$2:$A$1288,"&gt;0",'OR KPI 1-4 &amp; 6 manual'!$M$2:$M$1288,Script!L8,'OR KPI 1-4 &amp; 6 manual'!$P$2:$P$1288,"&gt;0"),'OR KPI 1-4 &amp; 6 IT'!I9)</f>
        <v>2</v>
      </c>
      <c r="N8" s="127">
        <f>IFERROR(IF('OR KPI 1-4 &amp; 6 IT'!J9="",AVERAGEIF('OR KPI 1-4 &amp; 6 manual'!$M$2:$M$1288,L8,'OR KPI 1-4 &amp; 6 manual'!$AO$2:$AO$1288),'OR KPI 1-4 &amp; 6 IT'!J9),"")</f>
        <v>6.5</v>
      </c>
      <c r="O8" s="127"/>
    </row>
    <row r="9" spans="1:23" x14ac:dyDescent="0.25">
      <c r="A9" t="str">
        <f>'Summary Sheet'!$C$10</f>
        <v>JD-GEN-4</v>
      </c>
      <c r="B9" t="str">
        <f>_xlfn.CONCAT(VLOOKUP('Summary Sheet'!$C$8,'Summary Sheet'!$K$82:$L$93,2),"-",'Summary Sheet'!$C$8,"-",'Summary Sheet'!$C$9)</f>
        <v>31-January-2025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5</v>
      </c>
      <c r="N9" s="127">
        <f>IFERROR(IF('OR KPI 1-4 &amp; 6 IT'!J10="",AVERAGEIF('OR KPI 1-4 &amp; 6 manual'!$M$2:$M$1288,L9,'OR KPI 1-4 &amp; 6 manual'!$AO$2:$AO$1288),'OR KPI 1-4 &amp; 6 IT'!J10),"")</f>
        <v>0.6</v>
      </c>
      <c r="O9" s="127"/>
    </row>
    <row r="10" spans="1:23" x14ac:dyDescent="0.25">
      <c r="A10" t="str">
        <f>'Summary Sheet'!$C$10</f>
        <v>JD-GEN-4</v>
      </c>
      <c r="B10" t="str">
        <f>_xlfn.CONCAT(VLOOKUP('Summary Sheet'!$C$8,'Summary Sheet'!$K$82:$L$93,2),"-",'Summary Sheet'!$C$8,"-",'Summary Sheet'!$C$9)</f>
        <v>31-January-2025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31-January-2025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0</v>
      </c>
      <c r="L11" t="s">
        <v>39</v>
      </c>
      <c r="M11">
        <f>IF('OR KPI 1-4 &amp; 6 IT'!I12="",COUNTIFS('OR KPI 1-4 &amp; 6 manual'!$A$2:$A$1288,"&gt;0",'OR KPI 1-4 &amp; 6 manual'!$M$2:$M$1288,Script!L11,'OR KPI 1-4 &amp; 6 manual'!$P$2:$P$1288,"&gt;0"),'OR KPI 1-4 &amp; 6 IT'!I12)</f>
        <v>25</v>
      </c>
      <c r="N11" s="127">
        <f>IFERROR(IF('OR KPI 1-4 &amp; 6 IT'!J12="",AVERAGEIF('OR KPI 1-4 &amp; 6 manual'!$M$2:$M$1288,L11,'OR KPI 1-4 &amp; 6 manual'!$AO$2:$AO$1288),'OR KPI 1-4 &amp; 6 IT'!J12),"")</f>
        <v>7</v>
      </c>
      <c r="O11" s="127"/>
    </row>
    <row r="12" spans="1:23" x14ac:dyDescent="0.25">
      <c r="A12" t="str">
        <f>'Summary Sheet'!$C$10</f>
        <v>JD-GEN-4</v>
      </c>
      <c r="B12" t="str">
        <f>_xlfn.CONCAT(VLOOKUP('Summary Sheet'!$C$8,'Summary Sheet'!$K$82:$L$93,2),"-",'Summary Sheet'!$C$8,"-",'Summary Sheet'!$C$9)</f>
        <v>31-January-2025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v>
      </c>
      <c r="L12" t="s">
        <v>41</v>
      </c>
      <c r="M12">
        <f>IF('OR KPI 1-4 &amp; 6 IT'!I13="",COUNTIFS('OR KPI 1-4 &amp; 6 manual'!$A$2:$A$1288,"&gt;0",'OR KPI 1-4 &amp; 6 manual'!$M$2:$M$1288,Script!L12,'OR KPI 1-4 &amp; 6 manual'!$P$2:$P$1288,"&gt;0"),'OR KPI 1-4 &amp; 6 IT'!I13)</f>
        <v>8</v>
      </c>
      <c r="N12" s="127">
        <f>IFERROR(IF('OR KPI 1-4 &amp; 6 IT'!J13="",AVERAGEIF('OR KPI 1-4 &amp; 6 manual'!$M$2:$M$1288,L12,'OR KPI 1-4 &amp; 6 manual'!$AO$2:$AO$1288),'OR KPI 1-4 &amp; 6 IT'!J13),"")</f>
        <v>3</v>
      </c>
      <c r="O12" s="127"/>
    </row>
    <row r="13" spans="1:23" x14ac:dyDescent="0.25">
      <c r="A13" t="str">
        <f>'Summary Sheet'!$C$10</f>
        <v>JD-GEN-4</v>
      </c>
      <c r="B13" t="str">
        <f>_xlfn.CONCAT(VLOOKUP('Summary Sheet'!$C$8,'Summary Sheet'!$K$82:$L$93,2),"-",'Summary Sheet'!$C$8,"-",'Summary Sheet'!$C$9)</f>
        <v>31-January-2025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0</v>
      </c>
      <c r="L13" t="s">
        <v>42</v>
      </c>
      <c r="M13">
        <f>IF('OR KPI 1-4 &amp; 6 IT'!I14="",COUNTIFS('OR KPI 1-4 &amp; 6 manual'!$A$2:$A$1288,"&gt;0",'OR KPI 1-4 &amp; 6 manual'!$M$2:$M$1288,Script!L13,'OR KPI 1-4 &amp; 6 manual'!$P$2:$P$1288,"&gt;0"),'OR KPI 1-4 &amp; 6 IT'!I14)</f>
        <v>6</v>
      </c>
      <c r="N13" s="127">
        <f>IFERROR(IF('OR KPI 1-4 &amp; 6 IT'!J14="",AVERAGEIF('OR KPI 1-4 &amp; 6 manual'!$M$2:$M$1288,L13,'OR KPI 1-4 &amp; 6 manual'!$AO$2:$AO$1288),'OR KPI 1-4 &amp; 6 IT'!J14),"")</f>
        <v>1.1666666666666667</v>
      </c>
      <c r="O13" s="127"/>
    </row>
    <row r="14" spans="1:23" x14ac:dyDescent="0.25">
      <c r="A14" t="str">
        <f>'Summary Sheet'!$C$10</f>
        <v>JD-GEN-4</v>
      </c>
      <c r="B14" t="str">
        <f>_xlfn.CONCAT(VLOOKUP('Summary Sheet'!$C$8,'Summary Sheet'!$K$82:$L$93,2),"-",'Summary Sheet'!$C$8,"-",'Summary Sheet'!$C$9)</f>
        <v>31-January-2025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0.18304924242424242</v>
      </c>
      <c r="H14" s="15">
        <f>SUMIF('OR KPI 1-4 &amp; 6 manual'!$F$2:$F$1288,Script!F14,'OR KPI 1-4 &amp; 6 manual'!$AL$2:$AM$1288)/('OR KPI 1-4 &amp; 6 manual'!$AY$3*VLOOKUP('Summary Sheet'!$C$8,'Summary Sheet'!$K$82:$M$93,3))</f>
        <v>0.18304924242424242</v>
      </c>
      <c r="I14" s="125">
        <f>IF('OR KPI 1-4 &amp; 6 IT'!D15="",COUNTIFS('OR KPI 1-4 &amp; 6 manual'!$A$2:$A$1288,"&gt;0",'OR KPI 1-4 &amp; 6 manual'!$F$2:$F$1288,F14,'OR KPI 1-4 &amp; 6 manual'!$G$2:$G$1288,"No"),'OR KPI 1-4 &amp; 6 IT'!D15)</f>
        <v>24</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31-January-2025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31-January-2025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0</v>
      </c>
      <c r="L16" t="s">
        <v>48</v>
      </c>
      <c r="M16">
        <f>IF('OR KPI 1-4 &amp; 6 IT'!I17="",COUNTIFS('OR KPI 1-4 &amp; 6 manual'!$A$2:$A$1288,"&gt;0",'OR KPI 1-4 &amp; 6 manual'!$M$2:$M$1288,Script!L16,'OR KPI 1-4 &amp; 6 manual'!$P$2:$P$1288,"&gt;0"),'OR KPI 1-4 &amp; 6 IT'!I17)</f>
        <v>2</v>
      </c>
      <c r="N16" s="127">
        <f>IFERROR(IF('OR KPI 1-4 &amp; 6 IT'!J17="",AVERAGEIF('OR KPI 1-4 &amp; 6 manual'!$M$2:$M$1288,L16,'OR KPI 1-4 &amp; 6 manual'!$AO$2:$AO$1288),'OR KPI 1-4 &amp; 6 IT'!J17),"")</f>
        <v>1.5</v>
      </c>
      <c r="O16" s="127"/>
    </row>
    <row r="17" spans="1:19" x14ac:dyDescent="0.25">
      <c r="A17" t="str">
        <f>'Summary Sheet'!$C$10</f>
        <v>JD-GEN-4</v>
      </c>
      <c r="B17" t="str">
        <f>_xlfn.CONCAT(VLOOKUP('Summary Sheet'!$C$8,'Summary Sheet'!$K$82:$L$93,2),"-",'Summary Sheet'!$C$8,"-",'Summary Sheet'!$C$9)</f>
        <v>31-January-2025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t="str">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
      </c>
      <c r="L17" t="s">
        <v>50</v>
      </c>
      <c r="M17">
        <f>IF('OR KPI 1-4 &amp; 6 IT'!I18="",COUNTIFS('OR KPI 1-4 &amp; 6 manual'!$A$2:$A$1288,"&gt;0",'OR KPI 1-4 &amp; 6 manual'!$M$2:$M$1288,Script!L17,'OR KPI 1-4 &amp; 6 manual'!$P$2:$P$1288,"&gt;0"),'OR KPI 1-4 &amp; 6 IT'!I18)</f>
        <v>0</v>
      </c>
      <c r="N17" s="127" t="str">
        <f>IFERROR(IF('OR KPI 1-4 &amp; 6 IT'!J18="",AVERAGEIF('OR KPI 1-4 &amp; 6 manual'!$M$2:$M$1288,L17,'OR KPI 1-4 &amp; 6 manual'!$AO$2:$AO$1288),'OR KPI 1-4 &amp; 6 IT'!J18),"")</f>
        <v/>
      </c>
      <c r="O17" s="127"/>
      <c r="P17" s="126"/>
      <c r="Q17" s="126"/>
      <c r="R17" s="126"/>
      <c r="S17" s="126"/>
    </row>
    <row r="18" spans="1:19" x14ac:dyDescent="0.25">
      <c r="A18" t="str">
        <f>'Summary Sheet'!$C$10</f>
        <v>JD-GEN-4</v>
      </c>
      <c r="B18" t="str">
        <f>_xlfn.CONCAT(VLOOKUP('Summary Sheet'!$C$8,'Summary Sheet'!$K$82:$L$93,2),"-",'Summary Sheet'!$C$8,"-",'Summary Sheet'!$C$9)</f>
        <v>31-January-2025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7.5187969924812026E-2</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25">
      <c r="A19" t="str">
        <f>'Summary Sheet'!$C$10</f>
        <v>JD-GEN-4</v>
      </c>
      <c r="B19" t="str">
        <f>_xlfn.CONCAT(VLOOKUP('Summary Sheet'!$C$8,'Summary Sheet'!$K$82:$L$93,2),"-",'Summary Sheet'!$C$8,"-",'Summary Sheet'!$C$9)</f>
        <v>31-January-2025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5</v>
      </c>
      <c r="N19" s="127">
        <f>IFERROR(IF('OR KPI 1-4 &amp; 6 IT'!J32="",AVERAGEIF('OR KPI 1-4 &amp; 6 manual'!$M$2:$M$1288,L19,'OR KPI 1-4 &amp; 6 manual'!$AO$2:$AO$1288),'OR KPI 1-4 &amp; 6 IT'!J32),"")</f>
        <v>4</v>
      </c>
      <c r="O19" s="127"/>
      <c r="P19" s="126">
        <f>IFERROR(IF('OR KPI 1-4 &amp; 6 IT'!N3="",(COUNTIFS('OR KPI 1-4 &amp; 6 manual'!$AR$2:$AR$1288,"Yes",'OR KPI 1-4 &amp; 6 manual'!$J$2:$J$1288,Script!L19)/COUNTIF('OR KPI 1-4 &amp; 6 manual'!$AL$3:$AL$1288,"&gt; 0")),'OR KPI 1-4 &amp; 6 IT'!N3),"")</f>
        <v>0.11278195488721804</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25">
      <c r="A20" t="str">
        <f>'Summary Sheet'!$C$10</f>
        <v>JD-GEN-4</v>
      </c>
      <c r="B20" t="str">
        <f>_xlfn.CONCAT(VLOOKUP('Summary Sheet'!$C$8,'Summary Sheet'!$K$82:$L$93,2),"-",'Summary Sheet'!$C$8,"-",'Summary Sheet'!$C$9)</f>
        <v>31-January-2025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0</v>
      </c>
      <c r="L20" t="s">
        <v>29</v>
      </c>
      <c r="M20">
        <f>IF('OR KPI 1-4 &amp; 6 IT'!I33="",COUNTIFS('OR KPI 1-4 &amp; 6 manual'!$A$2:$A$1288,"&gt;0",'OR KPI 1-4 &amp; 6 manual'!$M$2:$M$1288,Script!L20,'OR KPI 1-4 &amp; 6 manual'!$P$2:$P$1288,"&gt;0"),'OR KPI 1-4 &amp; 6 IT'!I33)</f>
        <v>5</v>
      </c>
      <c r="N20" s="127">
        <f>IFERROR(IF('OR KPI 1-4 &amp; 6 IT'!J33="",AVERAGEIF('OR KPI 1-4 &amp; 6 manual'!$M$2:$M$1288,L20,'OR KPI 1-4 &amp; 6 manual'!$AO$2:$AO$1288),'OR KPI 1-4 &amp; 6 IT'!J33),"")</f>
        <v>1.8</v>
      </c>
      <c r="O20" s="127"/>
      <c r="P20" s="126">
        <f>IFERROR(IF('OR KPI 1-4 &amp; 6 IT'!N4="",(COUNTIFS('OR KPI 1-4 &amp; 6 manual'!$AR$2:$AR$1288,"Yes",'OR KPI 1-4 &amp; 6 manual'!$J$2:$J$1288,Script!L20)/COUNTIF('OR KPI 1-4 &amp; 6 manual'!$AL$3:$AL$1288,"&gt; 0")),'OR KPI 1-4 &amp; 6 IT'!N4),"")</f>
        <v>1.5037593984962405E-2</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25">
      <c r="A21" t="str">
        <f>'Summary Sheet'!$C$10</f>
        <v>JD-GEN-4</v>
      </c>
      <c r="B21" t="str">
        <f>_xlfn.CONCAT(VLOOKUP('Summary Sheet'!$C$8,'Summary Sheet'!$K$82:$L$93,2),"-",'Summary Sheet'!$C$8,"-",'Summary Sheet'!$C$9)</f>
        <v>31-January-2025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0</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25">
      <c r="A22" t="str">
        <f>'Summary Sheet'!$C$10</f>
        <v>JD-GEN-4</v>
      </c>
      <c r="B22" t="str">
        <f>_xlfn.CONCAT(VLOOKUP('Summary Sheet'!$C$8,'Summary Sheet'!$K$82:$L$93,2),"-",'Summary Sheet'!$C$8,"-",'Summary Sheet'!$C$9)</f>
        <v>31-January-2025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0</v>
      </c>
      <c r="L22" t="s">
        <v>1086</v>
      </c>
      <c r="M22">
        <f>IF('OR KPI 1-4 &amp; 6 IT'!I35="",COUNTIFS('OR KPI 1-4 &amp; 6 manual'!$A$2:$A$1288,"&gt;0",'OR KPI 1-4 &amp; 6 manual'!$M$2:$M$1288,Script!L22,'OR KPI 1-4 &amp; 6 manual'!$P$2:$P$1288,"&gt;0"),'OR KPI 1-4 &amp; 6 IT'!I35)</f>
        <v>4</v>
      </c>
      <c r="N22" s="127">
        <f>IFERROR(IF('OR KPI 1-4 &amp; 6 IT'!J35="",AVERAGEIF('OR KPI 1-4 &amp; 6 manual'!$M$2:$M$1288,L22,'OR KPI 1-4 &amp; 6 manual'!$AO$2:$AO$1288),'OR KPI 1-4 &amp; 6 IT'!J35),"")</f>
        <v>0.5</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25">
      <c r="A23" t="str">
        <f>'Summary Sheet'!$C$10</f>
        <v>JD-GEN-4</v>
      </c>
      <c r="B23" t="str">
        <f>_xlfn.CONCAT(VLOOKUP('Summary Sheet'!$C$8,'Summary Sheet'!$K$82:$L$93,2),"-",'Summary Sheet'!$C$8,"-",'Summary Sheet'!$C$9)</f>
        <v>31-January-2025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0</v>
      </c>
      <c r="L23" t="s">
        <v>39</v>
      </c>
      <c r="M23">
        <f>IF('OR KPI 1-4 &amp; 6 IT'!I36="",COUNTIFS('OR KPI 1-4 &amp; 6 manual'!$A$2:$A$1288,"&gt;0",'OR KPI 1-4 &amp; 6 manual'!$M$2:$M$1288,Script!L23,'OR KPI 1-4 &amp; 6 manual'!$P$2:$P$1288,"&gt;0"),'OR KPI 1-4 &amp; 6 IT'!I36)</f>
        <v>25</v>
      </c>
      <c r="N23" s="127">
        <f>IFERROR(IF('OR KPI 1-4 &amp; 6 IT'!J36="",AVERAGEIF('OR KPI 1-4 &amp; 6 manual'!$M$2:$M$1288,L23,'OR KPI 1-4 &amp; 6 manual'!$AO$2:$AO$1288),'OR KPI 1-4 &amp; 6 IT'!J36),"")</f>
        <v>7</v>
      </c>
      <c r="O23" s="127"/>
      <c r="P23" s="126">
        <f>IFERROR(IF('OR KPI 1-4 &amp; 6 IT'!N7="",(COUNTIFS('OR KPI 1-4 &amp; 6 manual'!$AR$2:$AR$1288,"Yes",'OR KPI 1-4 &amp; 6 manual'!$J$2:$J$1288,Script!L23)/COUNTIF('OR KPI 1-4 &amp; 6 manual'!$AL$3:$AL$1288,"&gt; 0")),'OR KPI 1-4 &amp; 6 IT'!N7),"")</f>
        <v>5.2631578947368418E-2</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25">
      <c r="A24" t="str">
        <f>'Summary Sheet'!$C$10</f>
        <v>JD-GEN-4</v>
      </c>
      <c r="B24" t="str">
        <f>_xlfn.CONCAT(VLOOKUP('Summary Sheet'!$C$8,'Summary Sheet'!$K$82:$L$93,2),"-",'Summary Sheet'!$C$8,"-",'Summary Sheet'!$C$9)</f>
        <v>31-January-2025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0</v>
      </c>
      <c r="L24" t="s">
        <v>42</v>
      </c>
      <c r="M24">
        <f>IF('OR KPI 1-4 &amp; 6 IT'!I37="",COUNTIFS('OR KPI 1-4 &amp; 6 manual'!$A$2:$A$1288,"&gt;0",'OR KPI 1-4 &amp; 6 manual'!$M$2:$M$1288,Script!L24,'OR KPI 1-4 &amp; 6 manual'!$P$2:$P$1288,"&gt;0"),'OR KPI 1-4 &amp; 6 IT'!I37)</f>
        <v>6</v>
      </c>
      <c r="N24" s="127">
        <f>IFERROR(IF('OR KPI 1-4 &amp; 6 IT'!J37="",AVERAGEIF('OR KPI 1-4 &amp; 6 manual'!$M$2:$M$1288,L24,'OR KPI 1-4 &amp; 6 manual'!$AO$2:$AO$1288),'OR KPI 1-4 &amp; 6 IT'!J37),"")</f>
        <v>1.1666666666666667</v>
      </c>
      <c r="O24" s="127"/>
      <c r="P24" s="126">
        <f>IFERROR(IF('OR KPI 1-4 &amp; 6 IT'!N8="",(COUNTIFS('OR KPI 1-4 &amp; 6 manual'!$AR$2:$AR$1288,"Yes",'OR KPI 1-4 &amp; 6 manual'!$J$2:$J$1288,Script!L24)/COUNTIF('OR KPI 1-4 &amp; 6 manual'!$AL$3:$AL$1288,"&gt; 0")),'OR KPI 1-4 &amp; 6 IT'!N8),"")</f>
        <v>0.15037593984962405</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25">
      <c r="A25" t="str">
        <f>'Summary Sheet'!$C$10</f>
        <v>JD-GEN-4</v>
      </c>
      <c r="B25" t="str">
        <f>_xlfn.CONCAT(VLOOKUP('Summary Sheet'!$C$8,'Summary Sheet'!$K$82:$L$93,2),"-",'Summary Sheet'!$C$8,"-",'Summary Sheet'!$C$9)</f>
        <v>31-January-2025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25">
      <c r="A26" t="str">
        <f>'Summary Sheet'!$C$10</f>
        <v>JD-GEN-4</v>
      </c>
      <c r="B26" t="str">
        <f>_xlfn.CONCAT(VLOOKUP('Summary Sheet'!$C$8,'Summary Sheet'!$K$82:$L$93,2),"-",'Summary Sheet'!$C$8,"-",'Summary Sheet'!$C$9)</f>
        <v>31-January-2025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0</v>
      </c>
      <c r="L26" t="s">
        <v>48</v>
      </c>
      <c r="M26">
        <f>IF('OR KPI 1-4 &amp; 6 IT'!I39="",COUNTIFS('OR KPI 1-4 &amp; 6 manual'!$A$2:$A$1288,"&gt;0",'OR KPI 1-4 &amp; 6 manual'!$M$2:$M$1288,Script!L26,'OR KPI 1-4 &amp; 6 manual'!$P$2:$P$1288,"&gt;0"),'OR KPI 1-4 &amp; 6 IT'!I39)</f>
        <v>2</v>
      </c>
      <c r="N26" s="127">
        <f>IFERROR(IF('OR KPI 1-4 &amp; 6 IT'!J39="",AVERAGEIF('OR KPI 1-4 &amp; 6 manual'!$M$2:$M$1288,L26,'OR KPI 1-4 &amp; 6 manual'!$AO$2:$AO$1288),'OR KPI 1-4 &amp; 6 IT'!J39),"")</f>
        <v>1.5</v>
      </c>
      <c r="O26" s="127"/>
      <c r="P26" s="126">
        <f>IFERROR(IF('OR KPI 1-4 &amp; 6 IT'!N10="",(COUNTIFS('OR KPI 1-4 &amp; 6 manual'!$AR$2:$AR$1288,"Yes",'OR KPI 1-4 &amp; 6 manual'!$J$2:$J$1288,Script!L26)/COUNTIF('OR KPI 1-4 &amp; 6 manual'!$AL$3:$AL$1288,"&gt; 0")),'OR KPI 1-4 &amp; 6 IT'!N10),"")</f>
        <v>7.5187969924812026E-3</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25">
      <c r="A27" t="str">
        <f>'Summary Sheet'!$C$10</f>
        <v>JD-GEN-4</v>
      </c>
      <c r="B27" t="str">
        <f>_xlfn.CONCAT(VLOOKUP('Summary Sheet'!$C$8,'Summary Sheet'!$K$82:$L$93,2),"-",'Summary Sheet'!$C$8,"-",'Summary Sheet'!$C$9)</f>
        <v>31-January-2025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25">
      <c r="A28" t="str">
        <f>'Summary Sheet'!$C$10</f>
        <v>JD-GEN-4</v>
      </c>
      <c r="B28" t="str">
        <f>_xlfn.CONCAT(VLOOKUP('Summary Sheet'!$C$8,'Summary Sheet'!$K$82:$L$93,2),"-",'Summary Sheet'!$C$8,"-",'Summary Sheet'!$C$9)</f>
        <v>31-January-2025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2</v>
      </c>
      <c r="N28" s="127">
        <f>IFERROR(IF('OR KPI 1-4 &amp; 6 IT'!J41="",AVERAGEIF('OR KPI 1-4 &amp; 6 manual'!$M$2:$M$1288,L28,'OR KPI 1-4 &amp; 6 manual'!$AO$2:$AO$1288),'OR KPI 1-4 &amp; 6 IT'!J41),"")</f>
        <v>6.5</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25">
      <c r="A29" t="str">
        <f>'Summary Sheet'!$C$10</f>
        <v>JD-GEN-4</v>
      </c>
      <c r="B29" t="str">
        <f>_xlfn.CONCAT(VLOOKUP('Summary Sheet'!$C$8,'Summary Sheet'!$K$82:$L$93,2),"-",'Summary Sheet'!$C$8,"-",'Summary Sheet'!$C$9)</f>
        <v>31-January-2025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25">
      <c r="A30" t="str">
        <f>'Summary Sheet'!$C$10</f>
        <v>JD-GEN-4</v>
      </c>
      <c r="B30" t="str">
        <f>_xlfn.CONCAT(VLOOKUP('Summary Sheet'!$C$8,'Summary Sheet'!$K$82:$L$93,2),"-",'Summary Sheet'!$C$8,"-",'Summary Sheet'!$C$9)</f>
        <v>31-January-2025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25">
      <c r="A31" t="str">
        <f>'Summary Sheet'!$C$10</f>
        <v>JD-GEN-4</v>
      </c>
      <c r="B31" t="str">
        <f>_xlfn.CONCAT(VLOOKUP('Summary Sheet'!$C$8,'Summary Sheet'!$K$82:$L$93,2),"-",'Summary Sheet'!$C$8,"-",'Summary Sheet'!$C$9)</f>
        <v>31-January-2025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25">
      <c r="A32" t="str">
        <f>'Summary Sheet'!$C$10</f>
        <v>JD-GEN-4</v>
      </c>
      <c r="B32" t="str">
        <f>_xlfn.CONCAT(VLOOKUP('Summary Sheet'!$C$8,'Summary Sheet'!$K$82:$L$93,2),"-",'Summary Sheet'!$C$8,"-",'Summary Sheet'!$C$9)</f>
        <v>31-January-2025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25">
      <c r="A33" t="str">
        <f>'Summary Sheet'!$C$10</f>
        <v>JD-GEN-4</v>
      </c>
      <c r="B33" t="str">
        <f>_xlfn.CONCAT(VLOOKUP('Summary Sheet'!$C$8,'Summary Sheet'!$K$82:$L$93,2),"-",'Summary Sheet'!$C$8,"-",'Summary Sheet'!$C$9)</f>
        <v>31-January-2025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25">
      <c r="A34" t="str">
        <f>'Summary Sheet'!$C$10</f>
        <v>JD-GEN-4</v>
      </c>
      <c r="B34" t="str">
        <f>_xlfn.CONCAT(VLOOKUP('Summary Sheet'!$C$8,'Summary Sheet'!$K$82:$L$93,2),"-",'Summary Sheet'!$C$8,"-",'Summary Sheet'!$C$9)</f>
        <v>31-January-2025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25">
      <c r="A35" t="str">
        <f>'Summary Sheet'!$C$10</f>
        <v>JD-GEN-4</v>
      </c>
      <c r="B35" t="str">
        <f>_xlfn.CONCAT(VLOOKUP('Summary Sheet'!$C$8,'Summary Sheet'!$K$82:$L$93,2),"-",'Summary Sheet'!$C$8,"-",'Summary Sheet'!$C$9)</f>
        <v>31-January-2025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25">
      <c r="A36" t="str">
        <f>'Summary Sheet'!$C$10</f>
        <v>JD-GEN-4</v>
      </c>
      <c r="B36" t="str">
        <f>_xlfn.CONCAT(VLOOKUP('Summary Sheet'!$C$8,'Summary Sheet'!$K$82:$L$93,2),"-",'Summary Sheet'!$C$8,"-",'Summary Sheet'!$C$9)</f>
        <v>31-January-2025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25">
      <c r="A37" t="str">
        <f>'Summary Sheet'!$C$10</f>
        <v>JD-GEN-4</v>
      </c>
      <c r="B37" t="str">
        <f>_xlfn.CONCAT(VLOOKUP('Summary Sheet'!$C$8,'Summary Sheet'!$K$82:$L$93,2),"-",'Summary Sheet'!$C$8,"-",'Summary Sheet'!$C$9)</f>
        <v>31-January-2025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25">
      <c r="A38" t="str">
        <f>'Summary Sheet'!$C$10</f>
        <v>JD-GEN-4</v>
      </c>
      <c r="B38" t="str">
        <f>_xlfn.CONCAT(VLOOKUP('Summary Sheet'!$C$8,'Summary Sheet'!$K$82:$L$93,2),"-",'Summary Sheet'!$C$8,"-",'Summary Sheet'!$C$9)</f>
        <v>31-January-2025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0</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Props1.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9E2B65C-6DFF-4294-A6E4-08EC1407BF15}">
  <ds:schemaRefs>
    <ds:schemaRef ds:uri="http://schemas.microsoft.com/sharepoint/v3/contenttype/forms"/>
  </ds:schemaRefs>
</ds:datastoreItem>
</file>

<file path=customXml/itemProps3.xml><?xml version="1.0" encoding="utf-8"?>
<ds:datastoreItem xmlns:ds="http://schemas.openxmlformats.org/officeDocument/2006/customXml" ds:itemID="{8761BF4E-8D05-492C-9238-C117B8EEE543}">
  <ds:schemaRefs>
    <ds:schemaRef ds:uri="http://purl.org/dc/elements/1.1/"/>
    <ds:schemaRef ds:uri="http://schemas.openxmlformats.org/package/2006/metadata/core-properties"/>
    <ds:schemaRef ds:uri="http://purl.org/dc/terms/"/>
    <ds:schemaRef ds:uri="c5e83ab5-acf4-4118-a866-7115afea7b5a"/>
    <ds:schemaRef ds:uri="http://schemas.microsoft.com/office/2006/metadata/properties"/>
    <ds:schemaRef ds:uri="http://schemas.microsoft.com/office/2006/documentManagement/types"/>
    <ds:schemaRef ds:uri="964f0a7c-bcf0-4337-b577-3747e0a5c4bc"/>
    <ds:schemaRef ds:uri="http://schemas.microsoft.com/office/infopath/2007/PartnerControls"/>
    <ds:schemaRef ds:uri="http://purl.org/dc/dcmitype/"/>
    <ds:schemaRef ds:uri="http://schemas.microsoft.com/sharepoint/v3/fields"/>
    <ds:schemaRef ds:uri="http://schemas.microsoft.com/sharepoint/v3"/>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Yasmin M. Bo Hassan</cp:lastModifiedBy>
  <cp:revision/>
  <dcterms:created xsi:type="dcterms:W3CDTF">2014-06-29T11:53:18Z</dcterms:created>
  <dcterms:modified xsi:type="dcterms:W3CDTF">2025-01-19T09:43:38Z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