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605873d174b7d3b/Excel Docs/"/>
    </mc:Choice>
  </mc:AlternateContent>
  <xr:revisionPtr revIDLastSave="63" documentId="8_{0880CDF2-0EAC-48F2-9D3B-8279B63810FC}" xr6:coauthVersionLast="47" xr6:coauthVersionMax="47" xr10:uidLastSave="{37FFF983-CB4F-4F6F-8FB1-EF2817AEDEE4}"/>
  <bookViews>
    <workbookView xWindow="28680" yWindow="-120" windowWidth="29040" windowHeight="15720" xr2:uid="{D59E5870-DFA6-48E7-BCC6-AC7FF606A11A}"/>
  </bookViews>
  <sheets>
    <sheet name="Cheat Code" sheetId="5" r:id="rId1"/>
    <sheet name="Premium Financ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H3" i="6" s="1"/>
  <c r="V1" i="6"/>
  <c r="D5" i="6" s="1"/>
  <c r="F8" i="5"/>
  <c r="F9" i="5" s="1"/>
  <c r="G8" i="5"/>
  <c r="AI8" i="5"/>
  <c r="AI9" i="5" s="1"/>
  <c r="AI10" i="5" s="1"/>
  <c r="AI11" i="5" s="1"/>
  <c r="AI12" i="5" s="1"/>
  <c r="AI13" i="5" s="1"/>
  <c r="AI14" i="5" s="1"/>
  <c r="AI15" i="5" s="1"/>
  <c r="AI16" i="5" s="1"/>
  <c r="AI17" i="5" s="1"/>
  <c r="AI18" i="5" s="1"/>
  <c r="AI19" i="5" s="1"/>
  <c r="AI20" i="5" s="1"/>
  <c r="AI21" i="5" s="1"/>
  <c r="AI22" i="5" s="1"/>
  <c r="AI23" i="5" s="1"/>
  <c r="AI24" i="5" s="1"/>
  <c r="AI25" i="5" s="1"/>
  <c r="AI26" i="5" s="1"/>
  <c r="AI27" i="5" s="1"/>
  <c r="X8" i="5"/>
  <c r="X9" i="5" s="1"/>
  <c r="V7" i="5"/>
  <c r="U7" i="5" s="1"/>
  <c r="I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C11" i="6" l="1"/>
  <c r="D20" i="6"/>
  <c r="C7" i="6"/>
  <c r="D7" i="6"/>
  <c r="B15" i="6"/>
  <c r="B8" i="6"/>
  <c r="F8" i="6" s="1"/>
  <c r="C8" i="6"/>
  <c r="C16" i="6"/>
  <c r="B19" i="6"/>
  <c r="B11" i="6"/>
  <c r="F11" i="6" s="1"/>
  <c r="D19" i="6"/>
  <c r="D11" i="6"/>
  <c r="B16" i="6"/>
  <c r="D8" i="6"/>
  <c r="B12" i="6"/>
  <c r="F12" i="6" s="1"/>
  <c r="B5" i="6"/>
  <c r="F5" i="6" s="1"/>
  <c r="G5" i="6" s="1"/>
  <c r="H5" i="6" s="1"/>
  <c r="B17" i="6"/>
  <c r="B22" i="6"/>
  <c r="C5" i="6"/>
  <c r="B9" i="6"/>
  <c r="F9" i="6" s="1"/>
  <c r="D13" i="6"/>
  <c r="C17" i="6"/>
  <c r="C22" i="6"/>
  <c r="B14" i="6"/>
  <c r="F14" i="6" s="1"/>
  <c r="C23" i="6"/>
  <c r="D17" i="6"/>
  <c r="D22" i="6"/>
  <c r="B6" i="6"/>
  <c r="F6" i="6" s="1"/>
  <c r="B10" i="6"/>
  <c r="F10" i="6" s="1"/>
  <c r="C10" i="6"/>
  <c r="C14" i="6"/>
  <c r="B18" i="6"/>
  <c r="B7" i="6"/>
  <c r="F7" i="6" s="1"/>
  <c r="D10" i="6"/>
  <c r="D14" i="6"/>
  <c r="C19" i="6"/>
  <c r="B23" i="6"/>
  <c r="D23" i="6"/>
  <c r="B13" i="6"/>
  <c r="F13" i="6" s="1"/>
  <c r="D16" i="6"/>
  <c r="B20" i="6"/>
  <c r="C13" i="6"/>
  <c r="C20" i="6"/>
  <c r="B24" i="6"/>
  <c r="B21" i="6"/>
  <c r="C6" i="6"/>
  <c r="C9" i="6"/>
  <c r="C12" i="6"/>
  <c r="C15" i="6"/>
  <c r="C18" i="6"/>
  <c r="C21" i="6"/>
  <c r="C24" i="6"/>
  <c r="D6" i="6"/>
  <c r="D9" i="6"/>
  <c r="D12" i="6"/>
  <c r="D15" i="6"/>
  <c r="D18" i="6"/>
  <c r="D21" i="6"/>
  <c r="D24" i="6"/>
  <c r="Y8" i="5"/>
  <c r="X10" i="5"/>
  <c r="Y9" i="5"/>
  <c r="Y10" i="5" l="1"/>
  <c r="X11" i="5"/>
  <c r="X12" i="5" l="1"/>
  <c r="Y11" i="5"/>
  <c r="X13" i="5" l="1"/>
  <c r="Y12" i="5"/>
  <c r="X14" i="5" l="1"/>
  <c r="Y13" i="5"/>
  <c r="X15" i="5" l="1"/>
  <c r="Y14" i="5"/>
  <c r="X16" i="5" l="1"/>
  <c r="Y15" i="5"/>
  <c r="X17" i="5" l="1"/>
  <c r="Y16" i="5"/>
  <c r="Y17" i="5" l="1"/>
  <c r="X18" i="5"/>
  <c r="X19" i="5" l="1"/>
  <c r="Y18" i="5"/>
  <c r="X20" i="5" l="1"/>
  <c r="Y19" i="5"/>
  <c r="X21" i="5" l="1"/>
  <c r="Y20" i="5"/>
  <c r="X22" i="5" l="1"/>
  <c r="Y21" i="5"/>
  <c r="X23" i="5" l="1"/>
  <c r="Y22" i="5"/>
  <c r="X24" i="5" l="1"/>
  <c r="Y23" i="5"/>
  <c r="X25" i="5" l="1"/>
  <c r="Y24" i="5"/>
  <c r="X26" i="5" l="1"/>
  <c r="Y25" i="5"/>
  <c r="Y26" i="5" l="1"/>
  <c r="X27" i="5"/>
  <c r="Y27" i="5" l="1"/>
  <c r="G5" i="5" l="1"/>
  <c r="Y2" i="5" l="1"/>
  <c r="E8" i="5"/>
  <c r="E9" i="5" s="1"/>
  <c r="E10" i="5" s="1"/>
  <c r="E11" i="5" s="1"/>
  <c r="E12" i="5" s="1"/>
  <c r="F10" i="5"/>
  <c r="C8" i="5"/>
  <c r="AH8" i="5" l="1"/>
  <c r="E13" i="5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F11" i="5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D8" i="5"/>
  <c r="C9" i="5"/>
  <c r="AH9" i="5" s="1"/>
  <c r="Z8" i="5" l="1"/>
  <c r="W8" i="5" s="1"/>
  <c r="F25" i="5"/>
  <c r="F26" i="5" s="1"/>
  <c r="F27" i="5" s="1"/>
  <c r="E26" i="5"/>
  <c r="E27" i="5" s="1"/>
  <c r="C10" i="5"/>
  <c r="AH10" i="5" s="1"/>
  <c r="D9" i="5"/>
  <c r="Z9" i="5" l="1"/>
  <c r="W9" i="5" s="1"/>
  <c r="AB9" i="5" s="1"/>
  <c r="AA9" i="5" s="1"/>
  <c r="AB8" i="5"/>
  <c r="AA8" i="5" s="1"/>
  <c r="H8" i="5" s="1"/>
  <c r="D10" i="5"/>
  <c r="C11" i="5"/>
  <c r="AH11" i="5" s="1"/>
  <c r="AC8" i="5" l="1"/>
  <c r="AD8" i="5" s="1"/>
  <c r="AE8" i="5" s="1"/>
  <c r="AF8" i="5" s="1"/>
  <c r="G9" i="5" s="1"/>
  <c r="I8" i="5"/>
  <c r="Z10" i="5"/>
  <c r="W10" i="5" s="1"/>
  <c r="C12" i="5"/>
  <c r="AH12" i="5" s="1"/>
  <c r="D11" i="5"/>
  <c r="Z11" i="5" l="1"/>
  <c r="W11" i="5"/>
  <c r="AB11" i="5" s="1"/>
  <c r="AA11" i="5" s="1"/>
  <c r="AB10" i="5"/>
  <c r="AA10" i="5" s="1"/>
  <c r="D12" i="5"/>
  <c r="C13" i="5"/>
  <c r="Z12" i="5" l="1"/>
  <c r="W12" i="5" s="1"/>
  <c r="AB12" i="5" s="1"/>
  <c r="AA12" i="5" s="1"/>
  <c r="AH13" i="5"/>
  <c r="D13" i="5"/>
  <c r="Z13" i="5" s="1"/>
  <c r="C14" i="5"/>
  <c r="AH14" i="5" s="1"/>
  <c r="W13" i="5" l="1"/>
  <c r="C15" i="5"/>
  <c r="AH15" i="5" s="1"/>
  <c r="D14" i="5"/>
  <c r="Z14" i="5" l="1"/>
  <c r="W14" i="5" s="1"/>
  <c r="AB14" i="5" s="1"/>
  <c r="AA14" i="5" s="1"/>
  <c r="AB13" i="5"/>
  <c r="AA13" i="5" s="1"/>
  <c r="D15" i="5"/>
  <c r="C16" i="5"/>
  <c r="AH16" i="5" s="1"/>
  <c r="Z15" i="5" l="1"/>
  <c r="W15" i="5" s="1"/>
  <c r="AB15" i="5" s="1"/>
  <c r="AA15" i="5" s="1"/>
  <c r="C17" i="5"/>
  <c r="AH17" i="5" s="1"/>
  <c r="D16" i="5"/>
  <c r="Z16" i="5" l="1"/>
  <c r="W16" i="5" s="1"/>
  <c r="D17" i="5"/>
  <c r="C18" i="5"/>
  <c r="AH18" i="5" s="1"/>
  <c r="Z17" i="5" l="1"/>
  <c r="W17" i="5"/>
  <c r="AB17" i="5" s="1"/>
  <c r="AA17" i="5" s="1"/>
  <c r="AB16" i="5"/>
  <c r="AA16" i="5" s="1"/>
  <c r="C19" i="5"/>
  <c r="AH19" i="5" s="1"/>
  <c r="D18" i="5"/>
  <c r="Z18" i="5" l="1"/>
  <c r="W18" i="5" s="1"/>
  <c r="D19" i="5"/>
  <c r="C20" i="5"/>
  <c r="AH20" i="5" s="1"/>
  <c r="Z19" i="5" l="1"/>
  <c r="W19" i="5"/>
  <c r="AB19" i="5" s="1"/>
  <c r="AA19" i="5" s="1"/>
  <c r="AB18" i="5"/>
  <c r="AA18" i="5" s="1"/>
  <c r="C21" i="5"/>
  <c r="AH21" i="5" s="1"/>
  <c r="D20" i="5"/>
  <c r="Z20" i="5" l="1"/>
  <c r="W20" i="5"/>
  <c r="C22" i="5"/>
  <c r="AH22" i="5" s="1"/>
  <c r="D21" i="5"/>
  <c r="Z21" i="5" l="1"/>
  <c r="W21" i="5" s="1"/>
  <c r="AB20" i="5"/>
  <c r="AA20" i="5" s="1"/>
  <c r="C23" i="5"/>
  <c r="AH23" i="5" s="1"/>
  <c r="D22" i="5"/>
  <c r="Z22" i="5" l="1"/>
  <c r="W22" i="5" s="1"/>
  <c r="AB21" i="5"/>
  <c r="AA21" i="5" s="1"/>
  <c r="D23" i="5"/>
  <c r="C24" i="5"/>
  <c r="AH24" i="5" s="1"/>
  <c r="Z23" i="5" l="1"/>
  <c r="W23" i="5"/>
  <c r="AB23" i="5" s="1"/>
  <c r="AA23" i="5" s="1"/>
  <c r="AB22" i="5"/>
  <c r="AA22" i="5" s="1"/>
  <c r="D24" i="5"/>
  <c r="C25" i="5"/>
  <c r="AH25" i="5" l="1"/>
  <c r="C26" i="5"/>
  <c r="D26" i="5" s="1"/>
  <c r="Z24" i="5"/>
  <c r="W24" i="5"/>
  <c r="D25" i="5"/>
  <c r="AH26" i="5" l="1"/>
  <c r="Z25" i="5"/>
  <c r="W25" i="5"/>
  <c r="AB24" i="5"/>
  <c r="AA24" i="5" s="1"/>
  <c r="Z26" i="5"/>
  <c r="C27" i="5"/>
  <c r="AH27" i="5" s="1"/>
  <c r="W26" i="5" l="1"/>
  <c r="AB26" i="5" s="1"/>
  <c r="AA26" i="5" s="1"/>
  <c r="AB25" i="5"/>
  <c r="AA25" i="5" s="1"/>
  <c r="D27" i="5"/>
  <c r="Z27" i="5" l="1"/>
  <c r="W27" i="5"/>
  <c r="AB27" i="5" s="1"/>
  <c r="AA27" i="5" s="1"/>
  <c r="J8" i="5" l="1"/>
  <c r="K8" i="5" s="1"/>
  <c r="H9" i="5" l="1"/>
  <c r="AC9" i="5" l="1"/>
  <c r="AD9" i="5" s="1"/>
  <c r="AE9" i="5" s="1"/>
  <c r="AF9" i="5" s="1"/>
  <c r="AG9" i="5" s="1"/>
  <c r="I9" i="5"/>
  <c r="J9" i="5" s="1"/>
  <c r="K9" i="5" s="1"/>
  <c r="I6" i="6" l="1"/>
  <c r="G6" i="6" s="1"/>
  <c r="G10" i="5"/>
  <c r="H10" i="5" l="1"/>
  <c r="J5" i="6"/>
  <c r="L5" i="6" s="1"/>
  <c r="M8" i="5" s="1"/>
  <c r="H6" i="6"/>
  <c r="AC10" i="5" l="1"/>
  <c r="AD10" i="5" s="1"/>
  <c r="AE10" i="5" s="1"/>
  <c r="AF10" i="5" s="1"/>
  <c r="AG10" i="5" s="1"/>
  <c r="I10" i="5"/>
  <c r="K5" i="6"/>
  <c r="L8" i="5" s="1"/>
  <c r="V8" i="5" s="1"/>
  <c r="J10" i="5" l="1"/>
  <c r="K10" i="5" s="1"/>
  <c r="I7" i="6"/>
  <c r="G7" i="6" s="1"/>
  <c r="G11" i="5"/>
  <c r="H11" i="5" l="1"/>
  <c r="H7" i="6"/>
  <c r="J6" i="6"/>
  <c r="AC11" i="5" l="1"/>
  <c r="AD11" i="5" s="1"/>
  <c r="AE11" i="5" s="1"/>
  <c r="AF11" i="5" s="1"/>
  <c r="I11" i="5"/>
  <c r="K6" i="6"/>
  <c r="L9" i="5" s="1"/>
  <c r="V9" i="5" s="1"/>
  <c r="L6" i="6"/>
  <c r="M9" i="5" s="1"/>
  <c r="AG11" i="5"/>
  <c r="J11" i="5"/>
  <c r="K11" i="5" s="1"/>
  <c r="I8" i="6" l="1"/>
  <c r="G8" i="6" s="1"/>
  <c r="G12" i="5"/>
  <c r="H12" i="5" l="1"/>
  <c r="J7" i="6"/>
  <c r="H8" i="6"/>
  <c r="AC12" i="5" l="1"/>
  <c r="AD12" i="5" s="1"/>
  <c r="I12" i="5"/>
  <c r="J12" i="5" s="1"/>
  <c r="K12" i="5" s="1"/>
  <c r="AE12" i="5"/>
  <c r="AF12" i="5" s="1"/>
  <c r="L7" i="6"/>
  <c r="M10" i="5" s="1"/>
  <c r="K7" i="6"/>
  <c r="L10" i="5" s="1"/>
  <c r="V10" i="5" s="1"/>
  <c r="AG12" i="5"/>
  <c r="I9" i="6" l="1"/>
  <c r="G9" i="6" s="1"/>
  <c r="G13" i="5"/>
  <c r="H13" i="5" l="1"/>
  <c r="H9" i="6"/>
  <c r="J8" i="6"/>
  <c r="AC13" i="5" l="1"/>
  <c r="AD13" i="5" s="1"/>
  <c r="I13" i="5"/>
  <c r="J13" i="5" s="1"/>
  <c r="K13" i="5" s="1"/>
  <c r="AE13" i="5"/>
  <c r="AF13" i="5" s="1"/>
  <c r="L8" i="6"/>
  <c r="M11" i="5" s="1"/>
  <c r="K8" i="6"/>
  <c r="L11" i="5" s="1"/>
  <c r="V11" i="5" s="1"/>
  <c r="AG13" i="5"/>
  <c r="I10" i="6" l="1"/>
  <c r="G10" i="6" s="1"/>
  <c r="G14" i="5"/>
  <c r="H14" i="5" l="1"/>
  <c r="H10" i="6"/>
  <c r="J9" i="6"/>
  <c r="AC14" i="5" l="1"/>
  <c r="AD14" i="5" s="1"/>
  <c r="AE14" i="5" s="1"/>
  <c r="AF14" i="5" s="1"/>
  <c r="AG14" i="5" s="1"/>
  <c r="I14" i="5"/>
  <c r="J14" i="5" s="1"/>
  <c r="K14" i="5" s="1"/>
  <c r="L9" i="6"/>
  <c r="M12" i="5" s="1"/>
  <c r="K9" i="6"/>
  <c r="L12" i="5" s="1"/>
  <c r="V12" i="5" s="1"/>
  <c r="I11" i="6" l="1"/>
  <c r="G11" i="6" s="1"/>
  <c r="G15" i="5"/>
  <c r="H15" i="5" l="1"/>
  <c r="H11" i="6"/>
  <c r="J10" i="6"/>
  <c r="AC15" i="5" l="1"/>
  <c r="AD15" i="5" s="1"/>
  <c r="I15" i="5"/>
  <c r="J15" i="5" s="1"/>
  <c r="K15" i="5" s="1"/>
  <c r="AE15" i="5"/>
  <c r="AF15" i="5" s="1"/>
  <c r="AG15" i="5" s="1"/>
  <c r="K10" i="6"/>
  <c r="L13" i="5" s="1"/>
  <c r="V13" i="5" s="1"/>
  <c r="L10" i="6"/>
  <c r="M13" i="5" s="1"/>
  <c r="I12" i="6" l="1"/>
  <c r="G12" i="6" s="1"/>
  <c r="G16" i="5"/>
  <c r="H16" i="5" l="1"/>
  <c r="J11" i="6"/>
  <c r="H12" i="6"/>
  <c r="AC16" i="5" l="1"/>
  <c r="AD16" i="5" s="1"/>
  <c r="I16" i="5"/>
  <c r="AE16" i="5"/>
  <c r="AF16" i="5" s="1"/>
  <c r="L11" i="6"/>
  <c r="M14" i="5" s="1"/>
  <c r="K11" i="6"/>
  <c r="L14" i="5" s="1"/>
  <c r="V14" i="5" s="1"/>
  <c r="J16" i="5"/>
  <c r="K16" i="5" s="1"/>
  <c r="AG16" i="5" l="1"/>
  <c r="G17" i="5" s="1"/>
  <c r="I13" i="6" l="1"/>
  <c r="G13" i="6" s="1"/>
  <c r="H13" i="6" s="1"/>
  <c r="H17" i="5"/>
  <c r="I17" i="5" s="1"/>
  <c r="J12" i="6" l="1"/>
  <c r="L12" i="6" s="1"/>
  <c r="M15" i="5" s="1"/>
  <c r="AC17" i="5"/>
  <c r="AD17" i="5" s="1"/>
  <c r="AE17" i="5" s="1"/>
  <c r="AF17" i="5" s="1"/>
  <c r="AG17" i="5" s="1"/>
  <c r="J17" i="5"/>
  <c r="K17" i="5" s="1"/>
  <c r="K12" i="6" l="1"/>
  <c r="L15" i="5" s="1"/>
  <c r="V15" i="5" s="1"/>
  <c r="I14" i="6"/>
  <c r="G14" i="6" s="1"/>
  <c r="G18" i="5"/>
  <c r="H18" i="5" l="1"/>
  <c r="H14" i="6"/>
  <c r="J13" i="6"/>
  <c r="AC18" i="5" l="1"/>
  <c r="AD18" i="5" s="1"/>
  <c r="I18" i="5"/>
  <c r="J18" i="5" s="1"/>
  <c r="K18" i="5" s="1"/>
  <c r="AE18" i="5"/>
  <c r="AF18" i="5" s="1"/>
  <c r="AG18" i="5" s="1"/>
  <c r="L13" i="6"/>
  <c r="M16" i="5" s="1"/>
  <c r="K13" i="6"/>
  <c r="L16" i="5" s="1"/>
  <c r="V16" i="5" s="1"/>
  <c r="I15" i="6" l="1"/>
  <c r="G15" i="6" s="1"/>
  <c r="G19" i="5"/>
  <c r="H19" i="5" l="1"/>
  <c r="J14" i="6"/>
  <c r="H15" i="6"/>
  <c r="AC19" i="5" l="1"/>
  <c r="AD19" i="5" s="1"/>
  <c r="I19" i="5"/>
  <c r="AE19" i="5"/>
  <c r="AF19" i="5" s="1"/>
  <c r="AG19" i="5" s="1"/>
  <c r="K14" i="6"/>
  <c r="L17" i="5" s="1"/>
  <c r="V17" i="5" s="1"/>
  <c r="L14" i="6"/>
  <c r="M17" i="5" s="1"/>
  <c r="J19" i="5"/>
  <c r="K19" i="5" s="1"/>
  <c r="I16" i="6" l="1"/>
  <c r="G16" i="6" s="1"/>
  <c r="G20" i="5"/>
  <c r="H20" i="5" l="1"/>
  <c r="I20" i="5" s="1"/>
  <c r="H16" i="6"/>
  <c r="J15" i="6"/>
  <c r="AC20" i="5" l="1"/>
  <c r="AD20" i="5" s="1"/>
  <c r="AE20" i="5" s="1"/>
  <c r="AF20" i="5" s="1"/>
  <c r="AG20" i="5" s="1"/>
  <c r="L15" i="6"/>
  <c r="M18" i="5" s="1"/>
  <c r="K15" i="6"/>
  <c r="L18" i="5" s="1"/>
  <c r="V18" i="5" s="1"/>
  <c r="J20" i="5"/>
  <c r="K20" i="5" s="1"/>
  <c r="I17" i="6" l="1"/>
  <c r="G17" i="6" s="1"/>
  <c r="G21" i="5"/>
  <c r="J16" i="6" l="1"/>
  <c r="H17" i="6"/>
  <c r="H21" i="5"/>
  <c r="AC21" i="5" l="1"/>
  <c r="AD21" i="5" s="1"/>
  <c r="AE21" i="5" s="1"/>
  <c r="AF21" i="5" s="1"/>
  <c r="AG21" i="5" s="1"/>
  <c r="I21" i="5"/>
  <c r="J21" i="5" s="1"/>
  <c r="K21" i="5" s="1"/>
  <c r="L16" i="6"/>
  <c r="M19" i="5" s="1"/>
  <c r="K16" i="6"/>
  <c r="L19" i="5" s="1"/>
  <c r="V19" i="5" s="1"/>
  <c r="I18" i="6" l="1"/>
  <c r="G18" i="6" s="1"/>
  <c r="G22" i="5"/>
  <c r="H18" i="6" l="1"/>
  <c r="J17" i="6"/>
  <c r="H22" i="5"/>
  <c r="AC22" i="5" l="1"/>
  <c r="AD22" i="5" s="1"/>
  <c r="AE22" i="5" s="1"/>
  <c r="AF22" i="5" s="1"/>
  <c r="AG22" i="5" s="1"/>
  <c r="I22" i="5"/>
  <c r="J22" i="5" s="1"/>
  <c r="K22" i="5" s="1"/>
  <c r="L17" i="6"/>
  <c r="M20" i="5" s="1"/>
  <c r="K17" i="6"/>
  <c r="L20" i="5" s="1"/>
  <c r="V20" i="5" s="1"/>
  <c r="I19" i="6" l="1"/>
  <c r="G19" i="6" s="1"/>
  <c r="G23" i="5"/>
  <c r="H23" i="5" l="1"/>
  <c r="J18" i="6"/>
  <c r="K18" i="6" s="1"/>
  <c r="L21" i="5" s="1"/>
  <c r="V21" i="5" s="1"/>
  <c r="H19" i="6"/>
  <c r="AC23" i="5" l="1"/>
  <c r="AD23" i="5" s="1"/>
  <c r="AE23" i="5" s="1"/>
  <c r="AF23" i="5" s="1"/>
  <c r="AG23" i="5" s="1"/>
  <c r="I23" i="5"/>
  <c r="L18" i="6"/>
  <c r="M21" i="5" s="1"/>
  <c r="J23" i="5"/>
  <c r="K23" i="5" s="1"/>
  <c r="I20" i="6" l="1"/>
  <c r="G20" i="6" s="1"/>
  <c r="G24" i="5"/>
  <c r="H24" i="5" l="1"/>
  <c r="J19" i="6"/>
  <c r="H20" i="6"/>
  <c r="AC24" i="5" l="1"/>
  <c r="AD24" i="5" s="1"/>
  <c r="AE24" i="5" s="1"/>
  <c r="AF24" i="5" s="1"/>
  <c r="I24" i="5"/>
  <c r="J24" i="5" s="1"/>
  <c r="K24" i="5" s="1"/>
  <c r="K19" i="6"/>
  <c r="L22" i="5" s="1"/>
  <c r="V22" i="5" s="1"/>
  <c r="L19" i="6"/>
  <c r="M22" i="5" s="1"/>
  <c r="AG24" i="5" l="1"/>
  <c r="G25" i="5"/>
  <c r="I21" i="6"/>
  <c r="G21" i="6" s="1"/>
  <c r="H25" i="5" l="1"/>
  <c r="H21" i="6"/>
  <c r="J20" i="6"/>
  <c r="AC25" i="5" l="1"/>
  <c r="AD25" i="5" s="1"/>
  <c r="I25" i="5"/>
  <c r="J25" i="5" s="1"/>
  <c r="K25" i="5" s="1"/>
  <c r="AE25" i="5"/>
  <c r="AF25" i="5" s="1"/>
  <c r="AG25" i="5" s="1"/>
  <c r="K20" i="6"/>
  <c r="L23" i="5" s="1"/>
  <c r="V23" i="5" s="1"/>
  <c r="L20" i="6"/>
  <c r="M23" i="5" s="1"/>
  <c r="I22" i="6" l="1"/>
  <c r="G22" i="6" s="1"/>
  <c r="G26" i="5"/>
  <c r="H26" i="5" l="1"/>
  <c r="H22" i="6"/>
  <c r="J21" i="6"/>
  <c r="AC26" i="5" l="1"/>
  <c r="AD26" i="5" s="1"/>
  <c r="I26" i="5"/>
  <c r="AE26" i="5"/>
  <c r="AF26" i="5" s="1"/>
  <c r="L21" i="6"/>
  <c r="M24" i="5" s="1"/>
  <c r="K21" i="6"/>
  <c r="L24" i="5" s="1"/>
  <c r="V24" i="5" s="1"/>
  <c r="J26" i="5"/>
  <c r="K26" i="5" s="1"/>
  <c r="AG26" i="5" l="1"/>
  <c r="G27" i="5" s="1"/>
  <c r="H27" i="5" s="1"/>
  <c r="I27" i="5" s="1"/>
  <c r="J27" i="5" s="1"/>
  <c r="K27" i="5" s="1"/>
  <c r="I23" i="6" l="1"/>
  <c r="G23" i="6" s="1"/>
  <c r="H23" i="6" s="1"/>
  <c r="AC27" i="5"/>
  <c r="J22" i="6" l="1"/>
  <c r="AD27" i="5"/>
  <c r="AE27" i="5" s="1"/>
  <c r="AF27" i="5" s="1"/>
  <c r="AG27" i="5" s="1"/>
  <c r="I24" i="6" s="1"/>
  <c r="L22" i="6"/>
  <c r="M25" i="5" s="1"/>
  <c r="K22" i="6"/>
  <c r="L25" i="5" s="1"/>
  <c r="V25" i="5" s="1"/>
  <c r="G24" i="6" l="1"/>
  <c r="H24" i="6" l="1"/>
  <c r="J23" i="6"/>
  <c r="L23" i="6" l="1"/>
  <c r="M26" i="5" s="1"/>
  <c r="K23" i="6"/>
  <c r="J24" i="6"/>
  <c r="K24" i="6" l="1"/>
  <c r="L27" i="5" s="1"/>
  <c r="V27" i="5" s="1"/>
  <c r="L26" i="5"/>
  <c r="V26" i="5" s="1"/>
  <c r="L24" i="6"/>
  <c r="M27" i="5" s="1"/>
  <c r="J32" i="5" s="1"/>
  <c r="J30" i="5" l="1"/>
  <c r="U27" i="5"/>
  <c r="J31" i="5"/>
  <c r="J33" i="5" s="1"/>
  <c r="J29" i="5"/>
</calcChain>
</file>

<file path=xl/sharedStrings.xml><?xml version="1.0" encoding="utf-8"?>
<sst xmlns="http://schemas.openxmlformats.org/spreadsheetml/2006/main" count="59" uniqueCount="57">
  <si>
    <t>Yr</t>
  </si>
  <si>
    <t>Plane Purchase Amount Example</t>
  </si>
  <si>
    <t>Loan Balance</t>
  </si>
  <si>
    <t>Plane Value</t>
  </si>
  <si>
    <t>Interest Only Payment</t>
  </si>
  <si>
    <t>Income Taxes Saved</t>
  </si>
  <si>
    <t>Positive/(Negative) Cash Flow on Plane Acquisition</t>
  </si>
  <si>
    <t>Approximate Taxable Income</t>
  </si>
  <si>
    <t>Expected Annual Income Growth</t>
  </si>
  <si>
    <t>Cumulative Positive/(Negative) Cash Flow on Plane Financing</t>
  </si>
  <si>
    <t>Credit Line LTV</t>
  </si>
  <si>
    <t>Accelerate Depreciation Tax Savings</t>
  </si>
  <si>
    <t>Depreciation Used</t>
  </si>
  <si>
    <t>Gross Taxable Income</t>
  </si>
  <si>
    <t>Net Income Taxes</t>
  </si>
  <si>
    <t>Redeploy Current Inv %</t>
  </si>
  <si>
    <t xml:space="preserve">Year </t>
  </si>
  <si>
    <t>Premium</t>
  </si>
  <si>
    <t>Death Benefit</t>
  </si>
  <si>
    <t>Cash Surrender Value</t>
  </si>
  <si>
    <t>Annual Loan</t>
  </si>
  <si>
    <t>Cumulative Loan</t>
  </si>
  <si>
    <t>Interest</t>
  </si>
  <si>
    <t>Net Free Cash Flow After Debt Service Reinvested</t>
  </si>
  <si>
    <t>Surplus Free Cash Flow</t>
  </si>
  <si>
    <t>Surplus Side Acct</t>
  </si>
  <si>
    <t>Net Cash &amp; Cash Value</t>
  </si>
  <si>
    <t>Net Death Benefit &amp; Cash</t>
  </si>
  <si>
    <t>Existing Investment Portfolio Collateralized to Finance Purchase EoY</t>
  </si>
  <si>
    <t>Assumed Short Term Int Rates</t>
  </si>
  <si>
    <t>Plane Purchase Price as % of Investments</t>
  </si>
  <si>
    <t>Plane Value Loss Per Year</t>
  </si>
  <si>
    <t>Assumed Net RoR Existing Portfolio</t>
  </si>
  <si>
    <t>Assumed Net RoR New Portfolio</t>
  </si>
  <si>
    <t>Depreciation Percentage Allowable</t>
  </si>
  <si>
    <t>Tax Savings Redeployed to Grow While Generating Tax Losses EoY</t>
  </si>
  <si>
    <t>Ordinary Income Investment Losses</t>
  </si>
  <si>
    <t>Assumed Income Tax Rate</t>
  </si>
  <si>
    <t>Baseline Estimated Income Taxes @ 40%</t>
  </si>
  <si>
    <t>Investments Without Plane Purchase As Is</t>
  </si>
  <si>
    <t>Taxable Income After Interest Deduction</t>
  </si>
  <si>
    <t>Net Legacy Value</t>
  </si>
  <si>
    <t>Effective Compound RoR</t>
  </si>
  <si>
    <t>Cheat Code Inputs</t>
  </si>
  <si>
    <t>Approximate Investments Outside Retirement Not Collateralized</t>
  </si>
  <si>
    <t>Cumulative Cost of Your Jet</t>
  </si>
  <si>
    <t>Assumed Ordinary Losses % of Assets</t>
  </si>
  <si>
    <t>Net Taxable Income After Depreciation</t>
  </si>
  <si>
    <t>Max Ordinary Loss %</t>
  </si>
  <si>
    <t>Max 1st Year Ordinary Loss $</t>
  </si>
  <si>
    <t>Max Ordinary Losses From Investments Capped by Income</t>
  </si>
  <si>
    <t>Net Taxable Income After Investment Losses</t>
  </si>
  <si>
    <t>Annual Income Tax Savings From Accelerated Depreciation, Interest and Active Trader Losses</t>
  </si>
  <si>
    <t>Net Legacy Increase Compared to Not Buying a Plane</t>
  </si>
  <si>
    <t>Combined Net Asset Value with Buying a Plane</t>
  </si>
  <si>
    <t>Net Asset Value Increase Compared to Not Buying a Plane</t>
  </si>
  <si>
    <t>Insurance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</si>
</sst>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_);_(&quot;$&quot;* \(#,##0\);_(&quot;$&quot;* &quot;-&quot;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333333"/>
      <name val="Arial"/>
      <family val="2"/>
    </font>
    <font>
      <sz val="11"/>
      <color rgb="FFFDBC03"/>
      <name val="Aptos Narrow"/>
      <family val="2"/>
      <scheme val="minor"/>
    </font>
    <font>
      <b/>
      <i/>
      <sz val="11"/>
      <color rgb="FFFDBC03"/>
      <name val="Aptos Narrow"/>
      <family val="2"/>
      <scheme val="minor"/>
    </font>
    <font>
      <b/>
      <sz val="11"/>
      <color rgb="FFFDBC0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theme="2" tint="-9.9948118533890809E-2"/>
      </left>
      <right/>
      <top style="medium">
        <color theme="2" tint="-9.9948118533890809E-2"/>
      </top>
      <bottom/>
      <diagonal/>
    </border>
    <border>
      <left/>
      <right/>
      <top style="medium">
        <color theme="2" tint="-9.9948118533890809E-2"/>
      </top>
      <bottom/>
      <diagonal/>
    </border>
    <border>
      <left/>
      <right style="medium">
        <color theme="2" tint="-9.9948118533890809E-2"/>
      </right>
      <top style="medium">
        <color theme="2" tint="-9.9948118533890809E-2"/>
      </top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medium">
        <color theme="2" tint="-9.9948118533890809E-2"/>
      </left>
      <right/>
      <top/>
      <bottom/>
      <diagonal/>
    </border>
    <border>
      <left/>
      <right style="medium">
        <color theme="2" tint="-9.9948118533890809E-2"/>
      </right>
      <top/>
      <bottom/>
      <diagonal/>
    </border>
    <border>
      <left style="medium">
        <color theme="2" tint="-9.9948118533890809E-2"/>
      </left>
      <right/>
      <top/>
      <bottom style="medium">
        <color theme="2" tint="-9.9948118533890809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 style="medium">
        <color theme="2" tint="-9.9948118533890809E-2"/>
      </right>
      <top/>
      <bottom style="medium">
        <color theme="2" tint="-9.9948118533890809E-2"/>
      </bottom>
      <diagonal/>
    </border>
    <border>
      <left style="medium">
        <color theme="2" tint="-9.9948118533890809E-2"/>
      </left>
      <right/>
      <top style="medium">
        <color theme="2" tint="-9.9948118533890809E-2"/>
      </top>
      <bottom style="medium">
        <color indexed="64"/>
      </bottom>
      <diagonal/>
    </border>
    <border>
      <left/>
      <right/>
      <top style="medium">
        <color theme="2" tint="-9.9948118533890809E-2"/>
      </top>
      <bottom style="medium">
        <color indexed="64"/>
      </bottom>
      <diagonal/>
    </border>
    <border>
      <left/>
      <right style="medium">
        <color theme="2" tint="-9.9948118533890809E-2"/>
      </right>
      <top style="medium">
        <color theme="2" tint="-9.9948118533890809E-2"/>
      </top>
      <bottom style="medium">
        <color indexed="64"/>
      </bottom>
      <diagonal/>
    </border>
    <border>
      <left style="medium">
        <color theme="2" tint="-9.9948118533890809E-2"/>
      </left>
      <right/>
      <top style="medium">
        <color indexed="64"/>
      </top>
      <bottom/>
      <diagonal/>
    </border>
    <border>
      <left/>
      <right style="medium">
        <color theme="2" tint="-9.9948118533890809E-2"/>
      </right>
      <top style="medium">
        <color indexed="64"/>
      </top>
      <bottom/>
      <diagonal/>
    </border>
    <border>
      <left style="medium">
        <color theme="2" tint="-9.9948118533890809E-2"/>
      </left>
      <right/>
      <top style="medium">
        <color indexed="64"/>
      </top>
      <bottom style="medium">
        <color theme="2" tint="-9.9948118533890809E-2"/>
      </bottom>
      <diagonal/>
    </border>
    <border>
      <left/>
      <right/>
      <top style="medium">
        <color indexed="64"/>
      </top>
      <bottom style="medium">
        <color theme="2" tint="-9.9948118533890809E-2"/>
      </bottom>
      <diagonal/>
    </border>
    <border>
      <left/>
      <right style="medium">
        <color theme="2" tint="-9.9948118533890809E-2"/>
      </right>
      <top style="medium">
        <color indexed="64"/>
      </top>
      <bottom style="medium">
        <color theme="2" tint="-9.9948118533890809E-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 wrapText="1"/>
    </xf>
    <xf numFmtId="10" fontId="2" fillId="2" borderId="0" xfId="0" applyNumberFormat="1" applyFont="1" applyFill="1"/>
    <xf numFmtId="9" fontId="2" fillId="2" borderId="0" xfId="0" applyNumberFormat="1" applyFont="1" applyFill="1"/>
    <xf numFmtId="0" fontId="0" fillId="2" borderId="0" xfId="0" applyFill="1"/>
    <xf numFmtId="165" fontId="2" fillId="2" borderId="0" xfId="0" applyNumberFormat="1" applyFont="1" applyFill="1"/>
    <xf numFmtId="0" fontId="2" fillId="2" borderId="0" xfId="0" applyFont="1" applyFill="1"/>
    <xf numFmtId="164" fontId="0" fillId="2" borderId="0" xfId="0" applyNumberFormat="1" applyFill="1" applyAlignment="1">
      <alignment horizontal="center" wrapText="1"/>
    </xf>
    <xf numFmtId="164" fontId="0" fillId="2" borderId="0" xfId="0" applyNumberFormat="1" applyFill="1"/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/>
    <xf numFmtId="164" fontId="2" fillId="2" borderId="0" xfId="1" applyNumberFormat="1" applyFont="1" applyFill="1"/>
    <xf numFmtId="9" fontId="2" fillId="2" borderId="0" xfId="2" applyFont="1" applyFill="1"/>
    <xf numFmtId="10" fontId="0" fillId="2" borderId="0" xfId="0" applyNumberFormat="1" applyFill="1"/>
    <xf numFmtId="164" fontId="0" fillId="2" borderId="0" xfId="1" applyNumberFormat="1" applyFont="1" applyFill="1"/>
    <xf numFmtId="0" fontId="3" fillId="2" borderId="0" xfId="0" applyFont="1" applyFill="1" applyAlignment="1">
      <alignment horizontal="right" vertical="center" wrapText="1" indent="1"/>
    </xf>
    <xf numFmtId="3" fontId="3" fillId="2" borderId="0" xfId="0" applyNumberFormat="1" applyFont="1" applyFill="1" applyAlignment="1">
      <alignment horizontal="right" vertical="center" wrapText="1" indent="1"/>
    </xf>
    <xf numFmtId="44" fontId="0" fillId="2" borderId="0" xfId="1" applyFont="1" applyFill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4" fillId="3" borderId="0" xfId="0" applyFont="1" applyFill="1"/>
    <xf numFmtId="164" fontId="4" fillId="3" borderId="0" xfId="1" applyNumberFormat="1" applyFont="1" applyFill="1"/>
    <xf numFmtId="10" fontId="4" fillId="3" borderId="0" xfId="2" applyNumberFormat="1" applyFont="1" applyFill="1"/>
    <xf numFmtId="165" fontId="4" fillId="3" borderId="0" xfId="0" applyNumberFormat="1" applyFont="1" applyFill="1"/>
    <xf numFmtId="0" fontId="6" fillId="3" borderId="0" xfId="0" applyFont="1" applyFill="1" applyAlignment="1">
      <alignment horizontal="center" wrapText="1"/>
    </xf>
    <xf numFmtId="164" fontId="4" fillId="3" borderId="0" xfId="0" applyNumberFormat="1" applyFont="1" applyFill="1"/>
    <xf numFmtId="164" fontId="4" fillId="3" borderId="0" xfId="1" applyNumberFormat="1" applyFont="1" applyFill="1" applyBorder="1"/>
    <xf numFmtId="0" fontId="6" fillId="3" borderId="0" xfId="0" applyFont="1" applyFill="1" applyAlignment="1">
      <alignment horizontal="left"/>
    </xf>
    <xf numFmtId="0" fontId="4" fillId="3" borderId="5" xfId="0" applyFont="1" applyFill="1" applyBorder="1"/>
    <xf numFmtId="164" fontId="4" fillId="3" borderId="6" xfId="0" applyNumberFormat="1" applyFont="1" applyFill="1" applyBorder="1"/>
    <xf numFmtId="165" fontId="4" fillId="3" borderId="6" xfId="0" applyNumberFormat="1" applyFont="1" applyFill="1" applyBorder="1"/>
    <xf numFmtId="164" fontId="4" fillId="3" borderId="6" xfId="1" applyNumberFormat="1" applyFont="1" applyFill="1" applyBorder="1"/>
    <xf numFmtId="164" fontId="4" fillId="3" borderId="7" xfId="0" applyNumberFormat="1" applyFont="1" applyFill="1" applyBorder="1"/>
    <xf numFmtId="0" fontId="4" fillId="3" borderId="8" xfId="0" applyFont="1" applyFill="1" applyBorder="1"/>
    <xf numFmtId="164" fontId="4" fillId="3" borderId="9" xfId="0" applyNumberFormat="1" applyFont="1" applyFill="1" applyBorder="1"/>
    <xf numFmtId="10" fontId="6" fillId="3" borderId="2" xfId="0" applyNumberFormat="1" applyFont="1" applyFill="1" applyBorder="1"/>
    <xf numFmtId="164" fontId="6" fillId="3" borderId="13" xfId="0" applyNumberFormat="1" applyFont="1" applyFill="1" applyBorder="1"/>
    <xf numFmtId="164" fontId="6" fillId="3" borderId="15" xfId="0" applyNumberFormat="1" applyFont="1" applyFill="1" applyBorder="1"/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wrapText="1"/>
    </xf>
    <xf numFmtId="0" fontId="5" fillId="4" borderId="18" xfId="0" applyFont="1" applyFill="1" applyBorder="1"/>
    <xf numFmtId="0" fontId="5" fillId="4" borderId="19" xfId="0" applyFont="1" applyFill="1" applyBorder="1"/>
    <xf numFmtId="164" fontId="6" fillId="5" borderId="22" xfId="1" applyNumberFormat="1" applyFont="1" applyFill="1" applyBorder="1"/>
    <xf numFmtId="10" fontId="6" fillId="5" borderId="14" xfId="2" applyNumberFormat="1" applyFont="1" applyFill="1" applyBorder="1"/>
    <xf numFmtId="164" fontId="6" fillId="5" borderId="14" xfId="1" applyNumberFormat="1" applyFont="1" applyFill="1" applyBorder="1"/>
    <xf numFmtId="0" fontId="5" fillId="4" borderId="20" xfId="0" applyFont="1" applyFill="1" applyBorder="1"/>
    <xf numFmtId="164" fontId="6" fillId="4" borderId="25" xfId="1" applyNumberFormat="1" applyFont="1" applyFill="1" applyBorder="1"/>
    <xf numFmtId="0" fontId="4" fillId="4" borderId="8" xfId="0" applyFont="1" applyFill="1" applyBorder="1"/>
    <xf numFmtId="164" fontId="4" fillId="4" borderId="0" xfId="0" applyNumberFormat="1" applyFont="1" applyFill="1"/>
    <xf numFmtId="164" fontId="4" fillId="4" borderId="0" xfId="1" applyNumberFormat="1" applyFont="1" applyFill="1" applyBorder="1"/>
    <xf numFmtId="164" fontId="4" fillId="4" borderId="9" xfId="0" applyNumberFormat="1" applyFont="1" applyFill="1" applyBorder="1"/>
    <xf numFmtId="0" fontId="4" fillId="4" borderId="10" xfId="0" applyFont="1" applyFill="1" applyBorder="1"/>
    <xf numFmtId="164" fontId="4" fillId="4" borderId="11" xfId="0" applyNumberFormat="1" applyFont="1" applyFill="1" applyBorder="1"/>
    <xf numFmtId="164" fontId="4" fillId="4" borderId="11" xfId="1" applyNumberFormat="1" applyFont="1" applyFill="1" applyBorder="1"/>
    <xf numFmtId="164" fontId="4" fillId="4" borderId="12" xfId="0" applyNumberFormat="1" applyFont="1" applyFill="1" applyBorder="1"/>
    <xf numFmtId="0" fontId="2" fillId="2" borderId="0" xfId="0" applyFont="1" applyFill="1" applyAlignment="1">
      <alignment horizontal="center"/>
    </xf>
    <xf numFmtId="0" fontId="0" fillId="3" borderId="0" xfId="0" applyFill="1"/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0" applyNumberFormat="1" applyFont="1"/>
    <xf numFmtId="0" fontId="6" fillId="0" borderId="0" xfId="0" applyFont="1" applyAlignment="1">
      <alignment horizontal="left"/>
    </xf>
    <xf numFmtId="0" fontId="6" fillId="4" borderId="13" xfId="0" applyFont="1" applyFill="1" applyBorder="1" applyAlignment="1">
      <alignment horizontal="right"/>
    </xf>
    <xf numFmtId="0" fontId="6" fillId="4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6" fillId="4" borderId="21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6" fillId="4" borderId="23" xfId="0" applyFont="1" applyFill="1" applyBorder="1" applyAlignment="1">
      <alignment horizontal="right"/>
    </xf>
    <xf numFmtId="0" fontId="6" fillId="4" borderId="24" xfId="0" applyFont="1" applyFill="1" applyBorder="1" applyAlignment="1">
      <alignment horizontal="right"/>
    </xf>
    <xf numFmtId="0" fontId="6" fillId="4" borderId="16" xfId="0" applyFont="1" applyFill="1" applyBorder="1" applyAlignment="1">
      <alignment horizontal="left"/>
    </xf>
    <xf numFmtId="0" fontId="6" fillId="4" borderId="17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4" borderId="0" xfId="0" applyFont="1" applyFill="1" applyAlignment="1">
      <alignment horizontal="left"/>
    </xf>
    <xf numFmtId="0" fontId="6" fillId="4" borderId="14" xfId="0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DBC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8364-7B70-4C58-9BBD-901FE056D081}">
  <dimension ref="A1:AI36"/>
  <sheetViews>
    <sheetView tabSelected="1" topLeftCell="F1" zoomScale="120" zoomScaleNormal="120" workbookViewId="0">
      <selection activeCell="G5" sqref="G5"/>
    </sheetView>
  </sheetViews>
  <sheetFormatPr defaultRowHeight="15" x14ac:dyDescent="0.25"/>
  <cols>
    <col min="1" max="1" width="6.85546875" customWidth="1"/>
    <col min="2" max="2" width="3" bestFit="1" customWidth="1"/>
    <col min="3" max="3" width="15" customWidth="1"/>
    <col min="4" max="4" width="12.5703125" bestFit="1" customWidth="1"/>
    <col min="5" max="5" width="14.7109375" customWidth="1"/>
    <col min="6" max="6" width="23.28515625" customWidth="1"/>
    <col min="7" max="7" width="23" bestFit="1" customWidth="1"/>
    <col min="8" max="8" width="17.5703125" bestFit="1" customWidth="1"/>
    <col min="9" max="9" width="25.5703125" bestFit="1" customWidth="1"/>
    <col min="10" max="10" width="18.7109375" bestFit="1" customWidth="1"/>
    <col min="11" max="11" width="19.28515625" customWidth="1"/>
    <col min="12" max="12" width="17.7109375" customWidth="1"/>
    <col min="13" max="13" width="18.5703125" customWidth="1"/>
    <col min="14" max="15" width="13.7109375" customWidth="1"/>
    <col min="16" max="16" width="13.7109375" hidden="1" customWidth="1"/>
    <col min="17" max="17" width="8.28515625" customWidth="1"/>
    <col min="18" max="20" width="2.7109375" customWidth="1"/>
    <col min="21" max="21" width="14" bestFit="1" customWidth="1"/>
    <col min="22" max="24" width="14" customWidth="1"/>
    <col min="25" max="25" width="17.28515625" customWidth="1"/>
    <col min="26" max="26" width="18.5703125" bestFit="1" customWidth="1"/>
    <col min="27" max="27" width="17.42578125" customWidth="1"/>
    <col min="28" max="28" width="16.140625" customWidth="1"/>
    <col min="29" max="29" width="14" bestFit="1" customWidth="1"/>
    <col min="30" max="30" width="19.28515625" bestFit="1" customWidth="1"/>
    <col min="31" max="31" width="14.7109375" customWidth="1"/>
    <col min="32" max="33" width="13.42578125" bestFit="1" customWidth="1"/>
    <col min="35" max="35" width="14.28515625" bestFit="1" customWidth="1"/>
  </cols>
  <sheetData>
    <row r="1" spans="1:35" ht="15.75" thickBot="1" x14ac:dyDescent="0.3">
      <c r="A1" s="60"/>
      <c r="B1" s="22"/>
      <c r="C1" s="44"/>
      <c r="D1" s="45"/>
      <c r="E1" s="45"/>
      <c r="F1" s="45"/>
      <c r="G1" s="49" t="s">
        <v>43</v>
      </c>
      <c r="H1" s="23"/>
      <c r="I1" s="22"/>
      <c r="J1" s="22"/>
      <c r="K1" s="22"/>
      <c r="L1" s="22"/>
      <c r="M1" s="22"/>
      <c r="N1" s="22"/>
      <c r="O1" s="61"/>
      <c r="P1" s="61"/>
      <c r="Q1" s="61"/>
      <c r="U1" s="67" t="s">
        <v>29</v>
      </c>
      <c r="V1" s="67"/>
      <c r="W1" s="67"/>
      <c r="X1" s="67"/>
      <c r="Y1" s="4">
        <v>5.5E-2</v>
      </c>
      <c r="Z1" s="67" t="s">
        <v>33</v>
      </c>
      <c r="AA1" s="67"/>
      <c r="AB1" s="67"/>
      <c r="AC1" s="5">
        <v>0.08</v>
      </c>
      <c r="AD1" s="8" t="s">
        <v>56</v>
      </c>
      <c r="AE1" s="59">
        <v>20</v>
      </c>
      <c r="AF1" s="6"/>
      <c r="AG1" s="6"/>
      <c r="AH1" s="6"/>
      <c r="AI1" s="6"/>
    </row>
    <row r="2" spans="1:35" x14ac:dyDescent="0.25">
      <c r="A2" s="60"/>
      <c r="B2" s="22"/>
      <c r="C2" s="68" t="s">
        <v>7</v>
      </c>
      <c r="D2" s="69"/>
      <c r="E2" s="69"/>
      <c r="F2" s="69"/>
      <c r="G2" s="46">
        <v>5000000</v>
      </c>
      <c r="H2" s="24"/>
      <c r="I2" s="22"/>
      <c r="J2" s="22"/>
      <c r="K2" s="22"/>
      <c r="L2" s="22"/>
      <c r="M2" s="22"/>
      <c r="N2" s="22"/>
      <c r="O2" s="61"/>
      <c r="P2" s="61"/>
      <c r="Q2" s="61"/>
      <c r="U2" s="67" t="s">
        <v>11</v>
      </c>
      <c r="V2" s="67"/>
      <c r="W2" s="67"/>
      <c r="X2" s="67"/>
      <c r="Y2" s="7">
        <f>G5*0.4</f>
        <v>4000000</v>
      </c>
      <c r="Z2" s="67" t="s">
        <v>34</v>
      </c>
      <c r="AA2" s="67"/>
      <c r="AB2" s="67"/>
      <c r="AC2" s="5">
        <v>1</v>
      </c>
      <c r="AD2" s="6"/>
      <c r="AE2" s="6"/>
      <c r="AF2" s="6"/>
      <c r="AG2" s="6"/>
      <c r="AH2" s="6"/>
      <c r="AI2" s="6"/>
    </row>
    <row r="3" spans="1:35" x14ac:dyDescent="0.25">
      <c r="A3" s="60"/>
      <c r="B3" s="22"/>
      <c r="C3" s="65" t="s">
        <v>8</v>
      </c>
      <c r="D3" s="66"/>
      <c r="E3" s="66"/>
      <c r="F3" s="66"/>
      <c r="G3" s="47">
        <v>0.05</v>
      </c>
      <c r="H3" s="23"/>
      <c r="I3" s="22"/>
      <c r="J3" s="22"/>
      <c r="K3" s="22"/>
      <c r="L3" s="22"/>
      <c r="M3" s="22"/>
      <c r="N3" s="22"/>
      <c r="O3" s="61"/>
      <c r="P3" s="61"/>
      <c r="Q3" s="61"/>
      <c r="U3" s="67" t="s">
        <v>15</v>
      </c>
      <c r="V3" s="67"/>
      <c r="W3" s="67"/>
      <c r="X3" s="67"/>
      <c r="Y3" s="5">
        <v>0.2</v>
      </c>
      <c r="Z3" s="67" t="s">
        <v>37</v>
      </c>
      <c r="AA3" s="67"/>
      <c r="AB3" s="67"/>
      <c r="AC3" s="5">
        <v>0.4</v>
      </c>
      <c r="AD3" s="6"/>
      <c r="AE3" s="6"/>
      <c r="AF3" s="6"/>
      <c r="AG3" s="6"/>
      <c r="AH3" s="6"/>
      <c r="AI3" s="6"/>
    </row>
    <row r="4" spans="1:35" ht="15.75" thickBot="1" x14ac:dyDescent="0.3">
      <c r="A4" s="60"/>
      <c r="B4" s="22"/>
      <c r="C4" s="65" t="s">
        <v>44</v>
      </c>
      <c r="D4" s="66"/>
      <c r="E4" s="66"/>
      <c r="F4" s="66"/>
      <c r="G4" s="48">
        <v>20000000</v>
      </c>
      <c r="H4" s="24"/>
      <c r="I4" s="22"/>
      <c r="J4" s="22"/>
      <c r="K4" s="22"/>
      <c r="L4" s="22"/>
      <c r="M4" s="22"/>
      <c r="N4" s="22"/>
      <c r="O4" s="61"/>
      <c r="P4" s="61"/>
      <c r="Q4" s="61"/>
      <c r="U4" s="67" t="s">
        <v>30</v>
      </c>
      <c r="V4" s="67"/>
      <c r="W4" s="67"/>
      <c r="X4" s="67"/>
      <c r="Y4" s="5">
        <v>0.5</v>
      </c>
      <c r="Z4" s="67" t="s">
        <v>49</v>
      </c>
      <c r="AA4" s="67"/>
      <c r="AB4" s="67"/>
      <c r="AC4" s="13">
        <v>600000</v>
      </c>
      <c r="AD4" s="6"/>
      <c r="AE4" s="6"/>
      <c r="AF4" s="6"/>
      <c r="AG4" s="6"/>
      <c r="AH4" s="6"/>
      <c r="AI4" s="6"/>
    </row>
    <row r="5" spans="1:35" ht="15.75" thickBot="1" x14ac:dyDescent="0.3">
      <c r="A5" s="60"/>
      <c r="B5" s="22"/>
      <c r="C5" s="70" t="s">
        <v>1</v>
      </c>
      <c r="D5" s="71"/>
      <c r="E5" s="71"/>
      <c r="F5" s="71"/>
      <c r="G5" s="50">
        <f>G4*Y4</f>
        <v>10000000</v>
      </c>
      <c r="H5" s="25"/>
      <c r="I5" s="22"/>
      <c r="J5" s="22"/>
      <c r="K5" s="22"/>
      <c r="L5" s="22"/>
      <c r="M5" s="22"/>
      <c r="N5" s="22"/>
      <c r="O5" s="61"/>
      <c r="P5" s="61"/>
      <c r="Q5" s="61"/>
      <c r="U5" s="67" t="s">
        <v>31</v>
      </c>
      <c r="V5" s="67"/>
      <c r="W5" s="67"/>
      <c r="X5" s="67"/>
      <c r="Y5" s="5">
        <v>0.05</v>
      </c>
      <c r="Z5" s="67" t="s">
        <v>48</v>
      </c>
      <c r="AA5" s="67"/>
      <c r="AB5" s="67"/>
      <c r="AC5" s="5">
        <v>0.8</v>
      </c>
      <c r="AD5" s="6"/>
      <c r="AE5" s="6"/>
      <c r="AF5" s="6"/>
      <c r="AG5" s="6"/>
      <c r="AH5" s="6"/>
      <c r="AI5" s="6"/>
    </row>
    <row r="6" spans="1:35" ht="15.75" thickBot="1" x14ac:dyDescent="0.3">
      <c r="A6" s="60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61"/>
      <c r="P6" s="61"/>
      <c r="Q6" s="61"/>
      <c r="U6" s="67" t="s">
        <v>32</v>
      </c>
      <c r="V6" s="67"/>
      <c r="W6" s="67"/>
      <c r="X6" s="67"/>
      <c r="Y6" s="5">
        <v>0.08</v>
      </c>
      <c r="Z6" s="67" t="s">
        <v>46</v>
      </c>
      <c r="AA6" s="67"/>
      <c r="AB6" s="67"/>
      <c r="AC6" s="5">
        <v>0.25</v>
      </c>
      <c r="AD6" s="6"/>
      <c r="AE6" s="6"/>
      <c r="AF6" s="6"/>
      <c r="AG6" s="6"/>
      <c r="AH6" s="6"/>
      <c r="AI6" s="6"/>
    </row>
    <row r="7" spans="1:35" ht="62.25" customHeight="1" x14ac:dyDescent="0.25">
      <c r="A7" s="60"/>
      <c r="B7" s="40" t="s">
        <v>0</v>
      </c>
      <c r="C7" s="41" t="s">
        <v>2</v>
      </c>
      <c r="D7" s="42" t="s">
        <v>4</v>
      </c>
      <c r="E7" s="41" t="s">
        <v>3</v>
      </c>
      <c r="F7" s="42" t="s">
        <v>28</v>
      </c>
      <c r="G7" s="42" t="s">
        <v>35</v>
      </c>
      <c r="H7" s="42" t="s">
        <v>36</v>
      </c>
      <c r="I7" s="42" t="s">
        <v>52</v>
      </c>
      <c r="J7" s="42" t="s">
        <v>6</v>
      </c>
      <c r="K7" s="42" t="s">
        <v>9</v>
      </c>
      <c r="L7" s="42" t="s">
        <v>26</v>
      </c>
      <c r="M7" s="43" t="s">
        <v>41</v>
      </c>
      <c r="N7" s="26"/>
      <c r="O7" s="62"/>
      <c r="P7" s="62"/>
      <c r="Q7" s="62"/>
      <c r="R7" s="20"/>
      <c r="S7" s="20"/>
      <c r="T7" s="3"/>
      <c r="U7" s="9">
        <f>-V7</f>
        <v>-20000000</v>
      </c>
      <c r="V7" s="10">
        <f>G4</f>
        <v>20000000</v>
      </c>
      <c r="W7" s="11" t="s">
        <v>12</v>
      </c>
      <c r="X7" s="11" t="s">
        <v>13</v>
      </c>
      <c r="Y7" s="11" t="s">
        <v>38</v>
      </c>
      <c r="Z7" s="11" t="s">
        <v>40</v>
      </c>
      <c r="AA7" s="11" t="s">
        <v>50</v>
      </c>
      <c r="AB7" s="11" t="s">
        <v>47</v>
      </c>
      <c r="AC7" s="11" t="s">
        <v>51</v>
      </c>
      <c r="AD7" s="11" t="s">
        <v>14</v>
      </c>
      <c r="AE7" s="11" t="s">
        <v>5</v>
      </c>
      <c r="AF7" s="11" t="s">
        <v>23</v>
      </c>
      <c r="AG7" s="11" t="s">
        <v>24</v>
      </c>
      <c r="AH7" s="11" t="s">
        <v>10</v>
      </c>
      <c r="AI7" s="11" t="s">
        <v>39</v>
      </c>
    </row>
    <row r="8" spans="1:35" x14ac:dyDescent="0.25">
      <c r="A8" s="60"/>
      <c r="B8" s="30">
        <v>1</v>
      </c>
      <c r="C8" s="31">
        <f>-G5</f>
        <v>-10000000</v>
      </c>
      <c r="D8" s="31">
        <f t="shared" ref="D8:D27" si="0">Y$1*C8</f>
        <v>-550000</v>
      </c>
      <c r="E8" s="31">
        <f>G5</f>
        <v>10000000</v>
      </c>
      <c r="F8" s="31">
        <f>G4*(1-Y$3)*(1)</f>
        <v>16000000</v>
      </c>
      <c r="G8" s="32">
        <f>G4*Y3*(1)</f>
        <v>4000000</v>
      </c>
      <c r="H8" s="31">
        <f>IF(G8*AC$6&gt;-AA8,AA8,-G8*AC$6)</f>
        <v>0</v>
      </c>
      <c r="I8" s="33">
        <f t="shared" ref="I8:I25" si="1">-(D8+H8)*AC$3+W8*AC$3</f>
        <v>2000000</v>
      </c>
      <c r="J8" s="31">
        <f>I8+D8</f>
        <v>1450000</v>
      </c>
      <c r="K8" s="31">
        <f>J8</f>
        <v>1450000</v>
      </c>
      <c r="L8" s="31">
        <f>'Premium Finance'!K5</f>
        <v>-899800</v>
      </c>
      <c r="M8" s="34">
        <f>'Premium Finance'!L5+C8+E8+F8+G8</f>
        <v>38696440</v>
      </c>
      <c r="N8" s="27"/>
      <c r="O8" s="63"/>
      <c r="P8" s="63"/>
      <c r="Q8" s="63"/>
      <c r="R8" s="2"/>
      <c r="S8" s="2"/>
      <c r="T8" s="2"/>
      <c r="U8" s="10">
        <v>0</v>
      </c>
      <c r="V8" s="10">
        <f t="shared" ref="V8:V27" si="2">G8+F8+E8+C8+L8</f>
        <v>19100200</v>
      </c>
      <c r="W8" s="7">
        <f>IF(G5*AC$2&gt;Z8,Z8,G5)</f>
        <v>4450000</v>
      </c>
      <c r="X8" s="12">
        <f>G2</f>
        <v>5000000</v>
      </c>
      <c r="Y8" s="12">
        <f>-X8*AC$3</f>
        <v>-2000000</v>
      </c>
      <c r="Z8" s="12">
        <f>X8+D8</f>
        <v>4450000</v>
      </c>
      <c r="AA8" s="13">
        <f>IF(AB8&lt;AC4, -AB8*AC5,-AC4)</f>
        <v>0</v>
      </c>
      <c r="AB8" s="12">
        <f>Z8-W8</f>
        <v>0</v>
      </c>
      <c r="AC8" s="12">
        <f>AB8+H8</f>
        <v>0</v>
      </c>
      <c r="AD8" s="12">
        <f>-AC8*AC$3</f>
        <v>0</v>
      </c>
      <c r="AE8" s="13">
        <f>AD8-Y8</f>
        <v>2000000</v>
      </c>
      <c r="AF8" s="13">
        <f>AE8+D8</f>
        <v>1450000</v>
      </c>
      <c r="AG8" s="13">
        <v>0</v>
      </c>
      <c r="AH8" s="14">
        <f t="shared" ref="AH8:AH27" si="3">-C8/F8</f>
        <v>0.625</v>
      </c>
      <c r="AI8" s="10">
        <f>G4*(1)</f>
        <v>20000000</v>
      </c>
    </row>
    <row r="9" spans="1:35" x14ac:dyDescent="0.25">
      <c r="A9" s="60"/>
      <c r="B9" s="51">
        <v>2</v>
      </c>
      <c r="C9" s="52">
        <f>C8</f>
        <v>-10000000</v>
      </c>
      <c r="D9" s="52">
        <f t="shared" si="0"/>
        <v>-550000</v>
      </c>
      <c r="E9" s="52">
        <f t="shared" ref="E9:E27" si="4">E8*(1-Y$5)</f>
        <v>9500000</v>
      </c>
      <c r="F9" s="52">
        <f>F8*(1+Y$6)</f>
        <v>17280000</v>
      </c>
      <c r="G9" s="52">
        <f>G8*(1+AC$1)+AF8-AG8</f>
        <v>5770000</v>
      </c>
      <c r="H9" s="52">
        <f t="shared" ref="H9:H26" si="5">IF(G9*AC$6&gt;-AA9,AA9,-G9*AC$6)</f>
        <v>0</v>
      </c>
      <c r="I9" s="53">
        <f t="shared" si="1"/>
        <v>2100000</v>
      </c>
      <c r="J9" s="52">
        <f t="shared" ref="J9:J26" si="6">I9+D9</f>
        <v>1550000</v>
      </c>
      <c r="K9" s="52">
        <f>K8+J9</f>
        <v>3000000</v>
      </c>
      <c r="L9" s="52">
        <f>'Premium Finance'!K6</f>
        <v>79460</v>
      </c>
      <c r="M9" s="54">
        <f>'Premium Finance'!L6+C9+E9+F9+G9</f>
        <v>41523780</v>
      </c>
      <c r="N9" s="27"/>
      <c r="O9" s="63"/>
      <c r="P9" s="63"/>
      <c r="Q9" s="63"/>
      <c r="R9" s="2"/>
      <c r="S9" s="2"/>
      <c r="T9" s="2"/>
      <c r="U9" s="10">
        <v>0</v>
      </c>
      <c r="V9" s="10">
        <f t="shared" si="2"/>
        <v>22629460</v>
      </c>
      <c r="W9" s="12">
        <f>IF(G$5*AC$2-SUM(W$8:W8)&gt;Z9,Z9,G$5-SUM(W$8:W8))</f>
        <v>4700000</v>
      </c>
      <c r="X9" s="12">
        <f t="shared" ref="X9:X27" si="7">X8*(1+G$3)</f>
        <v>5250000</v>
      </c>
      <c r="Y9" s="12">
        <f t="shared" ref="Y9:Y26" si="8">-X9*AC$3</f>
        <v>-2100000</v>
      </c>
      <c r="Z9" s="12">
        <f>X9+D9</f>
        <v>4700000</v>
      </c>
      <c r="AA9" s="7">
        <f>-AB9*AC$5</f>
        <v>0</v>
      </c>
      <c r="AB9" s="12">
        <f>Z9-W9</f>
        <v>0</v>
      </c>
      <c r="AC9" s="12">
        <f>AB9+H9</f>
        <v>0</v>
      </c>
      <c r="AD9" s="12">
        <f>-AC9*AC$3</f>
        <v>0</v>
      </c>
      <c r="AE9" s="13">
        <f>AD9-Y9</f>
        <v>2100000</v>
      </c>
      <c r="AF9" s="13">
        <f t="shared" ref="AF9:AF26" si="9">AE9+D9</f>
        <v>1550000</v>
      </c>
      <c r="AG9" s="13">
        <f t="shared" ref="AG9:AG27" si="10">IF(AA9=H9,AF9,0)</f>
        <v>1550000</v>
      </c>
      <c r="AH9" s="14">
        <f t="shared" si="3"/>
        <v>0.57870370370370372</v>
      </c>
      <c r="AI9" s="10">
        <f>AI8*(1+Y$6)</f>
        <v>21600000</v>
      </c>
    </row>
    <row r="10" spans="1:35" x14ac:dyDescent="0.25">
      <c r="A10" s="60"/>
      <c r="B10" s="35">
        <v>3</v>
      </c>
      <c r="C10" s="27">
        <f t="shared" ref="C10:C27" si="11">C9</f>
        <v>-10000000</v>
      </c>
      <c r="D10" s="27">
        <f t="shared" si="0"/>
        <v>-550000</v>
      </c>
      <c r="E10" s="27">
        <f t="shared" si="4"/>
        <v>9025000</v>
      </c>
      <c r="F10" s="27">
        <f t="shared" ref="F10:F27" si="12">F9*(1+Y$6)</f>
        <v>18662400</v>
      </c>
      <c r="G10" s="27">
        <f t="shared" ref="G10:G26" si="13">G9*(1+AC$1)+AF9-AG9</f>
        <v>6231600</v>
      </c>
      <c r="H10" s="27">
        <f t="shared" si="5"/>
        <v>-1557900</v>
      </c>
      <c r="I10" s="28">
        <f t="shared" si="1"/>
        <v>1183160</v>
      </c>
      <c r="J10" s="27">
        <f>I10+D10</f>
        <v>633160</v>
      </c>
      <c r="K10" s="27">
        <f t="shared" ref="K10:K26" si="14">K9+J10</f>
        <v>3633160</v>
      </c>
      <c r="L10" s="27">
        <f>'Premium Finance'!K7</f>
        <v>-22569.700000000186</v>
      </c>
      <c r="M10" s="36">
        <f>'Premium Finance'!L7+C10+E10+F10+G10</f>
        <v>41735270.299999997</v>
      </c>
      <c r="N10" s="27"/>
      <c r="O10" s="63"/>
      <c r="P10" s="63"/>
      <c r="Q10" s="63"/>
      <c r="R10" s="2"/>
      <c r="S10" s="2"/>
      <c r="T10" s="2"/>
      <c r="U10" s="10">
        <v>0</v>
      </c>
      <c r="V10" s="10">
        <f t="shared" si="2"/>
        <v>23896430.300000001</v>
      </c>
      <c r="W10" s="12">
        <f>IF(G$5*AC$2-SUM(W$8:W9)&gt;Z10,Z10,G$5-SUM(W$8:W9))</f>
        <v>850000</v>
      </c>
      <c r="X10" s="12">
        <f t="shared" si="7"/>
        <v>5512500</v>
      </c>
      <c r="Y10" s="12">
        <f t="shared" si="8"/>
        <v>-2205000</v>
      </c>
      <c r="Z10" s="12">
        <f t="shared" ref="Z10:Z27" si="15">X10+D10</f>
        <v>4962500</v>
      </c>
      <c r="AA10" s="7">
        <f t="shared" ref="AA10:AA26" si="16">-AB10*AC$5</f>
        <v>-3290000</v>
      </c>
      <c r="AB10" s="12">
        <f t="shared" ref="AB10:AB27" si="17">Z10-W10</f>
        <v>4112500</v>
      </c>
      <c r="AC10" s="12">
        <f t="shared" ref="AC10:AC26" si="18">AB10+H10</f>
        <v>2554600</v>
      </c>
      <c r="AD10" s="12">
        <f t="shared" ref="AD10:AD26" si="19">-AC10*AC$3</f>
        <v>-1021840</v>
      </c>
      <c r="AE10" s="13">
        <f>AD10-Y10</f>
        <v>1183160</v>
      </c>
      <c r="AF10" s="13">
        <f t="shared" si="9"/>
        <v>633160</v>
      </c>
      <c r="AG10" s="13">
        <f t="shared" si="10"/>
        <v>0</v>
      </c>
      <c r="AH10" s="14">
        <f t="shared" si="3"/>
        <v>0.53583676268861458</v>
      </c>
      <c r="AI10" s="10">
        <f t="shared" ref="AI10:AI26" si="20">AI9*(1+Y$6)</f>
        <v>23328000</v>
      </c>
    </row>
    <row r="11" spans="1:35" x14ac:dyDescent="0.25">
      <c r="A11" s="60"/>
      <c r="B11" s="51">
        <v>4</v>
      </c>
      <c r="C11" s="52">
        <f t="shared" si="11"/>
        <v>-10000000</v>
      </c>
      <c r="D11" s="52">
        <f t="shared" si="0"/>
        <v>-550000</v>
      </c>
      <c r="E11" s="52">
        <f t="shared" si="4"/>
        <v>8573750</v>
      </c>
      <c r="F11" s="52">
        <f>F10*(1+Y$6)</f>
        <v>20155392</v>
      </c>
      <c r="G11" s="52">
        <f t="shared" si="13"/>
        <v>7363288</v>
      </c>
      <c r="H11" s="52">
        <f t="shared" si="5"/>
        <v>-1840822</v>
      </c>
      <c r="I11" s="53">
        <f t="shared" si="1"/>
        <v>956328.8</v>
      </c>
      <c r="J11" s="52">
        <f t="shared" si="6"/>
        <v>406328.80000000005</v>
      </c>
      <c r="K11" s="52">
        <f t="shared" si="14"/>
        <v>4039488.8</v>
      </c>
      <c r="L11" s="52">
        <f>'Premium Finance'!K8</f>
        <v>-113027.63350000046</v>
      </c>
      <c r="M11" s="54">
        <f>'Premium Finance'!L8+C11+E11+F11+G11</f>
        <v>42784162.366499998</v>
      </c>
      <c r="N11" s="27"/>
      <c r="O11" s="63"/>
      <c r="P11" s="63"/>
      <c r="Q11" s="63"/>
      <c r="R11" s="2"/>
      <c r="S11" s="2"/>
      <c r="T11" s="2"/>
      <c r="U11" s="10">
        <v>0</v>
      </c>
      <c r="V11" s="10">
        <f t="shared" si="2"/>
        <v>25979402.366499998</v>
      </c>
      <c r="W11" s="12">
        <f>IF(G$5*AC$2-SUM(W$8:W10)&gt;Z11,Z11,G$5-SUM(W$8:W10))</f>
        <v>0</v>
      </c>
      <c r="X11" s="12">
        <f t="shared" si="7"/>
        <v>5788125</v>
      </c>
      <c r="Y11" s="12">
        <f t="shared" si="8"/>
        <v>-2315250</v>
      </c>
      <c r="Z11" s="12">
        <f t="shared" si="15"/>
        <v>5238125</v>
      </c>
      <c r="AA11" s="7">
        <f t="shared" si="16"/>
        <v>-4190500</v>
      </c>
      <c r="AB11" s="12">
        <f t="shared" si="17"/>
        <v>5238125</v>
      </c>
      <c r="AC11" s="12">
        <f t="shared" si="18"/>
        <v>3397303</v>
      </c>
      <c r="AD11" s="12">
        <f t="shared" si="19"/>
        <v>-1358921.2000000002</v>
      </c>
      <c r="AE11" s="13">
        <f t="shared" ref="AE11:AE27" si="21">AD11-Y11</f>
        <v>956328.79999999981</v>
      </c>
      <c r="AF11" s="13">
        <f t="shared" si="9"/>
        <v>406328.79999999981</v>
      </c>
      <c r="AG11" s="13">
        <f t="shared" si="10"/>
        <v>0</v>
      </c>
      <c r="AH11" s="14">
        <f t="shared" si="3"/>
        <v>0.49614515063760606</v>
      </c>
      <c r="AI11" s="10">
        <f t="shared" si="20"/>
        <v>25194240</v>
      </c>
    </row>
    <row r="12" spans="1:35" x14ac:dyDescent="0.25">
      <c r="A12" s="60"/>
      <c r="B12" s="35">
        <v>5</v>
      </c>
      <c r="C12" s="27">
        <f t="shared" si="11"/>
        <v>-10000000</v>
      </c>
      <c r="D12" s="27">
        <f t="shared" si="0"/>
        <v>-550000</v>
      </c>
      <c r="E12" s="27">
        <f t="shared" si="4"/>
        <v>8145062.5</v>
      </c>
      <c r="F12" s="27">
        <f t="shared" si="12"/>
        <v>21767823.360000003</v>
      </c>
      <c r="G12" s="27">
        <f t="shared" si="13"/>
        <v>8358679.8400000008</v>
      </c>
      <c r="H12" s="27">
        <f t="shared" si="5"/>
        <v>-2089669.9600000002</v>
      </c>
      <c r="I12" s="28">
        <f t="shared" si="1"/>
        <v>1055867.9839999999</v>
      </c>
      <c r="J12" s="27">
        <f t="shared" si="6"/>
        <v>505867.98399999994</v>
      </c>
      <c r="K12" s="27">
        <f t="shared" si="14"/>
        <v>4545356.784</v>
      </c>
      <c r="L12" s="27">
        <f>'Premium Finance'!K9</f>
        <v>-189983.85334250052</v>
      </c>
      <c r="M12" s="36">
        <f>'Premium Finance'!L9+C12+E12+F12+G12</f>
        <v>43871021.846657507</v>
      </c>
      <c r="N12" s="27"/>
      <c r="O12" s="63"/>
      <c r="P12" s="63"/>
      <c r="Q12" s="63"/>
      <c r="R12" s="2"/>
      <c r="S12" s="2"/>
      <c r="T12" s="2"/>
      <c r="U12" s="10">
        <v>0</v>
      </c>
      <c r="V12" s="10">
        <f t="shared" si="2"/>
        <v>28081581.846657503</v>
      </c>
      <c r="W12" s="12">
        <f>IF(G$5*AC$2-SUM(W$8:W11)&gt;Z12,Z12,G$5-SUM(W$8:W11))</f>
        <v>0</v>
      </c>
      <c r="X12" s="12">
        <f t="shared" si="7"/>
        <v>6077531.25</v>
      </c>
      <c r="Y12" s="12">
        <f t="shared" si="8"/>
        <v>-2431012.5</v>
      </c>
      <c r="Z12" s="12">
        <f t="shared" si="15"/>
        <v>5527531.25</v>
      </c>
      <c r="AA12" s="7">
        <f t="shared" si="16"/>
        <v>-4422025</v>
      </c>
      <c r="AB12" s="12">
        <f t="shared" si="17"/>
        <v>5527531.25</v>
      </c>
      <c r="AC12" s="12">
        <f t="shared" si="18"/>
        <v>3437861.29</v>
      </c>
      <c r="AD12" s="12">
        <f t="shared" si="19"/>
        <v>-1375144.5160000001</v>
      </c>
      <c r="AE12" s="13">
        <f t="shared" si="21"/>
        <v>1055867.9839999999</v>
      </c>
      <c r="AF12" s="13">
        <f t="shared" si="9"/>
        <v>505867.98399999994</v>
      </c>
      <c r="AG12" s="13">
        <f t="shared" si="10"/>
        <v>0</v>
      </c>
      <c r="AH12" s="14">
        <f t="shared" si="3"/>
        <v>0.45939365799778331</v>
      </c>
      <c r="AI12" s="10">
        <f t="shared" si="20"/>
        <v>27209779.200000003</v>
      </c>
    </row>
    <row r="13" spans="1:35" x14ac:dyDescent="0.25">
      <c r="A13" s="60"/>
      <c r="B13" s="51">
        <v>6</v>
      </c>
      <c r="C13" s="52">
        <f t="shared" si="11"/>
        <v>-10000000</v>
      </c>
      <c r="D13" s="52">
        <f>Y$1*C13</f>
        <v>-550000</v>
      </c>
      <c r="E13" s="52">
        <f>E12*(1-Y$5)</f>
        <v>7737809.375</v>
      </c>
      <c r="F13" s="52">
        <f t="shared" si="12"/>
        <v>23509249.228800006</v>
      </c>
      <c r="G13" s="52">
        <f t="shared" si="13"/>
        <v>9533242.2112000007</v>
      </c>
      <c r="H13" s="52">
        <f t="shared" si="5"/>
        <v>-2383310.5528000002</v>
      </c>
      <c r="I13" s="53">
        <f t="shared" si="1"/>
        <v>1173324.2211200001</v>
      </c>
      <c r="J13" s="52">
        <f t="shared" si="6"/>
        <v>623324.22112000012</v>
      </c>
      <c r="K13" s="52">
        <f t="shared" si="14"/>
        <v>5168681.0051199999</v>
      </c>
      <c r="L13" s="52">
        <f>'Premium Finance'!K10</f>
        <v>-279058.66527633835</v>
      </c>
      <c r="M13" s="54">
        <f>'Premium Finance'!L10+C13+E13+F13+G13</f>
        <v>45270882.149723664</v>
      </c>
      <c r="N13" s="27"/>
      <c r="O13" s="63"/>
      <c r="P13" s="63"/>
      <c r="Q13" s="63"/>
      <c r="R13" s="2"/>
      <c r="S13" s="2"/>
      <c r="T13" s="2"/>
      <c r="U13" s="10">
        <v>0</v>
      </c>
      <c r="V13" s="10">
        <f t="shared" si="2"/>
        <v>30501242.149723668</v>
      </c>
      <c r="W13" s="12">
        <f>IF(G$5*AC$2-SUM(W$8:W12)&gt;Z13,Z13,G$5-SUM(W$8:W12))</f>
        <v>0</v>
      </c>
      <c r="X13" s="12">
        <f t="shared" si="7"/>
        <v>6381407.8125</v>
      </c>
      <c r="Y13" s="12">
        <f t="shared" si="8"/>
        <v>-2552563.125</v>
      </c>
      <c r="Z13" s="12">
        <f t="shared" si="15"/>
        <v>5831407.8125</v>
      </c>
      <c r="AA13" s="7">
        <f t="shared" si="16"/>
        <v>-4665126.25</v>
      </c>
      <c r="AB13" s="12">
        <f t="shared" si="17"/>
        <v>5831407.8125</v>
      </c>
      <c r="AC13" s="12">
        <f t="shared" si="18"/>
        <v>3448097.2596999998</v>
      </c>
      <c r="AD13" s="12">
        <f t="shared" si="19"/>
        <v>-1379238.9038800001</v>
      </c>
      <c r="AE13" s="13">
        <f>AD13-Y13</f>
        <v>1173324.2211199999</v>
      </c>
      <c r="AF13" s="13">
        <f t="shared" si="9"/>
        <v>623324.22111999989</v>
      </c>
      <c r="AG13" s="13">
        <f t="shared" si="10"/>
        <v>0</v>
      </c>
      <c r="AH13" s="14">
        <f t="shared" si="3"/>
        <v>0.42536449814609562</v>
      </c>
      <c r="AI13" s="10">
        <f t="shared" si="20"/>
        <v>29386561.536000006</v>
      </c>
    </row>
    <row r="14" spans="1:35" x14ac:dyDescent="0.25">
      <c r="A14" s="60"/>
      <c r="B14" s="35">
        <v>7</v>
      </c>
      <c r="C14" s="27">
        <f t="shared" si="11"/>
        <v>-10000000</v>
      </c>
      <c r="D14" s="27">
        <f t="shared" si="0"/>
        <v>-550000</v>
      </c>
      <c r="E14" s="27">
        <f t="shared" si="4"/>
        <v>7350918.90625</v>
      </c>
      <c r="F14" s="27">
        <f t="shared" si="12"/>
        <v>25389989.16710401</v>
      </c>
      <c r="G14" s="27">
        <f t="shared" si="13"/>
        <v>10919225.809216002</v>
      </c>
      <c r="H14" s="27">
        <f t="shared" si="5"/>
        <v>-2729806.4523040005</v>
      </c>
      <c r="I14" s="28">
        <f t="shared" si="1"/>
        <v>1311922.5809216003</v>
      </c>
      <c r="J14" s="27">
        <f t="shared" si="6"/>
        <v>761922.58092160034</v>
      </c>
      <c r="K14" s="27">
        <f t="shared" si="14"/>
        <v>5930603.5860416004</v>
      </c>
      <c r="L14" s="27">
        <f>'Premium Finance'!K11</f>
        <v>-380956.39186653681</v>
      </c>
      <c r="M14" s="36">
        <f>'Premium Finance'!L11+C14+E14+F14+G14</f>
        <v>47022537.490703471</v>
      </c>
      <c r="N14" s="27"/>
      <c r="O14" s="63"/>
      <c r="P14" s="63"/>
      <c r="Q14" s="63"/>
      <c r="R14" s="2"/>
      <c r="S14" s="2"/>
      <c r="T14" s="2"/>
      <c r="U14" s="10">
        <v>0</v>
      </c>
      <c r="V14" s="10">
        <f t="shared" si="2"/>
        <v>33279177.490703478</v>
      </c>
      <c r="W14" s="12">
        <f>IF(G$5*AC$2-SUM(W$8:W13)&gt;Z14,Z14,G$5-SUM(W$8:W13))</f>
        <v>0</v>
      </c>
      <c r="X14" s="12">
        <f t="shared" si="7"/>
        <v>6700478.203125</v>
      </c>
      <c r="Y14" s="12">
        <f t="shared" si="8"/>
        <v>-2680191.28125</v>
      </c>
      <c r="Z14" s="12">
        <f t="shared" si="15"/>
        <v>6150478.203125</v>
      </c>
      <c r="AA14" s="7">
        <f t="shared" si="16"/>
        <v>-4920382.5625</v>
      </c>
      <c r="AB14" s="12">
        <f t="shared" si="17"/>
        <v>6150478.203125</v>
      </c>
      <c r="AC14" s="12">
        <f t="shared" si="18"/>
        <v>3420671.7508209995</v>
      </c>
      <c r="AD14" s="12">
        <f t="shared" si="19"/>
        <v>-1368268.7003283999</v>
      </c>
      <c r="AE14" s="13">
        <f t="shared" si="21"/>
        <v>1311922.5809216001</v>
      </c>
      <c r="AF14" s="13">
        <f t="shared" si="9"/>
        <v>761922.58092160011</v>
      </c>
      <c r="AG14" s="13">
        <f t="shared" si="10"/>
        <v>0</v>
      </c>
      <c r="AH14" s="14">
        <f t="shared" si="3"/>
        <v>0.39385601680194032</v>
      </c>
      <c r="AI14" s="10">
        <f t="shared" si="20"/>
        <v>31737486.458880007</v>
      </c>
    </row>
    <row r="15" spans="1:35" x14ac:dyDescent="0.25">
      <c r="A15" s="60"/>
      <c r="B15" s="51">
        <v>8</v>
      </c>
      <c r="C15" s="52">
        <f t="shared" si="11"/>
        <v>-10000000</v>
      </c>
      <c r="D15" s="52">
        <f t="shared" si="0"/>
        <v>-550000</v>
      </c>
      <c r="E15" s="52">
        <f t="shared" si="4"/>
        <v>6983372.9609375</v>
      </c>
      <c r="F15" s="52">
        <f t="shared" si="12"/>
        <v>27421188.30047233</v>
      </c>
      <c r="G15" s="52">
        <f>G14*(1+AC$1)+AF14-AG14</f>
        <v>12554686.454874882</v>
      </c>
      <c r="H15" s="52">
        <f t="shared" si="5"/>
        <v>-3138671.6137187206</v>
      </c>
      <c r="I15" s="53">
        <f t="shared" si="1"/>
        <v>1475468.6454874882</v>
      </c>
      <c r="J15" s="52">
        <f t="shared" si="6"/>
        <v>925468.64548748825</v>
      </c>
      <c r="K15" s="52">
        <f t="shared" si="14"/>
        <v>6856072.2315290887</v>
      </c>
      <c r="L15" s="52">
        <f>'Premium Finance'!K12</f>
        <v>-495919.89341919683</v>
      </c>
      <c r="M15" s="54">
        <f>'Premium Finance'!L12+C15+E15+F15+G15</f>
        <v>49172407.822865516</v>
      </c>
      <c r="N15" s="27"/>
      <c r="O15" s="63"/>
      <c r="P15" s="63"/>
      <c r="Q15" s="63"/>
      <c r="R15" s="2"/>
      <c r="S15" s="2"/>
      <c r="T15" s="2"/>
      <c r="U15" s="10">
        <v>0</v>
      </c>
      <c r="V15" s="10">
        <f t="shared" si="2"/>
        <v>36463327.822865516</v>
      </c>
      <c r="W15" s="12">
        <f>IF(G$5*AC$2-SUM(W$8:W14)&gt;Z15,Z15,G$5-SUM(W$8:W14))</f>
        <v>0</v>
      </c>
      <c r="X15" s="12">
        <f t="shared" si="7"/>
        <v>7035502.11328125</v>
      </c>
      <c r="Y15" s="12">
        <f t="shared" si="8"/>
        <v>-2814200.8453125004</v>
      </c>
      <c r="Z15" s="12">
        <f t="shared" si="15"/>
        <v>6485502.11328125</v>
      </c>
      <c r="AA15" s="7">
        <f t="shared" si="16"/>
        <v>-5188401.6906250007</v>
      </c>
      <c r="AB15" s="12">
        <f t="shared" si="17"/>
        <v>6485502.11328125</v>
      </c>
      <c r="AC15" s="12">
        <f t="shared" si="18"/>
        <v>3346830.4995625294</v>
      </c>
      <c r="AD15" s="12">
        <f t="shared" si="19"/>
        <v>-1338732.1998250119</v>
      </c>
      <c r="AE15" s="13">
        <f t="shared" si="21"/>
        <v>1475468.6454874885</v>
      </c>
      <c r="AF15" s="13">
        <f t="shared" si="9"/>
        <v>925468.64548748848</v>
      </c>
      <c r="AG15" s="13">
        <f t="shared" si="10"/>
        <v>0</v>
      </c>
      <c r="AH15" s="14">
        <f t="shared" si="3"/>
        <v>0.36468149703883362</v>
      </c>
      <c r="AI15" s="10">
        <f t="shared" si="20"/>
        <v>34276485.375590414</v>
      </c>
    </row>
    <row r="16" spans="1:35" x14ac:dyDescent="0.25">
      <c r="A16" s="60"/>
      <c r="B16" s="35">
        <v>9</v>
      </c>
      <c r="C16" s="27">
        <f t="shared" si="11"/>
        <v>-10000000</v>
      </c>
      <c r="D16" s="27">
        <f t="shared" si="0"/>
        <v>-550000</v>
      </c>
      <c r="E16" s="27">
        <f t="shared" si="4"/>
        <v>6634204.3128906246</v>
      </c>
      <c r="F16" s="27">
        <f t="shared" si="12"/>
        <v>29614883.364510119</v>
      </c>
      <c r="G16" s="27">
        <f t="shared" si="13"/>
        <v>14484530.016752362</v>
      </c>
      <c r="H16" s="27">
        <f t="shared" si="5"/>
        <v>-3621132.5041880906</v>
      </c>
      <c r="I16" s="28">
        <f t="shared" si="1"/>
        <v>1668453.0016752363</v>
      </c>
      <c r="J16" s="27">
        <f t="shared" si="6"/>
        <v>1118453.0016752363</v>
      </c>
      <c r="K16" s="27">
        <f t="shared" si="14"/>
        <v>7974525.2332043247</v>
      </c>
      <c r="L16" s="27">
        <f>'Premium Finance'!K13</f>
        <v>-624105.88755725324</v>
      </c>
      <c r="M16" s="36">
        <f>'Premium Finance'!L13+C16+E16+F16+G16</f>
        <v>51773791.806595854</v>
      </c>
      <c r="N16" s="27"/>
      <c r="O16" s="63"/>
      <c r="P16" s="63"/>
      <c r="Q16" s="63"/>
      <c r="R16" s="2"/>
      <c r="S16" s="2"/>
      <c r="T16" s="2"/>
      <c r="U16" s="10">
        <v>0</v>
      </c>
      <c r="V16" s="10">
        <f t="shared" si="2"/>
        <v>40109511.806595854</v>
      </c>
      <c r="W16" s="12">
        <f>IF(G$5*AC$2-SUM(W$8:W15)&gt;Z16,Z16,G$5-SUM(W$8:W15))</f>
        <v>0</v>
      </c>
      <c r="X16" s="12">
        <f t="shared" si="7"/>
        <v>7387277.2189453132</v>
      </c>
      <c r="Y16" s="12">
        <f t="shared" si="8"/>
        <v>-2954910.8875781256</v>
      </c>
      <c r="Z16" s="12">
        <f t="shared" si="15"/>
        <v>6837277.2189453132</v>
      </c>
      <c r="AA16" s="7">
        <f t="shared" si="16"/>
        <v>-5469821.7751562512</v>
      </c>
      <c r="AB16" s="12">
        <f t="shared" si="17"/>
        <v>6837277.2189453132</v>
      </c>
      <c r="AC16" s="12">
        <f t="shared" si="18"/>
        <v>3216144.7147572227</v>
      </c>
      <c r="AD16" s="12">
        <f t="shared" si="19"/>
        <v>-1286457.8859028891</v>
      </c>
      <c r="AE16" s="13">
        <f t="shared" si="21"/>
        <v>1668453.0016752365</v>
      </c>
      <c r="AF16" s="13">
        <f t="shared" si="9"/>
        <v>1118453.0016752365</v>
      </c>
      <c r="AG16" s="13">
        <f t="shared" si="10"/>
        <v>0</v>
      </c>
      <c r="AH16" s="14">
        <f t="shared" si="3"/>
        <v>0.33766805281373485</v>
      </c>
      <c r="AI16" s="10">
        <f t="shared" si="20"/>
        <v>37018604.205637649</v>
      </c>
    </row>
    <row r="17" spans="1:35" x14ac:dyDescent="0.25">
      <c r="A17" s="60"/>
      <c r="B17" s="51">
        <v>10</v>
      </c>
      <c r="C17" s="52">
        <f t="shared" si="11"/>
        <v>-10000000</v>
      </c>
      <c r="D17" s="52">
        <f t="shared" si="0"/>
        <v>-550000</v>
      </c>
      <c r="E17" s="52">
        <f t="shared" si="4"/>
        <v>6302494.0972460927</v>
      </c>
      <c r="F17" s="52">
        <f t="shared" si="12"/>
        <v>31984074.033670932</v>
      </c>
      <c r="G17" s="52">
        <f>G16*(1+AC$1)+AF16-AG16</f>
        <v>16761745.41976779</v>
      </c>
      <c r="H17" s="52">
        <f>IF(G17*AC$6&gt;-AA17,AA17,-G17*AC$6)</f>
        <v>-4190436.3549419474</v>
      </c>
      <c r="I17" s="53">
        <f t="shared" si="1"/>
        <v>1896174.541976779</v>
      </c>
      <c r="J17" s="52">
        <f t="shared" si="6"/>
        <v>1346174.541976779</v>
      </c>
      <c r="K17" s="52">
        <f t="shared" si="14"/>
        <v>9320699.7751811035</v>
      </c>
      <c r="L17" s="52">
        <f>'Premium Finance'!K14</f>
        <v>-765641.11137290299</v>
      </c>
      <c r="M17" s="54">
        <f>'Premium Finance'!L14+C17+E17+F17+G17</f>
        <v>54889192.439311914</v>
      </c>
      <c r="N17" s="27"/>
      <c r="O17" s="63"/>
      <c r="P17" s="63"/>
      <c r="Q17" s="63"/>
      <c r="R17" s="2"/>
      <c r="S17" s="2"/>
      <c r="T17" s="2"/>
      <c r="U17" s="10">
        <v>0</v>
      </c>
      <c r="V17" s="10">
        <f t="shared" si="2"/>
        <v>44282672.439311914</v>
      </c>
      <c r="W17" s="12">
        <f>IF(G$5*AC$2-SUM(W$8:W16)&gt;Z17,Z17,G$5-SUM(W$8:W16))</f>
        <v>0</v>
      </c>
      <c r="X17" s="12">
        <f t="shared" si="7"/>
        <v>7756641.0798925795</v>
      </c>
      <c r="Y17" s="12">
        <f t="shared" si="8"/>
        <v>-3102656.4319570321</v>
      </c>
      <c r="Z17" s="12">
        <f t="shared" si="15"/>
        <v>7206641.0798925795</v>
      </c>
      <c r="AA17" s="7">
        <f t="shared" si="16"/>
        <v>-5765312.8639140641</v>
      </c>
      <c r="AB17" s="12">
        <f t="shared" si="17"/>
        <v>7206641.0798925795</v>
      </c>
      <c r="AC17" s="12">
        <f t="shared" si="18"/>
        <v>3016204.7249506321</v>
      </c>
      <c r="AD17" s="12">
        <f t="shared" si="19"/>
        <v>-1206481.8899802528</v>
      </c>
      <c r="AE17" s="13">
        <f t="shared" si="21"/>
        <v>1896174.5419767792</v>
      </c>
      <c r="AF17" s="13">
        <f t="shared" si="9"/>
        <v>1346174.5419767792</v>
      </c>
      <c r="AG17" s="13">
        <f t="shared" si="10"/>
        <v>0</v>
      </c>
      <c r="AH17" s="14">
        <f t="shared" si="3"/>
        <v>0.31265560445716184</v>
      </c>
      <c r="AI17" s="10">
        <f t="shared" si="20"/>
        <v>39980092.542088665</v>
      </c>
    </row>
    <row r="18" spans="1:35" x14ac:dyDescent="0.25">
      <c r="A18" s="60"/>
      <c r="B18" s="35">
        <v>11</v>
      </c>
      <c r="C18" s="27">
        <f t="shared" si="11"/>
        <v>-10000000</v>
      </c>
      <c r="D18" s="27">
        <f t="shared" si="0"/>
        <v>-550000</v>
      </c>
      <c r="E18" s="27">
        <f t="shared" si="4"/>
        <v>5987369.3923837878</v>
      </c>
      <c r="F18" s="27">
        <f t="shared" si="12"/>
        <v>34542799.956364609</v>
      </c>
      <c r="G18" s="27">
        <f t="shared" si="13"/>
        <v>19448859.595325995</v>
      </c>
      <c r="H18" s="27">
        <f t="shared" si="5"/>
        <v>-4862214.8988314988</v>
      </c>
      <c r="I18" s="28">
        <f t="shared" si="1"/>
        <v>2164885.9595325994</v>
      </c>
      <c r="J18" s="27">
        <f t="shared" si="6"/>
        <v>1614885.9595325994</v>
      </c>
      <c r="K18" s="27">
        <f t="shared" si="14"/>
        <v>10935585.734713703</v>
      </c>
      <c r="L18" s="27">
        <f>'Premium Finance'!K15</f>
        <v>-749699.37249841169</v>
      </c>
      <c r="M18" s="36">
        <f>'Premium Finance'!L15+C18+E18+F18+G18</f>
        <v>59997369.571575984</v>
      </c>
      <c r="N18" s="27"/>
      <c r="O18" s="63"/>
      <c r="P18" s="63"/>
      <c r="Q18" s="63"/>
      <c r="R18" s="2"/>
      <c r="S18" s="2"/>
      <c r="T18" s="2"/>
      <c r="U18" s="10">
        <v>0</v>
      </c>
      <c r="V18" s="10">
        <f t="shared" si="2"/>
        <v>49229329.571575984</v>
      </c>
      <c r="W18" s="12">
        <f>IF(G$5*AC$2-SUM(W$8:W17)&gt;Z18,Z18,G$5-SUM(W$8:W17))</f>
        <v>0</v>
      </c>
      <c r="X18" s="12">
        <f t="shared" si="7"/>
        <v>8144473.133887209</v>
      </c>
      <c r="Y18" s="12">
        <f t="shared" si="8"/>
        <v>-3257789.2535548839</v>
      </c>
      <c r="Z18" s="12">
        <f t="shared" si="15"/>
        <v>7594473.133887209</v>
      </c>
      <c r="AA18" s="7">
        <f t="shared" si="16"/>
        <v>-6075578.5071097678</v>
      </c>
      <c r="AB18" s="12">
        <f t="shared" si="17"/>
        <v>7594473.133887209</v>
      </c>
      <c r="AC18" s="12">
        <f t="shared" si="18"/>
        <v>2732258.2350557102</v>
      </c>
      <c r="AD18" s="12">
        <f t="shared" si="19"/>
        <v>-1092903.2940222842</v>
      </c>
      <c r="AE18" s="13">
        <f>AD18-Y18</f>
        <v>2164885.9595325999</v>
      </c>
      <c r="AF18" s="13">
        <f t="shared" si="9"/>
        <v>1614885.9595325999</v>
      </c>
      <c r="AG18" s="13">
        <f t="shared" si="10"/>
        <v>0</v>
      </c>
      <c r="AH18" s="14">
        <f t="shared" si="3"/>
        <v>0.28949593005292762</v>
      </c>
      <c r="AI18" s="10">
        <f t="shared" si="20"/>
        <v>43178499.94545576</v>
      </c>
    </row>
    <row r="19" spans="1:35" x14ac:dyDescent="0.25">
      <c r="A19" s="60"/>
      <c r="B19" s="51">
        <v>12</v>
      </c>
      <c r="C19" s="52">
        <f t="shared" si="11"/>
        <v>-10000000</v>
      </c>
      <c r="D19" s="52">
        <f t="shared" si="0"/>
        <v>-550000</v>
      </c>
      <c r="E19" s="52">
        <f t="shared" si="4"/>
        <v>5688000.9227645984</v>
      </c>
      <c r="F19" s="52">
        <f t="shared" si="12"/>
        <v>37306223.952873781</v>
      </c>
      <c r="G19" s="52">
        <f t="shared" si="13"/>
        <v>22619654.322484676</v>
      </c>
      <c r="H19" s="52">
        <f t="shared" si="5"/>
        <v>-5654913.5806211689</v>
      </c>
      <c r="I19" s="53">
        <f t="shared" si="1"/>
        <v>2481965.4322484676</v>
      </c>
      <c r="J19" s="52">
        <f t="shared" si="6"/>
        <v>1931965.4322484676</v>
      </c>
      <c r="K19" s="52">
        <f t="shared" si="14"/>
        <v>12867551.166962171</v>
      </c>
      <c r="L19" s="52">
        <f>'Premium Finance'!K16</f>
        <v>-731919.53798582405</v>
      </c>
      <c r="M19" s="54">
        <f>'Premium Finance'!L16+C19+E19+F19+G19</f>
        <v>65803479.660137236</v>
      </c>
      <c r="N19" s="27"/>
      <c r="O19" s="63"/>
      <c r="P19" s="63"/>
      <c r="Q19" s="63"/>
      <c r="R19" s="2"/>
      <c r="S19" s="2"/>
      <c r="T19" s="2"/>
      <c r="U19" s="10">
        <v>0</v>
      </c>
      <c r="V19" s="10">
        <f t="shared" si="2"/>
        <v>54881959.660137229</v>
      </c>
      <c r="W19" s="12">
        <f>IF(G$5*AC$2-SUM(W$8:W18)&gt;Z19,Z19,G$5-SUM(W$8:W18))</f>
        <v>0</v>
      </c>
      <c r="X19" s="12">
        <f t="shared" si="7"/>
        <v>8551696.7905815691</v>
      </c>
      <c r="Y19" s="12">
        <f t="shared" si="8"/>
        <v>-3420678.7162326276</v>
      </c>
      <c r="Z19" s="12">
        <f t="shared" si="15"/>
        <v>8001696.7905815691</v>
      </c>
      <c r="AA19" s="7">
        <f t="shared" si="16"/>
        <v>-6401357.4324652553</v>
      </c>
      <c r="AB19" s="12">
        <f t="shared" si="17"/>
        <v>8001696.7905815691</v>
      </c>
      <c r="AC19" s="12">
        <f t="shared" si="18"/>
        <v>2346783.2099604001</v>
      </c>
      <c r="AD19" s="12">
        <f t="shared" si="19"/>
        <v>-938713.28398416005</v>
      </c>
      <c r="AE19" s="13">
        <f t="shared" si="21"/>
        <v>2481965.4322484676</v>
      </c>
      <c r="AF19" s="13">
        <f t="shared" si="9"/>
        <v>1931965.4322484676</v>
      </c>
      <c r="AG19" s="13">
        <f t="shared" si="10"/>
        <v>0</v>
      </c>
      <c r="AH19" s="14">
        <f t="shared" si="3"/>
        <v>0.26805178708604405</v>
      </c>
      <c r="AI19" s="10">
        <f t="shared" si="20"/>
        <v>46632779.941092223</v>
      </c>
    </row>
    <row r="20" spans="1:35" x14ac:dyDescent="0.25">
      <c r="A20" s="60"/>
      <c r="B20" s="35">
        <v>13</v>
      </c>
      <c r="C20" s="27">
        <f t="shared" si="11"/>
        <v>-10000000</v>
      </c>
      <c r="D20" s="27">
        <f t="shared" si="0"/>
        <v>-550000</v>
      </c>
      <c r="E20" s="27">
        <f t="shared" si="4"/>
        <v>5403600.8766263686</v>
      </c>
      <c r="F20" s="27">
        <f t="shared" si="12"/>
        <v>40290721.869103685</v>
      </c>
      <c r="G20" s="27">
        <f t="shared" si="13"/>
        <v>26361192.100531921</v>
      </c>
      <c r="H20" s="27">
        <f t="shared" si="5"/>
        <v>-6590298.0251329802</v>
      </c>
      <c r="I20" s="28">
        <f t="shared" si="1"/>
        <v>2856119.2100531925</v>
      </c>
      <c r="J20" s="27">
        <f t="shared" si="6"/>
        <v>2306119.2100531925</v>
      </c>
      <c r="K20" s="27">
        <f t="shared" si="14"/>
        <v>15173670.377015363</v>
      </c>
      <c r="L20" s="27">
        <f>'Premium Finance'!K17</f>
        <v>-712504.81257504597</v>
      </c>
      <c r="M20" s="36">
        <f>'Premium Finance'!L17+C20+E20+F20+G20</f>
        <v>72409290.033686936</v>
      </c>
      <c r="N20" s="27"/>
      <c r="O20" s="63"/>
      <c r="P20" s="63"/>
      <c r="Q20" s="63"/>
      <c r="R20" s="2"/>
      <c r="S20" s="2"/>
      <c r="T20" s="2"/>
      <c r="U20" s="10">
        <v>0</v>
      </c>
      <c r="V20" s="10">
        <f t="shared" si="2"/>
        <v>61343010.033686936</v>
      </c>
      <c r="W20" s="12">
        <f>IF(G$5*AC$2-SUM(W$8:W19)&gt;Z20,Z20,G$5-SUM(W$8:W19))</f>
        <v>0</v>
      </c>
      <c r="X20" s="12">
        <f t="shared" si="7"/>
        <v>8979281.6301106475</v>
      </c>
      <c r="Y20" s="12">
        <f t="shared" si="8"/>
        <v>-3591712.652044259</v>
      </c>
      <c r="Z20" s="12">
        <f t="shared" si="15"/>
        <v>8429281.6301106475</v>
      </c>
      <c r="AA20" s="7">
        <f t="shared" si="16"/>
        <v>-6743425.304088518</v>
      </c>
      <c r="AB20" s="12">
        <f t="shared" si="17"/>
        <v>8429281.6301106475</v>
      </c>
      <c r="AC20" s="12">
        <f t="shared" si="18"/>
        <v>1838983.6049776673</v>
      </c>
      <c r="AD20" s="12">
        <f t="shared" si="19"/>
        <v>-735593.44199106703</v>
      </c>
      <c r="AE20" s="13">
        <f t="shared" si="21"/>
        <v>2856119.210053192</v>
      </c>
      <c r="AF20" s="13">
        <f t="shared" si="9"/>
        <v>2306119.210053192</v>
      </c>
      <c r="AG20" s="13">
        <f>IF(AA20=H20,AF20,0)</f>
        <v>0</v>
      </c>
      <c r="AH20" s="14">
        <f t="shared" si="3"/>
        <v>0.24819609915374449</v>
      </c>
      <c r="AI20" s="10">
        <f t="shared" si="20"/>
        <v>50363402.336379603</v>
      </c>
    </row>
    <row r="21" spans="1:35" x14ac:dyDescent="0.25">
      <c r="A21" s="60"/>
      <c r="B21" s="51">
        <v>14</v>
      </c>
      <c r="C21" s="52">
        <f t="shared" si="11"/>
        <v>-10000000</v>
      </c>
      <c r="D21" s="52">
        <f t="shared" si="0"/>
        <v>-550000</v>
      </c>
      <c r="E21" s="52">
        <f t="shared" si="4"/>
        <v>5133420.83279505</v>
      </c>
      <c r="F21" s="52">
        <f t="shared" si="12"/>
        <v>43513979.618631981</v>
      </c>
      <c r="G21" s="52">
        <f t="shared" si="13"/>
        <v>30776206.678627666</v>
      </c>
      <c r="H21" s="52">
        <f t="shared" si="5"/>
        <v>-7102596.5692929449</v>
      </c>
      <c r="I21" s="53">
        <f t="shared" si="1"/>
        <v>3061038.6277171783</v>
      </c>
      <c r="J21" s="52">
        <f t="shared" si="6"/>
        <v>2511038.6277171783</v>
      </c>
      <c r="K21" s="52">
        <f t="shared" si="14"/>
        <v>17684709.004732542</v>
      </c>
      <c r="L21" s="52">
        <f>'Premium Finance'!K18</f>
        <v>1819833.7504505031</v>
      </c>
      <c r="M21" s="54">
        <f>'Premium Finance'!L18+C21+E21+F21+G21</f>
        <v>82445260.880505204</v>
      </c>
      <c r="N21" s="27"/>
      <c r="O21" s="63"/>
      <c r="P21" s="63"/>
      <c r="Q21" s="63"/>
      <c r="R21" s="2"/>
      <c r="S21" s="2"/>
      <c r="T21" s="2"/>
      <c r="U21" s="10">
        <v>0</v>
      </c>
      <c r="V21" s="10">
        <f t="shared" si="2"/>
        <v>71243440.880505204</v>
      </c>
      <c r="W21" s="12">
        <f>IF(G$5*AC$2-SUM(W$8:W20)&gt;Z21,Z21,G$5-SUM(W$8:W20))</f>
        <v>0</v>
      </c>
      <c r="X21" s="12">
        <f t="shared" si="7"/>
        <v>9428245.7116161808</v>
      </c>
      <c r="Y21" s="12">
        <f t="shared" si="8"/>
        <v>-3771298.2846464724</v>
      </c>
      <c r="Z21" s="12">
        <f t="shared" si="15"/>
        <v>8878245.7116161808</v>
      </c>
      <c r="AA21" s="7">
        <f t="shared" si="16"/>
        <v>-7102596.5692929449</v>
      </c>
      <c r="AB21" s="12">
        <f t="shared" si="17"/>
        <v>8878245.7116161808</v>
      </c>
      <c r="AC21" s="12">
        <f t="shared" si="18"/>
        <v>1775649.142323236</v>
      </c>
      <c r="AD21" s="12">
        <f t="shared" si="19"/>
        <v>-710259.65692929446</v>
      </c>
      <c r="AE21" s="13">
        <f t="shared" si="21"/>
        <v>3061038.6277171778</v>
      </c>
      <c r="AF21" s="13">
        <f t="shared" si="9"/>
        <v>2511038.6277171778</v>
      </c>
      <c r="AG21" s="13">
        <f t="shared" si="10"/>
        <v>2511038.6277171778</v>
      </c>
      <c r="AH21" s="14">
        <f t="shared" si="3"/>
        <v>0.22981120292013379</v>
      </c>
      <c r="AI21" s="10">
        <f t="shared" si="20"/>
        <v>54392474.523289971</v>
      </c>
    </row>
    <row r="22" spans="1:35" x14ac:dyDescent="0.25">
      <c r="A22" s="60"/>
      <c r="B22" s="35">
        <v>15</v>
      </c>
      <c r="C22" s="27">
        <f t="shared" si="11"/>
        <v>-10000000</v>
      </c>
      <c r="D22" s="27">
        <f t="shared" si="0"/>
        <v>-550000</v>
      </c>
      <c r="E22" s="27">
        <f t="shared" si="4"/>
        <v>4876749.7911552973</v>
      </c>
      <c r="F22" s="27">
        <f t="shared" si="12"/>
        <v>46995097.988122545</v>
      </c>
      <c r="G22" s="27">
        <f t="shared" si="13"/>
        <v>33238303.212917883</v>
      </c>
      <c r="H22" s="27">
        <f t="shared" si="5"/>
        <v>-7479726.3977575935</v>
      </c>
      <c r="I22" s="28">
        <f t="shared" si="1"/>
        <v>3211890.5591030377</v>
      </c>
      <c r="J22" s="27">
        <f t="shared" si="6"/>
        <v>2661890.5591030377</v>
      </c>
      <c r="K22" s="27">
        <f t="shared" si="14"/>
        <v>20346599.56383558</v>
      </c>
      <c r="L22" s="27">
        <f>'Premium Finance'!K19</f>
        <v>4642912.3658283204</v>
      </c>
      <c r="M22" s="36">
        <f>'Premium Finance'!L19+C22+E22+F22+G22</f>
        <v>91081063.358024046</v>
      </c>
      <c r="N22" s="27"/>
      <c r="O22" s="63"/>
      <c r="P22" s="63"/>
      <c r="Q22" s="63"/>
      <c r="R22" s="2"/>
      <c r="S22" s="2"/>
      <c r="T22" s="2"/>
      <c r="U22" s="10">
        <v>0</v>
      </c>
      <c r="V22" s="10">
        <f t="shared" si="2"/>
        <v>79753063.358024046</v>
      </c>
      <c r="W22" s="12">
        <f>IF(G$5*AC$2-SUM(W$8:W21)&gt;Z22,Z22,G$5-SUM(W$8:W21))</f>
        <v>0</v>
      </c>
      <c r="X22" s="12">
        <f t="shared" si="7"/>
        <v>9899657.997196991</v>
      </c>
      <c r="Y22" s="12">
        <f t="shared" si="8"/>
        <v>-3959863.1988787968</v>
      </c>
      <c r="Z22" s="12">
        <f t="shared" si="15"/>
        <v>9349657.997196991</v>
      </c>
      <c r="AA22" s="7">
        <f t="shared" si="16"/>
        <v>-7479726.3977575935</v>
      </c>
      <c r="AB22" s="12">
        <f t="shared" si="17"/>
        <v>9349657.997196991</v>
      </c>
      <c r="AC22" s="12">
        <f t="shared" si="18"/>
        <v>1869931.5994393975</v>
      </c>
      <c r="AD22" s="12">
        <f t="shared" si="19"/>
        <v>-747972.63977575907</v>
      </c>
      <c r="AE22" s="13">
        <f t="shared" si="21"/>
        <v>3211890.5591030377</v>
      </c>
      <c r="AF22" s="13">
        <f t="shared" si="9"/>
        <v>2661890.5591030377</v>
      </c>
      <c r="AG22" s="13">
        <f t="shared" si="10"/>
        <v>2661890.5591030377</v>
      </c>
      <c r="AH22" s="14">
        <f t="shared" si="3"/>
        <v>0.21278815085197569</v>
      </c>
      <c r="AI22" s="10">
        <f t="shared" si="20"/>
        <v>58743872.485153176</v>
      </c>
    </row>
    <row r="23" spans="1:35" x14ac:dyDescent="0.25">
      <c r="A23" s="60"/>
      <c r="B23" s="51">
        <v>16</v>
      </c>
      <c r="C23" s="52">
        <f t="shared" si="11"/>
        <v>-10000000</v>
      </c>
      <c r="D23" s="52">
        <f t="shared" si="0"/>
        <v>-550000</v>
      </c>
      <c r="E23" s="52">
        <f t="shared" si="4"/>
        <v>4632912.3015975319</v>
      </c>
      <c r="F23" s="52">
        <f t="shared" si="12"/>
        <v>50754705.827172354</v>
      </c>
      <c r="G23" s="52">
        <f t="shared" si="13"/>
        <v>35897367.469951317</v>
      </c>
      <c r="H23" s="52">
        <f t="shared" si="5"/>
        <v>-7875712.7176454728</v>
      </c>
      <c r="I23" s="53">
        <f t="shared" si="1"/>
        <v>3370285.0870581898</v>
      </c>
      <c r="J23" s="52">
        <f t="shared" si="6"/>
        <v>2820285.0870581898</v>
      </c>
      <c r="K23" s="52">
        <f t="shared" si="14"/>
        <v>23166884.65089377</v>
      </c>
      <c r="L23" s="52">
        <f>'Premium Finance'!K20</f>
        <v>7779479.1330070682</v>
      </c>
      <c r="M23" s="54">
        <f>'Premium Finance'!L20+C23+E23+F23+G23</f>
        <v>100508284.73172827</v>
      </c>
      <c r="N23" s="27"/>
      <c r="O23" s="63"/>
      <c r="P23" s="63"/>
      <c r="Q23" s="63"/>
      <c r="R23" s="2"/>
      <c r="S23" s="2"/>
      <c r="T23" s="2"/>
      <c r="U23" s="10">
        <v>0</v>
      </c>
      <c r="V23" s="10">
        <f t="shared" si="2"/>
        <v>89064464.731728271</v>
      </c>
      <c r="W23" s="12">
        <f>IF(G$5*AC$2-SUM(W$8:W22)&gt;Z23,Z23,G$5-SUM(W$8:W22))</f>
        <v>0</v>
      </c>
      <c r="X23" s="12">
        <f t="shared" si="7"/>
        <v>10394640.89705684</v>
      </c>
      <c r="Y23" s="12">
        <f t="shared" si="8"/>
        <v>-4157856.3588227364</v>
      </c>
      <c r="Z23" s="12">
        <f t="shared" si="15"/>
        <v>9844640.8970568404</v>
      </c>
      <c r="AA23" s="7">
        <f t="shared" si="16"/>
        <v>-7875712.7176454728</v>
      </c>
      <c r="AB23" s="12">
        <f t="shared" si="17"/>
        <v>9844640.8970568404</v>
      </c>
      <c r="AC23" s="12">
        <f t="shared" si="18"/>
        <v>1968928.1794113675</v>
      </c>
      <c r="AD23" s="12">
        <f t="shared" si="19"/>
        <v>-787571.2717645471</v>
      </c>
      <c r="AE23" s="13">
        <f t="shared" si="21"/>
        <v>3370285.0870581893</v>
      </c>
      <c r="AF23" s="13">
        <f t="shared" si="9"/>
        <v>2820285.0870581893</v>
      </c>
      <c r="AG23" s="13">
        <f t="shared" si="10"/>
        <v>2820285.0870581893</v>
      </c>
      <c r="AH23" s="14">
        <f t="shared" si="3"/>
        <v>0.19702606560368119</v>
      </c>
      <c r="AI23" s="10">
        <f t="shared" si="20"/>
        <v>63443382.283965431</v>
      </c>
    </row>
    <row r="24" spans="1:35" x14ac:dyDescent="0.25">
      <c r="A24" s="60"/>
      <c r="B24" s="35">
        <v>17</v>
      </c>
      <c r="C24" s="27">
        <f t="shared" si="11"/>
        <v>-10000000</v>
      </c>
      <c r="D24" s="27">
        <f t="shared" si="0"/>
        <v>-550000</v>
      </c>
      <c r="E24" s="27">
        <f t="shared" si="4"/>
        <v>4401266.6865176549</v>
      </c>
      <c r="F24" s="27">
        <f t="shared" si="12"/>
        <v>54815082.293346144</v>
      </c>
      <c r="G24" s="27">
        <f t="shared" si="13"/>
        <v>38769156.867547423</v>
      </c>
      <c r="H24" s="27">
        <f t="shared" si="5"/>
        <v>-8291498.3535277462</v>
      </c>
      <c r="I24" s="28">
        <f t="shared" si="1"/>
        <v>3536599.3414110988</v>
      </c>
      <c r="J24" s="27">
        <f t="shared" si="6"/>
        <v>2986599.3414110988</v>
      </c>
      <c r="K24" s="27">
        <f t="shared" si="14"/>
        <v>26153483.992304869</v>
      </c>
      <c r="L24" s="27">
        <f>'Premium Finance'!K21</f>
        <v>11254036.226733556</v>
      </c>
      <c r="M24" s="36">
        <f>'Premium Finance'!L21+C24+E24+F24+G24</f>
        <v>110789022.07414478</v>
      </c>
      <c r="N24" s="27"/>
      <c r="O24" s="63"/>
      <c r="P24" s="63"/>
      <c r="Q24" s="63"/>
      <c r="R24" s="2"/>
      <c r="S24" s="2"/>
      <c r="T24" s="2"/>
      <c r="U24" s="10">
        <v>0</v>
      </c>
      <c r="V24" s="10">
        <f t="shared" si="2"/>
        <v>99239542.074144766</v>
      </c>
      <c r="W24" s="12">
        <f>IF(G$5*AC$2-SUM(W$8:W23)&gt;Z24,Z24,G$5-SUM(W$8:W23))</f>
        <v>0</v>
      </c>
      <c r="X24" s="12">
        <f t="shared" si="7"/>
        <v>10914372.941909682</v>
      </c>
      <c r="Y24" s="12">
        <f t="shared" si="8"/>
        <v>-4365749.1767638726</v>
      </c>
      <c r="Z24" s="12">
        <f t="shared" si="15"/>
        <v>10364372.941909682</v>
      </c>
      <c r="AA24" s="7">
        <f t="shared" si="16"/>
        <v>-8291498.3535277462</v>
      </c>
      <c r="AB24" s="12">
        <f t="shared" si="17"/>
        <v>10364372.941909682</v>
      </c>
      <c r="AC24" s="12">
        <f t="shared" si="18"/>
        <v>2072874.5883819358</v>
      </c>
      <c r="AD24" s="12">
        <f t="shared" si="19"/>
        <v>-829149.83535277436</v>
      </c>
      <c r="AE24" s="13">
        <f t="shared" si="21"/>
        <v>3536599.3414110984</v>
      </c>
      <c r="AF24" s="13">
        <f t="shared" si="9"/>
        <v>2986599.3414110984</v>
      </c>
      <c r="AG24" s="13">
        <f t="shared" si="10"/>
        <v>2986599.3414110984</v>
      </c>
      <c r="AH24" s="14">
        <f t="shared" si="3"/>
        <v>0.18243154222563071</v>
      </c>
      <c r="AI24" s="10">
        <f t="shared" si="20"/>
        <v>68518852.866682664</v>
      </c>
    </row>
    <row r="25" spans="1:35" x14ac:dyDescent="0.25">
      <c r="A25" s="60"/>
      <c r="B25" s="51">
        <v>18</v>
      </c>
      <c r="C25" s="52">
        <f t="shared" si="11"/>
        <v>-10000000</v>
      </c>
      <c r="D25" s="52">
        <f t="shared" si="0"/>
        <v>-550000</v>
      </c>
      <c r="E25" s="52">
        <f t="shared" si="4"/>
        <v>4181203.3521917718</v>
      </c>
      <c r="F25" s="52">
        <f>F24*(1+Y$6)</f>
        <v>59200288.876813836</v>
      </c>
      <c r="G25" s="52">
        <f>G24*(1+AC$1)+AF24-AG24</f>
        <v>41870689.416951217</v>
      </c>
      <c r="H25" s="52">
        <f t="shared" si="5"/>
        <v>-8728073.2712041344</v>
      </c>
      <c r="I25" s="53">
        <f t="shared" si="1"/>
        <v>3711229.3084816542</v>
      </c>
      <c r="J25" s="52">
        <f t="shared" si="6"/>
        <v>3161229.3084816542</v>
      </c>
      <c r="K25" s="52">
        <f t="shared" si="14"/>
        <v>29314713.300786525</v>
      </c>
      <c r="L25" s="52">
        <f>'Premium Finance'!K22</f>
        <v>15095360.927685555</v>
      </c>
      <c r="M25" s="54">
        <f>'Premium Finance'!L22+C25+E25+F25+G25</f>
        <v>121991842.57364237</v>
      </c>
      <c r="N25" s="27"/>
      <c r="O25" s="63"/>
      <c r="P25" s="63"/>
      <c r="Q25" s="63"/>
      <c r="R25" s="2"/>
      <c r="S25" s="2"/>
      <c r="T25" s="2"/>
      <c r="U25" s="10">
        <v>0</v>
      </c>
      <c r="V25" s="10">
        <f t="shared" si="2"/>
        <v>110347542.57364239</v>
      </c>
      <c r="W25" s="12">
        <f>IF(G$5*AC$2-SUM(W$8:W24)&gt;Z25,Z25,G$5-SUM(W$8:W24))</f>
        <v>0</v>
      </c>
      <c r="X25" s="12">
        <f t="shared" si="7"/>
        <v>11460091.589005167</v>
      </c>
      <c r="Y25" s="12">
        <f t="shared" si="8"/>
        <v>-4584036.6356020672</v>
      </c>
      <c r="Z25" s="12">
        <f t="shared" si="15"/>
        <v>10910091.589005167</v>
      </c>
      <c r="AA25" s="7">
        <f t="shared" si="16"/>
        <v>-8728073.2712041344</v>
      </c>
      <c r="AB25" s="12">
        <f t="shared" si="17"/>
        <v>10910091.589005167</v>
      </c>
      <c r="AC25" s="12">
        <f t="shared" si="18"/>
        <v>2182018.3178010322</v>
      </c>
      <c r="AD25" s="12">
        <f t="shared" si="19"/>
        <v>-872807.32712041296</v>
      </c>
      <c r="AE25" s="13">
        <f t="shared" si="21"/>
        <v>3711229.3084816542</v>
      </c>
      <c r="AF25" s="13">
        <f t="shared" si="9"/>
        <v>3161229.3084816542</v>
      </c>
      <c r="AG25" s="13">
        <f t="shared" si="10"/>
        <v>3161229.3084816542</v>
      </c>
      <c r="AH25" s="14">
        <f t="shared" si="3"/>
        <v>0.16891809465336177</v>
      </c>
      <c r="AI25" s="10">
        <f t="shared" si="20"/>
        <v>74000361.096017286</v>
      </c>
    </row>
    <row r="26" spans="1:35" x14ac:dyDescent="0.25">
      <c r="A26" s="60"/>
      <c r="B26" s="35">
        <v>19</v>
      </c>
      <c r="C26" s="27">
        <f>C25</f>
        <v>-10000000</v>
      </c>
      <c r="D26" s="27">
        <f>Y$1*C26</f>
        <v>-550000</v>
      </c>
      <c r="E26" s="27">
        <f>E25*(1-Y$5)</f>
        <v>3972143.1845821831</v>
      </c>
      <c r="F26" s="27">
        <f t="shared" si="12"/>
        <v>63936311.986958951</v>
      </c>
      <c r="G26" s="27">
        <f t="shared" si="13"/>
        <v>45220344.570307314</v>
      </c>
      <c r="H26" s="27">
        <f t="shared" si="5"/>
        <v>-9186476.9347643405</v>
      </c>
      <c r="I26" s="28">
        <f>-(D26+H26)*AC$3+W26*AC$3</f>
        <v>3894590.7739057364</v>
      </c>
      <c r="J26" s="27">
        <f t="shared" si="6"/>
        <v>3344590.7739057364</v>
      </c>
      <c r="K26" s="27">
        <f t="shared" si="14"/>
        <v>32659304.07469226</v>
      </c>
      <c r="L26" s="27">
        <f>'Premium Finance'!K23</f>
        <v>19332133.152613997</v>
      </c>
      <c r="M26" s="36">
        <f>'Premium Finance'!L23+C26+E26+F26+G26</f>
        <v>134189532.89446244</v>
      </c>
      <c r="N26" s="27"/>
      <c r="O26" s="63"/>
      <c r="P26" s="63"/>
      <c r="Q26" s="63"/>
      <c r="R26" s="2"/>
      <c r="S26" s="2"/>
      <c r="T26" s="2"/>
      <c r="U26" s="10">
        <v>0</v>
      </c>
      <c r="V26" s="10">
        <f>G26+F26+E26+C26+L26</f>
        <v>122460932.89446245</v>
      </c>
      <c r="W26" s="12">
        <f>IF(G$5*AC$2-SUM(W$8:W25)&gt;Z26,Z26,G$5-SUM(W$8:W25))</f>
        <v>0</v>
      </c>
      <c r="X26" s="12">
        <f t="shared" si="7"/>
        <v>12033096.168455426</v>
      </c>
      <c r="Y26" s="12">
        <f t="shared" si="8"/>
        <v>-4813238.4673821703</v>
      </c>
      <c r="Z26" s="12">
        <f t="shared" si="15"/>
        <v>11483096.168455426</v>
      </c>
      <c r="AA26" s="7">
        <f t="shared" si="16"/>
        <v>-9186476.9347643405</v>
      </c>
      <c r="AB26" s="12">
        <f t="shared" si="17"/>
        <v>11483096.168455426</v>
      </c>
      <c r="AC26" s="12">
        <f t="shared" si="18"/>
        <v>2296619.2336910851</v>
      </c>
      <c r="AD26" s="12">
        <f t="shared" si="19"/>
        <v>-918647.6934764341</v>
      </c>
      <c r="AE26" s="13">
        <f t="shared" si="21"/>
        <v>3894590.7739057364</v>
      </c>
      <c r="AF26" s="13">
        <f t="shared" si="9"/>
        <v>3344590.7739057364</v>
      </c>
      <c r="AG26" s="13">
        <f t="shared" si="10"/>
        <v>3344590.7739057364</v>
      </c>
      <c r="AH26" s="14">
        <f t="shared" si="3"/>
        <v>0.15640564319755718</v>
      </c>
      <c r="AI26" s="10">
        <f t="shared" si="20"/>
        <v>79920389.983698681</v>
      </c>
    </row>
    <row r="27" spans="1:35" x14ac:dyDescent="0.25">
      <c r="A27" s="60"/>
      <c r="B27" s="55">
        <v>20</v>
      </c>
      <c r="C27" s="56">
        <f t="shared" si="11"/>
        <v>-10000000</v>
      </c>
      <c r="D27" s="56">
        <f t="shared" si="0"/>
        <v>-550000</v>
      </c>
      <c r="E27" s="56">
        <f t="shared" si="4"/>
        <v>3773536.0253530736</v>
      </c>
      <c r="F27" s="56">
        <f t="shared" si="12"/>
        <v>69051216.945915669</v>
      </c>
      <c r="G27" s="56">
        <f>G26*(1+AC$1)+AF26-AG26</f>
        <v>48837972.135931902</v>
      </c>
      <c r="H27" s="56">
        <f>IF(G27*AC$6&gt;-AA27,AA27,-G27*AC$6)</f>
        <v>-9667800.7815025579</v>
      </c>
      <c r="I27" s="57">
        <f>-(D27+H27)*AC$3+W27*AC$3</f>
        <v>4087120.3126010234</v>
      </c>
      <c r="J27" s="56">
        <f>I27+D27</f>
        <v>3537120.3126010234</v>
      </c>
      <c r="K27" s="56">
        <f>K26+J27</f>
        <v>36196424.387293287</v>
      </c>
      <c r="L27" s="56">
        <f>'Premium Finance'!K24</f>
        <v>30467187.111190151</v>
      </c>
      <c r="M27" s="58">
        <f>'Premium Finance'!L24+C27+E27+F27+G27</f>
        <v>153931832.21839079</v>
      </c>
      <c r="N27" s="27"/>
      <c r="O27" s="63"/>
      <c r="P27" s="63"/>
      <c r="Q27" s="63"/>
      <c r="R27" s="2"/>
      <c r="S27" s="2"/>
      <c r="T27" s="2"/>
      <c r="U27" s="10">
        <f>V27</f>
        <v>142129912.21839079</v>
      </c>
      <c r="V27" s="10">
        <f t="shared" si="2"/>
        <v>142129912.21839079</v>
      </c>
      <c r="W27" s="12">
        <f>IF(G$5*AC$2-SUM(W$8:W26)&gt;Z27,Z27,G$5-SUM(W$8:W26))</f>
        <v>0</v>
      </c>
      <c r="X27" s="12">
        <f t="shared" si="7"/>
        <v>12634750.976878198</v>
      </c>
      <c r="Y27" s="12">
        <f>-X27*AC$3</f>
        <v>-5053900.3907512799</v>
      </c>
      <c r="Z27" s="12">
        <f t="shared" si="15"/>
        <v>12084750.976878198</v>
      </c>
      <c r="AA27" s="7">
        <f>-AB27*AC$5</f>
        <v>-9667800.7815025579</v>
      </c>
      <c r="AB27" s="12">
        <f t="shared" si="17"/>
        <v>12084750.976878198</v>
      </c>
      <c r="AC27" s="12">
        <f>AB27+H27</f>
        <v>2416950.1953756399</v>
      </c>
      <c r="AD27" s="12">
        <f>AC27*AC$3</f>
        <v>966780.07815025607</v>
      </c>
      <c r="AE27" s="13">
        <f t="shared" si="21"/>
        <v>6020680.4689015355</v>
      </c>
      <c r="AF27" s="13">
        <f>AE27+D27</f>
        <v>5470680.4689015355</v>
      </c>
      <c r="AG27" s="13">
        <f t="shared" si="10"/>
        <v>5470680.4689015355</v>
      </c>
      <c r="AH27" s="14">
        <f t="shared" si="3"/>
        <v>0.14482003999773813</v>
      </c>
      <c r="AI27" s="10">
        <f>AI26*(1+Y$6)</f>
        <v>86314021.182394579</v>
      </c>
    </row>
    <row r="28" spans="1:35" ht="15.75" thickBot="1" x14ac:dyDescent="0.3">
      <c r="A28" s="60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61"/>
      <c r="P28" s="61"/>
      <c r="Q28" s="61"/>
    </row>
    <row r="29" spans="1:35" x14ac:dyDescent="0.25">
      <c r="A29" s="60"/>
      <c r="B29" s="22"/>
      <c r="C29" s="22"/>
      <c r="D29" s="22"/>
      <c r="E29" s="22"/>
      <c r="F29" s="22"/>
      <c r="G29" s="22"/>
      <c r="H29" s="22"/>
      <c r="I29" s="22"/>
      <c r="J29" s="37">
        <f>IRR(U7:U27)</f>
        <v>0.1030184442529809</v>
      </c>
      <c r="K29" s="74" t="s">
        <v>42</v>
      </c>
      <c r="L29" s="74"/>
      <c r="M29" s="75"/>
      <c r="N29" s="29"/>
      <c r="O29" s="64"/>
      <c r="P29" s="64"/>
      <c r="Q29" s="64"/>
      <c r="R29" s="21"/>
      <c r="S29" s="21"/>
    </row>
    <row r="30" spans="1:35" x14ac:dyDescent="0.25">
      <c r="A30" s="60"/>
      <c r="B30" s="22"/>
      <c r="C30" s="22"/>
      <c r="D30" s="22"/>
      <c r="E30" s="22"/>
      <c r="F30" s="22"/>
      <c r="G30" s="22"/>
      <c r="H30" s="22"/>
      <c r="I30" s="22"/>
      <c r="J30" s="38">
        <f>V27</f>
        <v>142129912.21839079</v>
      </c>
      <c r="K30" s="76" t="s">
        <v>54</v>
      </c>
      <c r="L30" s="76"/>
      <c r="M30" s="77"/>
      <c r="N30" s="29"/>
      <c r="O30" s="64"/>
      <c r="P30" s="64"/>
      <c r="Q30" s="64"/>
      <c r="R30" s="21"/>
      <c r="S30" s="21"/>
    </row>
    <row r="31" spans="1:35" x14ac:dyDescent="0.25">
      <c r="A31" s="60"/>
      <c r="B31" s="22"/>
      <c r="C31" s="22"/>
      <c r="D31" s="22"/>
      <c r="E31" s="22"/>
      <c r="F31" s="22"/>
      <c r="G31" s="22"/>
      <c r="H31" s="22"/>
      <c r="I31" s="22"/>
      <c r="J31" s="38">
        <f>U27-AI27</f>
        <v>55815891.035996214</v>
      </c>
      <c r="K31" s="76" t="s">
        <v>55</v>
      </c>
      <c r="L31" s="76"/>
      <c r="M31" s="77"/>
      <c r="N31" s="29"/>
      <c r="O31" s="64"/>
      <c r="P31" s="64"/>
      <c r="Q31" s="64"/>
      <c r="R31" s="21"/>
      <c r="S31" s="21"/>
    </row>
    <row r="32" spans="1:35" x14ac:dyDescent="0.25">
      <c r="A32" s="60"/>
      <c r="B32" s="22"/>
      <c r="C32" s="22"/>
      <c r="D32" s="22"/>
      <c r="E32" s="22"/>
      <c r="F32" s="22"/>
      <c r="G32" s="22"/>
      <c r="H32" s="22"/>
      <c r="I32" s="22"/>
      <c r="J32" s="38">
        <f>M27-AI27</f>
        <v>67617811.035996214</v>
      </c>
      <c r="K32" s="76" t="s">
        <v>53</v>
      </c>
      <c r="L32" s="76"/>
      <c r="M32" s="77"/>
      <c r="N32" s="29"/>
      <c r="O32" s="64"/>
      <c r="P32" s="64"/>
      <c r="Q32" s="64"/>
      <c r="R32" s="21"/>
      <c r="S32" s="21"/>
    </row>
    <row r="33" spans="1:19" ht="15.75" thickBot="1" x14ac:dyDescent="0.3">
      <c r="A33" s="60"/>
      <c r="B33" s="22"/>
      <c r="C33" s="22"/>
      <c r="D33" s="22"/>
      <c r="E33" s="22"/>
      <c r="F33" s="22"/>
      <c r="G33" s="22"/>
      <c r="H33" s="22"/>
      <c r="I33" s="22"/>
      <c r="J33" s="39">
        <f>-J31</f>
        <v>-55815891.035996214</v>
      </c>
      <c r="K33" s="72" t="s">
        <v>45</v>
      </c>
      <c r="L33" s="72"/>
      <c r="M33" s="73"/>
      <c r="N33" s="29"/>
      <c r="O33" s="64"/>
      <c r="P33" s="64"/>
      <c r="Q33" s="64"/>
      <c r="R33" s="21"/>
      <c r="S33" s="21"/>
    </row>
    <row r="34" spans="1:19" x14ac:dyDescent="0.25">
      <c r="A34" s="60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61"/>
      <c r="P34" s="61"/>
      <c r="Q34" s="61"/>
    </row>
    <row r="35" spans="1:19" x14ac:dyDescent="0.25"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</row>
    <row r="36" spans="1:19" x14ac:dyDescent="0.25"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</row>
  </sheetData>
  <mergeCells count="21">
    <mergeCell ref="K33:M33"/>
    <mergeCell ref="U6:X6"/>
    <mergeCell ref="Z6:AB6"/>
    <mergeCell ref="K29:M29"/>
    <mergeCell ref="K30:M30"/>
    <mergeCell ref="K31:M31"/>
    <mergeCell ref="K32:M32"/>
    <mergeCell ref="C4:F4"/>
    <mergeCell ref="U4:X4"/>
    <mergeCell ref="Z4:AB4"/>
    <mergeCell ref="C5:F5"/>
    <mergeCell ref="U5:X5"/>
    <mergeCell ref="Z5:AB5"/>
    <mergeCell ref="C3:F3"/>
    <mergeCell ref="U3:X3"/>
    <mergeCell ref="Z3:AB3"/>
    <mergeCell ref="U1:X1"/>
    <mergeCell ref="Z1:AB1"/>
    <mergeCell ref="C2:F2"/>
    <mergeCell ref="U2:X2"/>
    <mergeCell ref="Z2:A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6CA39-D290-4B80-982C-01C5513FD49C}">
  <dimension ref="A1:V80"/>
  <sheetViews>
    <sheetView workbookViewId="0">
      <selection activeCell="K25" sqref="K25"/>
    </sheetView>
  </sheetViews>
  <sheetFormatPr defaultRowHeight="15" x14ac:dyDescent="0.25"/>
  <cols>
    <col min="1" max="1" width="5.28515625" bestFit="1" customWidth="1"/>
    <col min="2" max="2" width="11.42578125" customWidth="1"/>
    <col min="3" max="3" width="20.140625" bestFit="1" customWidth="1"/>
    <col min="4" max="4" width="15.42578125" customWidth="1"/>
    <col min="5" max="5" width="4.7109375" customWidth="1"/>
    <col min="6" max="6" width="12" bestFit="1" customWidth="1"/>
    <col min="7" max="7" width="15.7109375" bestFit="1" customWidth="1"/>
    <col min="8" max="8" width="12.28515625" bestFit="1" customWidth="1"/>
    <col min="9" max="9" width="21.7109375" bestFit="1" customWidth="1"/>
    <col min="10" max="10" width="16.140625" bestFit="1" customWidth="1"/>
    <col min="11" max="11" width="21.140625" bestFit="1" customWidth="1"/>
    <col min="12" max="12" width="23" bestFit="1" customWidth="1"/>
    <col min="13" max="14" width="4.28515625" customWidth="1"/>
    <col min="15" max="15" width="4.28515625" bestFit="1" customWidth="1"/>
    <col min="16" max="16" width="5.28515625" bestFit="1" customWidth="1"/>
    <col min="17" max="18" width="7.7109375" bestFit="1" customWidth="1"/>
    <col min="19" max="19" width="10.140625" bestFit="1" customWidth="1"/>
    <col min="20" max="22" width="11.140625" bestFit="1" customWidth="1"/>
  </cols>
  <sheetData>
    <row r="1" spans="1:22" x14ac:dyDescent="0.25"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>
        <f>'Cheat Code'!AE1</f>
        <v>20</v>
      </c>
    </row>
    <row r="2" spans="1:22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C3" s="6"/>
      <c r="D3" s="6"/>
      <c r="E3" s="6"/>
      <c r="F3" s="6"/>
      <c r="G3" s="6"/>
      <c r="H3" s="15">
        <f>J3</f>
        <v>5.5E-2</v>
      </c>
      <c r="I3" s="6"/>
      <c r="J3" s="15">
        <f>'Cheat Code'!Y1</f>
        <v>5.5E-2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t="s">
        <v>16</v>
      </c>
      <c r="B4" t="s">
        <v>17</v>
      </c>
      <c r="C4" s="6" t="s">
        <v>19</v>
      </c>
      <c r="D4" s="6" t="s">
        <v>18</v>
      </c>
      <c r="E4" s="6"/>
      <c r="F4" s="6" t="s">
        <v>20</v>
      </c>
      <c r="G4" s="6" t="s">
        <v>21</v>
      </c>
      <c r="H4" s="6" t="s">
        <v>22</v>
      </c>
      <c r="I4" s="6" t="s">
        <v>24</v>
      </c>
      <c r="J4" s="6" t="s">
        <v>25</v>
      </c>
      <c r="K4" s="6" t="s">
        <v>26</v>
      </c>
      <c r="L4" s="6" t="s">
        <v>27</v>
      </c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>
        <f>O5</f>
        <v>1</v>
      </c>
      <c r="B5" s="1">
        <f t="shared" ref="B5:B24" si="0">R5*$V$1</f>
        <v>1428000</v>
      </c>
      <c r="C5" s="16">
        <f t="shared" ref="C5:C24" si="1">U5*$V$1</f>
        <v>528200</v>
      </c>
      <c r="D5" s="16">
        <f>V5*$V$1</f>
        <v>20124440</v>
      </c>
      <c r="E5" s="6"/>
      <c r="F5" s="10">
        <f>B5</f>
        <v>1428000</v>
      </c>
      <c r="G5" s="10">
        <f>F5</f>
        <v>1428000</v>
      </c>
      <c r="H5" s="10">
        <f t="shared" ref="H5:H24" si="2">G5*H$3</f>
        <v>78540</v>
      </c>
      <c r="I5" s="16">
        <f>'Cheat Code'!AG8</f>
        <v>0</v>
      </c>
      <c r="J5" s="16">
        <f>IF(G6=0,I5-H5-G5*(1+J$3),0)</f>
        <v>0</v>
      </c>
      <c r="K5" s="10">
        <f t="shared" ref="K5:K23" si="3">C5-G5+J5</f>
        <v>-899800</v>
      </c>
      <c r="L5" s="10">
        <f>D5-G5+J5</f>
        <v>18696440</v>
      </c>
      <c r="M5" s="6"/>
      <c r="N5" s="6"/>
      <c r="O5" s="17">
        <v>1</v>
      </c>
      <c r="P5" s="17">
        <v>46</v>
      </c>
      <c r="Q5" s="18">
        <v>71400</v>
      </c>
      <c r="R5" s="18">
        <v>71400</v>
      </c>
      <c r="S5" s="18">
        <v>3140</v>
      </c>
      <c r="T5" s="18">
        <v>3140</v>
      </c>
      <c r="U5" s="18">
        <v>26410</v>
      </c>
      <c r="V5" s="18">
        <v>1006222</v>
      </c>
    </row>
    <row r="6" spans="1:22" x14ac:dyDescent="0.25">
      <c r="A6">
        <f t="shared" ref="A6:A24" si="4">O6</f>
        <v>2</v>
      </c>
      <c r="B6" s="1">
        <f t="shared" si="0"/>
        <v>1428000</v>
      </c>
      <c r="C6" s="16">
        <f t="shared" si="1"/>
        <v>1464000</v>
      </c>
      <c r="D6" s="16">
        <f t="shared" ref="D6:D24" si="5">V6*$V$1</f>
        <v>20358320</v>
      </c>
      <c r="E6" s="6"/>
      <c r="F6" s="10">
        <f t="shared" ref="F6:F14" si="6">B6</f>
        <v>1428000</v>
      </c>
      <c r="G6" s="10">
        <f>IF(G5+H5+F6-I6&lt;0,0,G5+H5+F6-I6)</f>
        <v>1384540</v>
      </c>
      <c r="H6" s="10">
        <f t="shared" si="2"/>
        <v>76149.7</v>
      </c>
      <c r="I6" s="16">
        <f>'Cheat Code'!AG9</f>
        <v>1550000</v>
      </c>
      <c r="J6" s="16">
        <f>IF(G7=0,I6-H6-G6+J5*(1+J$3),0)</f>
        <v>0</v>
      </c>
      <c r="K6" s="10">
        <f t="shared" si="3"/>
        <v>79460</v>
      </c>
      <c r="L6" s="10">
        <f t="shared" ref="L6:L24" si="7">D6-G6+J6</f>
        <v>18973780</v>
      </c>
      <c r="M6" s="6"/>
      <c r="N6" s="6"/>
      <c r="O6" s="17">
        <v>2</v>
      </c>
      <c r="P6" s="17">
        <v>47</v>
      </c>
      <c r="Q6" s="18">
        <v>71400</v>
      </c>
      <c r="R6" s="18">
        <v>71400</v>
      </c>
      <c r="S6" s="18">
        <v>6005</v>
      </c>
      <c r="T6" s="18">
        <v>9200</v>
      </c>
      <c r="U6" s="18">
        <v>73200</v>
      </c>
      <c r="V6" s="18">
        <v>1017916</v>
      </c>
    </row>
    <row r="7" spans="1:22" x14ac:dyDescent="0.25">
      <c r="A7">
        <f t="shared" si="4"/>
        <v>3</v>
      </c>
      <c r="B7" s="1">
        <f t="shared" si="0"/>
        <v>1428000</v>
      </c>
      <c r="C7" s="16">
        <f t="shared" si="1"/>
        <v>2866120</v>
      </c>
      <c r="D7" s="16">
        <f t="shared" si="5"/>
        <v>20704960</v>
      </c>
      <c r="E7" s="6"/>
      <c r="F7" s="10">
        <f t="shared" si="6"/>
        <v>1428000</v>
      </c>
      <c r="G7" s="10">
        <f t="shared" ref="G7:G17" si="8">IF(G6+H6+F7-I7&lt;0,0,G6+H6+F7-I7)</f>
        <v>2888689.7</v>
      </c>
      <c r="H7" s="10">
        <f t="shared" si="2"/>
        <v>158877.93350000001</v>
      </c>
      <c r="I7" s="16">
        <f>'Cheat Code'!AG10</f>
        <v>0</v>
      </c>
      <c r="J7" s="16">
        <f t="shared" ref="J7:J24" si="9">IF(G8=0,I7-H7-G7+J6*(1+J$3),0)</f>
        <v>0</v>
      </c>
      <c r="K7" s="10">
        <f t="shared" si="3"/>
        <v>-22569.700000000186</v>
      </c>
      <c r="L7" s="10">
        <f t="shared" si="7"/>
        <v>17816270.300000001</v>
      </c>
      <c r="M7" s="6"/>
      <c r="N7" s="6"/>
      <c r="O7" s="17">
        <v>3</v>
      </c>
      <c r="P7" s="17">
        <v>48</v>
      </c>
      <c r="Q7" s="18">
        <v>71400</v>
      </c>
      <c r="R7" s="18">
        <v>71400</v>
      </c>
      <c r="S7" s="18">
        <v>9055</v>
      </c>
      <c r="T7" s="18">
        <v>18416</v>
      </c>
      <c r="U7" s="18">
        <v>143306</v>
      </c>
      <c r="V7" s="18">
        <v>1035248</v>
      </c>
    </row>
    <row r="8" spans="1:22" x14ac:dyDescent="0.25">
      <c r="A8">
        <f t="shared" si="4"/>
        <v>4</v>
      </c>
      <c r="B8" s="1">
        <f t="shared" si="0"/>
        <v>1428000</v>
      </c>
      <c r="C8" s="16">
        <f t="shared" si="1"/>
        <v>4362540</v>
      </c>
      <c r="D8" s="16">
        <f t="shared" si="5"/>
        <v>21167300</v>
      </c>
      <c r="E8" s="6"/>
      <c r="F8" s="10">
        <f t="shared" si="6"/>
        <v>1428000</v>
      </c>
      <c r="G8" s="10">
        <f t="shared" si="8"/>
        <v>4475567.6335000005</v>
      </c>
      <c r="H8" s="10">
        <f t="shared" si="2"/>
        <v>246156.21984250002</v>
      </c>
      <c r="I8" s="16">
        <f>'Cheat Code'!AG11</f>
        <v>0</v>
      </c>
      <c r="J8" s="16">
        <f t="shared" si="9"/>
        <v>0</v>
      </c>
      <c r="K8" s="10">
        <f t="shared" si="3"/>
        <v>-113027.63350000046</v>
      </c>
      <c r="L8" s="10">
        <f t="shared" si="7"/>
        <v>16691732.3665</v>
      </c>
      <c r="M8" s="6"/>
      <c r="N8" s="6"/>
      <c r="O8" s="17">
        <v>4</v>
      </c>
      <c r="P8" s="17">
        <v>49</v>
      </c>
      <c r="Q8" s="18">
        <v>71400</v>
      </c>
      <c r="R8" s="18">
        <v>71400</v>
      </c>
      <c r="S8" s="18">
        <v>12289</v>
      </c>
      <c r="T8" s="18">
        <v>31027</v>
      </c>
      <c r="U8" s="18">
        <v>218127</v>
      </c>
      <c r="V8" s="18">
        <v>1058365</v>
      </c>
    </row>
    <row r="9" spans="1:22" x14ac:dyDescent="0.25">
      <c r="A9">
        <f t="shared" si="4"/>
        <v>5</v>
      </c>
      <c r="B9" s="1">
        <f t="shared" si="0"/>
        <v>1428000</v>
      </c>
      <c r="C9" s="16">
        <f t="shared" si="1"/>
        <v>5959740</v>
      </c>
      <c r="D9" s="16">
        <f t="shared" si="5"/>
        <v>21749180</v>
      </c>
      <c r="E9" s="6"/>
      <c r="F9" s="10">
        <f t="shared" si="6"/>
        <v>1428000</v>
      </c>
      <c r="G9" s="10">
        <f t="shared" si="8"/>
        <v>6149723.8533425005</v>
      </c>
      <c r="H9" s="10">
        <f t="shared" si="2"/>
        <v>338234.81193383754</v>
      </c>
      <c r="I9" s="16">
        <f>'Cheat Code'!AG12</f>
        <v>0</v>
      </c>
      <c r="J9" s="16">
        <f t="shared" si="9"/>
        <v>0</v>
      </c>
      <c r="K9" s="10">
        <f t="shared" si="3"/>
        <v>-189983.85334250052</v>
      </c>
      <c r="L9" s="10">
        <f t="shared" si="7"/>
        <v>15599456.1466575</v>
      </c>
      <c r="M9" s="6"/>
      <c r="N9" s="6"/>
      <c r="O9" s="17">
        <v>5</v>
      </c>
      <c r="P9" s="17">
        <v>50</v>
      </c>
      <c r="Q9" s="18">
        <v>71400</v>
      </c>
      <c r="R9" s="18">
        <v>71400</v>
      </c>
      <c r="S9" s="18">
        <v>15737</v>
      </c>
      <c r="T9" s="18">
        <v>47307</v>
      </c>
      <c r="U9" s="18">
        <v>297987</v>
      </c>
      <c r="V9" s="18">
        <v>1087459</v>
      </c>
    </row>
    <row r="10" spans="1:22" x14ac:dyDescent="0.25">
      <c r="A10">
        <f t="shared" si="4"/>
        <v>6</v>
      </c>
      <c r="B10" s="1">
        <f t="shared" si="0"/>
        <v>1428000</v>
      </c>
      <c r="C10" s="16">
        <f t="shared" si="1"/>
        <v>7636900</v>
      </c>
      <c r="D10" s="16">
        <f t="shared" si="5"/>
        <v>22406540</v>
      </c>
      <c r="E10" s="6"/>
      <c r="F10" s="10">
        <f t="shared" si="6"/>
        <v>1428000</v>
      </c>
      <c r="G10" s="10">
        <f t="shared" si="8"/>
        <v>7915958.6652763383</v>
      </c>
      <c r="H10" s="10">
        <f t="shared" si="2"/>
        <v>435377.72659019864</v>
      </c>
      <c r="I10" s="16">
        <f>'Cheat Code'!AG13</f>
        <v>0</v>
      </c>
      <c r="J10" s="16">
        <f t="shared" si="9"/>
        <v>0</v>
      </c>
      <c r="K10" s="10">
        <f t="shared" si="3"/>
        <v>-279058.66527633835</v>
      </c>
      <c r="L10" s="10">
        <f t="shared" si="7"/>
        <v>14490581.334723663</v>
      </c>
      <c r="M10" s="6"/>
      <c r="N10" s="6"/>
      <c r="O10" s="17">
        <v>6</v>
      </c>
      <c r="P10" s="17">
        <v>51</v>
      </c>
      <c r="Q10" s="18">
        <v>71400</v>
      </c>
      <c r="R10" s="18">
        <v>71400</v>
      </c>
      <c r="S10" s="18">
        <v>18090</v>
      </c>
      <c r="T10" s="18">
        <v>66225</v>
      </c>
      <c r="U10" s="18">
        <v>381845</v>
      </c>
      <c r="V10" s="18">
        <v>1120327</v>
      </c>
    </row>
    <row r="11" spans="1:22" x14ac:dyDescent="0.25">
      <c r="A11">
        <f t="shared" si="4"/>
        <v>7</v>
      </c>
      <c r="B11" s="1">
        <f t="shared" si="0"/>
        <v>1428000</v>
      </c>
      <c r="C11" s="16">
        <f t="shared" si="1"/>
        <v>9398380</v>
      </c>
      <c r="D11" s="16">
        <f t="shared" si="5"/>
        <v>23141740</v>
      </c>
      <c r="E11" s="6"/>
      <c r="F11" s="10">
        <f t="shared" si="6"/>
        <v>1428000</v>
      </c>
      <c r="G11" s="10">
        <f t="shared" si="8"/>
        <v>9779336.3918665368</v>
      </c>
      <c r="H11" s="10">
        <f t="shared" si="2"/>
        <v>537863.50155265955</v>
      </c>
      <c r="I11" s="16">
        <f>'Cheat Code'!AG14</f>
        <v>0</v>
      </c>
      <c r="J11" s="16">
        <f t="shared" si="9"/>
        <v>0</v>
      </c>
      <c r="K11" s="10">
        <f t="shared" si="3"/>
        <v>-380956.39186653681</v>
      </c>
      <c r="L11" s="10">
        <f t="shared" si="7"/>
        <v>13362403.608133463</v>
      </c>
      <c r="M11" s="6"/>
      <c r="N11" s="6"/>
      <c r="O11" s="17">
        <v>7</v>
      </c>
      <c r="P11" s="17">
        <v>52</v>
      </c>
      <c r="Q11" s="18">
        <v>71400</v>
      </c>
      <c r="R11" s="18">
        <v>71400</v>
      </c>
      <c r="S11" s="18">
        <v>20586</v>
      </c>
      <c r="T11" s="18">
        <v>87969</v>
      </c>
      <c r="U11" s="18">
        <v>469919</v>
      </c>
      <c r="V11" s="18">
        <v>1157087</v>
      </c>
    </row>
    <row r="12" spans="1:22" x14ac:dyDescent="0.25">
      <c r="A12">
        <f t="shared" si="4"/>
        <v>8</v>
      </c>
      <c r="B12" s="1">
        <f t="shared" si="0"/>
        <v>1428000</v>
      </c>
      <c r="C12" s="16">
        <f t="shared" si="1"/>
        <v>11249280</v>
      </c>
      <c r="D12" s="16">
        <f t="shared" si="5"/>
        <v>23958360</v>
      </c>
      <c r="E12" s="6"/>
      <c r="F12" s="10">
        <f t="shared" si="6"/>
        <v>1428000</v>
      </c>
      <c r="G12" s="10">
        <f t="shared" si="8"/>
        <v>11745199.893419197</v>
      </c>
      <c r="H12" s="10">
        <f t="shared" si="2"/>
        <v>645985.99413805583</v>
      </c>
      <c r="I12" s="16">
        <f>'Cheat Code'!AG15</f>
        <v>0</v>
      </c>
      <c r="J12" s="16">
        <f t="shared" si="9"/>
        <v>0</v>
      </c>
      <c r="K12" s="10">
        <f t="shared" si="3"/>
        <v>-495919.89341919683</v>
      </c>
      <c r="L12" s="10">
        <f t="shared" si="7"/>
        <v>12213160.106580803</v>
      </c>
      <c r="M12" s="6"/>
      <c r="N12" s="6"/>
      <c r="O12" s="17">
        <v>8</v>
      </c>
      <c r="P12" s="17">
        <v>53</v>
      </c>
      <c r="Q12" s="18">
        <v>71400</v>
      </c>
      <c r="R12" s="18">
        <v>71400</v>
      </c>
      <c r="S12" s="18">
        <v>23263</v>
      </c>
      <c r="T12" s="18">
        <v>112764</v>
      </c>
      <c r="U12" s="18">
        <v>562464</v>
      </c>
      <c r="V12" s="18">
        <v>1197918</v>
      </c>
    </row>
    <row r="13" spans="1:22" x14ac:dyDescent="0.25">
      <c r="A13">
        <f t="shared" si="4"/>
        <v>9</v>
      </c>
      <c r="B13" s="1">
        <f t="shared" si="0"/>
        <v>1428000</v>
      </c>
      <c r="C13" s="16">
        <f t="shared" si="1"/>
        <v>13195080</v>
      </c>
      <c r="D13" s="16">
        <f t="shared" si="5"/>
        <v>24859360</v>
      </c>
      <c r="E13" s="6"/>
      <c r="F13" s="10">
        <f t="shared" si="6"/>
        <v>1428000</v>
      </c>
      <c r="G13" s="10">
        <f t="shared" si="8"/>
        <v>13819185.887557253</v>
      </c>
      <c r="H13" s="10">
        <f t="shared" si="2"/>
        <v>760055.22381564893</v>
      </c>
      <c r="I13" s="16">
        <f>'Cheat Code'!AG16</f>
        <v>0</v>
      </c>
      <c r="J13" s="16">
        <f t="shared" si="9"/>
        <v>0</v>
      </c>
      <c r="K13" s="10">
        <f t="shared" si="3"/>
        <v>-624105.88755725324</v>
      </c>
      <c r="L13" s="10">
        <f t="shared" si="7"/>
        <v>11040174.112442747</v>
      </c>
      <c r="M13" s="6"/>
      <c r="N13" s="6"/>
      <c r="O13" s="17">
        <v>9</v>
      </c>
      <c r="P13" s="17">
        <v>54</v>
      </c>
      <c r="Q13" s="18">
        <v>71400</v>
      </c>
      <c r="R13" s="18">
        <v>71400</v>
      </c>
      <c r="S13" s="18">
        <v>26113</v>
      </c>
      <c r="T13" s="18">
        <v>140834</v>
      </c>
      <c r="U13" s="18">
        <v>659754</v>
      </c>
      <c r="V13" s="18">
        <v>1242968</v>
      </c>
    </row>
    <row r="14" spans="1:22" x14ac:dyDescent="0.25">
      <c r="A14">
        <f t="shared" si="4"/>
        <v>10</v>
      </c>
      <c r="B14" s="1">
        <f t="shared" si="0"/>
        <v>1428000</v>
      </c>
      <c r="C14" s="16">
        <f t="shared" si="1"/>
        <v>15241600</v>
      </c>
      <c r="D14" s="16">
        <f t="shared" si="5"/>
        <v>25848120</v>
      </c>
      <c r="E14" s="6"/>
      <c r="F14" s="10">
        <f t="shared" si="6"/>
        <v>1428000</v>
      </c>
      <c r="G14" s="10">
        <f t="shared" si="8"/>
        <v>16007241.111372903</v>
      </c>
      <c r="H14" s="10">
        <f t="shared" si="2"/>
        <v>880398.26112550963</v>
      </c>
      <c r="I14" s="16">
        <f>'Cheat Code'!AG17</f>
        <v>0</v>
      </c>
      <c r="J14" s="16">
        <f t="shared" si="9"/>
        <v>0</v>
      </c>
      <c r="K14" s="10">
        <f t="shared" si="3"/>
        <v>-765641.11137290299</v>
      </c>
      <c r="L14" s="10">
        <f t="shared" si="7"/>
        <v>9840878.888627097</v>
      </c>
      <c r="M14" s="6"/>
      <c r="N14" s="6"/>
      <c r="O14" s="17">
        <v>10</v>
      </c>
      <c r="P14" s="17">
        <v>55</v>
      </c>
      <c r="Q14" s="18">
        <v>71400</v>
      </c>
      <c r="R14" s="18">
        <v>71400</v>
      </c>
      <c r="S14" s="18">
        <v>29151</v>
      </c>
      <c r="T14" s="18">
        <v>172420</v>
      </c>
      <c r="U14" s="18">
        <v>762080</v>
      </c>
      <c r="V14" s="18">
        <v>1292406</v>
      </c>
    </row>
    <row r="15" spans="1:22" x14ac:dyDescent="0.25">
      <c r="A15">
        <f t="shared" si="4"/>
        <v>11</v>
      </c>
      <c r="B15" s="1">
        <f t="shared" si="0"/>
        <v>0</v>
      </c>
      <c r="C15" s="16">
        <f t="shared" si="1"/>
        <v>16137940</v>
      </c>
      <c r="D15" s="16">
        <f t="shared" si="5"/>
        <v>26905980</v>
      </c>
      <c r="E15" s="6"/>
      <c r="F15" s="6"/>
      <c r="G15" s="10">
        <f t="shared" si="8"/>
        <v>16887639.372498412</v>
      </c>
      <c r="H15" s="10">
        <f t="shared" si="2"/>
        <v>928820.1654874126</v>
      </c>
      <c r="I15" s="16">
        <f>'Cheat Code'!AG18</f>
        <v>0</v>
      </c>
      <c r="J15" s="16">
        <f t="shared" si="9"/>
        <v>0</v>
      </c>
      <c r="K15" s="10">
        <f t="shared" si="3"/>
        <v>-749699.37249841169</v>
      </c>
      <c r="L15" s="10">
        <f t="shared" si="7"/>
        <v>10018340.627501588</v>
      </c>
      <c r="M15" s="6"/>
      <c r="N15" s="6"/>
      <c r="O15" s="17">
        <v>11</v>
      </c>
      <c r="P15" s="17">
        <v>56</v>
      </c>
      <c r="Q15" s="17">
        <v>0</v>
      </c>
      <c r="R15" s="17">
        <v>0</v>
      </c>
      <c r="S15" s="18">
        <v>31725</v>
      </c>
      <c r="T15" s="18">
        <v>207107</v>
      </c>
      <c r="U15" s="18">
        <v>806897</v>
      </c>
      <c r="V15" s="18">
        <v>1345299</v>
      </c>
    </row>
    <row r="16" spans="1:22" x14ac:dyDescent="0.25">
      <c r="A16">
        <f t="shared" si="4"/>
        <v>12</v>
      </c>
      <c r="B16" s="1">
        <f t="shared" si="0"/>
        <v>0</v>
      </c>
      <c r="C16" s="16">
        <f t="shared" si="1"/>
        <v>17084540</v>
      </c>
      <c r="D16" s="16">
        <f t="shared" si="5"/>
        <v>28006060</v>
      </c>
      <c r="E16" s="6"/>
      <c r="F16" s="6"/>
      <c r="G16" s="10">
        <f t="shared" si="8"/>
        <v>17816459.537985824</v>
      </c>
      <c r="H16" s="10">
        <f t="shared" si="2"/>
        <v>979905.27458922029</v>
      </c>
      <c r="I16" s="16">
        <f>'Cheat Code'!AG19</f>
        <v>0</v>
      </c>
      <c r="J16" s="16">
        <f t="shared" si="9"/>
        <v>0</v>
      </c>
      <c r="K16" s="10">
        <f t="shared" si="3"/>
        <v>-731919.53798582405</v>
      </c>
      <c r="L16" s="10">
        <f t="shared" si="7"/>
        <v>10189600.462014176</v>
      </c>
      <c r="M16" s="6"/>
      <c r="N16" s="6"/>
      <c r="O16" s="17">
        <v>12</v>
      </c>
      <c r="P16" s="17">
        <v>57</v>
      </c>
      <c r="Q16" s="17">
        <v>0</v>
      </c>
      <c r="R16" s="17">
        <v>0</v>
      </c>
      <c r="S16" s="18">
        <v>33554</v>
      </c>
      <c r="T16" s="18">
        <v>244197</v>
      </c>
      <c r="U16" s="18">
        <v>854227</v>
      </c>
      <c r="V16" s="18">
        <v>1400303</v>
      </c>
    </row>
    <row r="17" spans="1:22" x14ac:dyDescent="0.25">
      <c r="A17">
        <f t="shared" si="4"/>
        <v>13</v>
      </c>
      <c r="B17" s="1">
        <f t="shared" si="0"/>
        <v>0</v>
      </c>
      <c r="C17" s="16">
        <f t="shared" si="1"/>
        <v>18083860</v>
      </c>
      <c r="D17" s="16">
        <f t="shared" si="5"/>
        <v>29150140</v>
      </c>
      <c r="E17" s="6"/>
      <c r="F17" s="6"/>
      <c r="G17" s="10">
        <f t="shared" si="8"/>
        <v>18796364.812575046</v>
      </c>
      <c r="H17" s="10">
        <f t="shared" si="2"/>
        <v>1033800.0646916275</v>
      </c>
      <c r="I17" s="16">
        <f>'Cheat Code'!AG20</f>
        <v>0</v>
      </c>
      <c r="J17" s="16">
        <f t="shared" si="9"/>
        <v>0</v>
      </c>
      <c r="K17" s="10">
        <f t="shared" si="3"/>
        <v>-712504.81257504597</v>
      </c>
      <c r="L17" s="10">
        <f t="shared" si="7"/>
        <v>10353775.187424954</v>
      </c>
      <c r="M17" s="6"/>
      <c r="N17" s="6"/>
      <c r="O17" s="17">
        <v>13</v>
      </c>
      <c r="P17" s="17">
        <v>58</v>
      </c>
      <c r="Q17" s="17">
        <v>0</v>
      </c>
      <c r="R17" s="17">
        <v>0</v>
      </c>
      <c r="S17" s="18">
        <v>35487</v>
      </c>
      <c r="T17" s="18">
        <v>283823</v>
      </c>
      <c r="U17" s="18">
        <v>904193</v>
      </c>
      <c r="V17" s="18">
        <v>1457507</v>
      </c>
    </row>
    <row r="18" spans="1:22" x14ac:dyDescent="0.25">
      <c r="A18">
        <f t="shared" si="4"/>
        <v>14</v>
      </c>
      <c r="B18" s="1">
        <f t="shared" si="0"/>
        <v>0</v>
      </c>
      <c r="C18" s="16">
        <f t="shared" si="1"/>
        <v>19138960</v>
      </c>
      <c r="D18" s="16">
        <f t="shared" si="5"/>
        <v>30340780</v>
      </c>
      <c r="E18" s="6"/>
      <c r="F18" s="6"/>
      <c r="G18" s="10">
        <f>IF(G17+H17+F18-I18&lt;0,0,G17+H17+F18-I18)</f>
        <v>17319126.249549497</v>
      </c>
      <c r="H18" s="10">
        <f t="shared" si="2"/>
        <v>952551.94372522237</v>
      </c>
      <c r="I18" s="16">
        <f>'Cheat Code'!AG21</f>
        <v>2511038.6277171778</v>
      </c>
      <c r="J18" s="16">
        <f t="shared" si="9"/>
        <v>0</v>
      </c>
      <c r="K18" s="10">
        <f>C18-G18+J18</f>
        <v>1819833.7504505031</v>
      </c>
      <c r="L18" s="10">
        <f t="shared" si="7"/>
        <v>13021653.750450503</v>
      </c>
      <c r="M18" s="6"/>
      <c r="N18" s="6"/>
      <c r="O18" s="17">
        <v>14</v>
      </c>
      <c r="P18" s="17">
        <v>59</v>
      </c>
      <c r="Q18" s="17">
        <v>0</v>
      </c>
      <c r="R18" s="17">
        <v>0</v>
      </c>
      <c r="S18" s="18">
        <v>37553</v>
      </c>
      <c r="T18" s="18">
        <v>326148</v>
      </c>
      <c r="U18" s="18">
        <v>956948</v>
      </c>
      <c r="V18" s="18">
        <v>1517039</v>
      </c>
    </row>
    <row r="19" spans="1:22" x14ac:dyDescent="0.25">
      <c r="A19">
        <f t="shared" si="4"/>
        <v>15</v>
      </c>
      <c r="B19" s="1">
        <f t="shared" si="0"/>
        <v>0</v>
      </c>
      <c r="C19" s="16">
        <f t="shared" si="1"/>
        <v>20252700</v>
      </c>
      <c r="D19" s="16">
        <f t="shared" si="5"/>
        <v>31580700</v>
      </c>
      <c r="E19" s="6"/>
      <c r="F19" s="6"/>
      <c r="G19" s="10">
        <f t="shared" ref="G19:G24" si="10">IF(G18+H18+F19-I19&lt;0,0,G18+H18+F19-I19)</f>
        <v>15609787.63417168</v>
      </c>
      <c r="H19" s="10">
        <f t="shared" si="2"/>
        <v>858538.31987944234</v>
      </c>
      <c r="I19" s="16">
        <f>'Cheat Code'!AG22</f>
        <v>2661890.5591030377</v>
      </c>
      <c r="J19" s="16">
        <f t="shared" si="9"/>
        <v>0</v>
      </c>
      <c r="K19" s="10">
        <f t="shared" si="3"/>
        <v>4642912.3658283204</v>
      </c>
      <c r="L19" s="10">
        <f t="shared" si="7"/>
        <v>15970912.36582832</v>
      </c>
      <c r="M19" s="6"/>
      <c r="N19" s="6"/>
      <c r="O19" s="17">
        <v>15</v>
      </c>
      <c r="P19" s="17">
        <v>60</v>
      </c>
      <c r="Q19" s="17">
        <v>0</v>
      </c>
      <c r="R19" s="17">
        <v>0</v>
      </c>
      <c r="S19" s="18">
        <v>39758</v>
      </c>
      <c r="T19" s="18">
        <v>371335</v>
      </c>
      <c r="U19" s="18">
        <v>1012635</v>
      </c>
      <c r="V19" s="18">
        <v>1579035</v>
      </c>
    </row>
    <row r="20" spans="1:22" x14ac:dyDescent="0.25">
      <c r="A20">
        <f t="shared" si="4"/>
        <v>16</v>
      </c>
      <c r="B20" s="1">
        <f t="shared" si="0"/>
        <v>0</v>
      </c>
      <c r="C20" s="16">
        <f t="shared" si="1"/>
        <v>21427520</v>
      </c>
      <c r="D20" s="16">
        <f t="shared" si="5"/>
        <v>32871340</v>
      </c>
      <c r="E20" s="6"/>
      <c r="F20" s="6"/>
      <c r="G20" s="10">
        <f t="shared" si="10"/>
        <v>13648040.866992932</v>
      </c>
      <c r="H20" s="10">
        <f t="shared" si="2"/>
        <v>750642.24768461124</v>
      </c>
      <c r="I20" s="16">
        <f>'Cheat Code'!AG23</f>
        <v>2820285.0870581893</v>
      </c>
      <c r="J20" s="16">
        <f t="shared" si="9"/>
        <v>0</v>
      </c>
      <c r="K20" s="10">
        <f t="shared" si="3"/>
        <v>7779479.1330070682</v>
      </c>
      <c r="L20" s="10">
        <f t="shared" si="7"/>
        <v>19223299.133007068</v>
      </c>
      <c r="M20" s="6"/>
      <c r="N20" s="6"/>
      <c r="O20" s="17">
        <v>16</v>
      </c>
      <c r="P20" s="17">
        <v>61</v>
      </c>
      <c r="Q20" s="17">
        <v>0</v>
      </c>
      <c r="R20" s="17">
        <v>0</v>
      </c>
      <c r="S20" s="18">
        <v>42066</v>
      </c>
      <c r="T20" s="18">
        <v>419516</v>
      </c>
      <c r="U20" s="18">
        <v>1071376</v>
      </c>
      <c r="V20" s="18">
        <v>1643567</v>
      </c>
    </row>
    <row r="21" spans="1:22" x14ac:dyDescent="0.25">
      <c r="A21">
        <f t="shared" si="4"/>
        <v>17</v>
      </c>
      <c r="B21" s="1">
        <f t="shared" si="0"/>
        <v>0</v>
      </c>
      <c r="C21" s="16">
        <f t="shared" si="1"/>
        <v>22666120</v>
      </c>
      <c r="D21" s="16">
        <f t="shared" si="5"/>
        <v>34215600</v>
      </c>
      <c r="E21" s="6"/>
      <c r="F21" s="6"/>
      <c r="G21" s="10">
        <f t="shared" si="10"/>
        <v>11412083.773266444</v>
      </c>
      <c r="H21" s="10">
        <f t="shared" si="2"/>
        <v>627664.6075296544</v>
      </c>
      <c r="I21" s="16">
        <f>'Cheat Code'!AG24</f>
        <v>2986599.3414110984</v>
      </c>
      <c r="J21" s="16">
        <f t="shared" si="9"/>
        <v>0</v>
      </c>
      <c r="K21" s="10">
        <f t="shared" si="3"/>
        <v>11254036.226733556</v>
      </c>
      <c r="L21" s="10">
        <f t="shared" si="7"/>
        <v>22803516.226733558</v>
      </c>
      <c r="M21" s="6"/>
      <c r="N21" s="6"/>
      <c r="O21" s="17">
        <v>17</v>
      </c>
      <c r="P21" s="17">
        <v>62</v>
      </c>
      <c r="Q21" s="17">
        <v>0</v>
      </c>
      <c r="R21" s="17">
        <v>0</v>
      </c>
      <c r="S21" s="18">
        <v>44525</v>
      </c>
      <c r="T21" s="18">
        <v>470856</v>
      </c>
      <c r="U21" s="18">
        <v>1133306</v>
      </c>
      <c r="V21" s="18">
        <v>1710780</v>
      </c>
    </row>
    <row r="22" spans="1:22" x14ac:dyDescent="0.25">
      <c r="A22">
        <f t="shared" si="4"/>
        <v>18</v>
      </c>
      <c r="B22" s="1">
        <f t="shared" si="0"/>
        <v>0</v>
      </c>
      <c r="C22" s="16">
        <f t="shared" si="1"/>
        <v>23973880</v>
      </c>
      <c r="D22" s="16">
        <f t="shared" si="5"/>
        <v>35618180</v>
      </c>
      <c r="E22" s="6"/>
      <c r="F22" s="6"/>
      <c r="G22" s="10">
        <f t="shared" si="10"/>
        <v>8878519.0723144449</v>
      </c>
      <c r="H22" s="10">
        <f t="shared" si="2"/>
        <v>488318.54897729447</v>
      </c>
      <c r="I22" s="16">
        <f>'Cheat Code'!AG25</f>
        <v>3161229.3084816542</v>
      </c>
      <c r="J22" s="16">
        <f>IF(G23=0,I22-H22-G22+J21*(1+J$3),0)</f>
        <v>0</v>
      </c>
      <c r="K22" s="10">
        <f t="shared" si="3"/>
        <v>15095360.927685555</v>
      </c>
      <c r="L22" s="10">
        <f t="shared" si="7"/>
        <v>26739660.927685555</v>
      </c>
      <c r="M22" s="6"/>
      <c r="N22" s="6"/>
      <c r="O22" s="17">
        <v>18</v>
      </c>
      <c r="P22" s="17">
        <v>63</v>
      </c>
      <c r="Q22" s="17">
        <v>0</v>
      </c>
      <c r="R22" s="17">
        <v>0</v>
      </c>
      <c r="S22" s="18">
        <v>47203</v>
      </c>
      <c r="T22" s="18">
        <v>525614</v>
      </c>
      <c r="U22" s="18">
        <v>1198694</v>
      </c>
      <c r="V22" s="18">
        <v>1780909</v>
      </c>
    </row>
    <row r="23" spans="1:22" x14ac:dyDescent="0.25">
      <c r="A23">
        <f t="shared" si="4"/>
        <v>19</v>
      </c>
      <c r="B23" s="1">
        <f t="shared" si="0"/>
        <v>0</v>
      </c>
      <c r="C23" s="16">
        <f t="shared" si="1"/>
        <v>25354380</v>
      </c>
      <c r="D23" s="16">
        <f t="shared" si="5"/>
        <v>37082980</v>
      </c>
      <c r="E23" s="6"/>
      <c r="F23" s="6"/>
      <c r="G23" s="10">
        <f t="shared" si="10"/>
        <v>6022246.8473860035</v>
      </c>
      <c r="H23" s="10">
        <f t="shared" si="2"/>
        <v>331223.57660623017</v>
      </c>
      <c r="I23" s="16">
        <f>'Cheat Code'!AG26</f>
        <v>3344590.7739057364</v>
      </c>
      <c r="J23" s="16">
        <f t="shared" si="9"/>
        <v>0</v>
      </c>
      <c r="K23" s="10">
        <f t="shared" si="3"/>
        <v>19332133.152613997</v>
      </c>
      <c r="L23" s="10">
        <f t="shared" si="7"/>
        <v>31060733.152613997</v>
      </c>
      <c r="M23" s="6"/>
      <c r="N23" s="6"/>
      <c r="O23" s="17">
        <v>19</v>
      </c>
      <c r="P23" s="17">
        <v>64</v>
      </c>
      <c r="Q23" s="17">
        <v>0</v>
      </c>
      <c r="R23" s="17">
        <v>0</v>
      </c>
      <c r="S23" s="18">
        <v>50076</v>
      </c>
      <c r="T23" s="18">
        <v>583999</v>
      </c>
      <c r="U23" s="18">
        <v>1267719</v>
      </c>
      <c r="V23" s="18">
        <v>1854149</v>
      </c>
    </row>
    <row r="24" spans="1:22" x14ac:dyDescent="0.25">
      <c r="A24">
        <f t="shared" si="4"/>
        <v>20</v>
      </c>
      <c r="B24" s="1">
        <f t="shared" si="0"/>
        <v>0</v>
      </c>
      <c r="C24" s="16">
        <f t="shared" si="1"/>
        <v>26810640</v>
      </c>
      <c r="D24" s="16">
        <f t="shared" si="5"/>
        <v>38612560</v>
      </c>
      <c r="E24" s="6"/>
      <c r="F24" s="6"/>
      <c r="G24" s="10">
        <f t="shared" si="10"/>
        <v>882789.95509069785</v>
      </c>
      <c r="H24" s="10">
        <f t="shared" si="2"/>
        <v>48553.447529988385</v>
      </c>
      <c r="I24" s="16">
        <f>'Cheat Code'!AG27</f>
        <v>5470680.4689015355</v>
      </c>
      <c r="J24" s="16">
        <f t="shared" si="9"/>
        <v>4539337.0662808493</v>
      </c>
      <c r="K24" s="10">
        <f>C24-G24+J24</f>
        <v>30467187.111190151</v>
      </c>
      <c r="L24" s="10">
        <f t="shared" si="7"/>
        <v>42269107.111190148</v>
      </c>
      <c r="M24" s="6"/>
      <c r="N24" s="6"/>
      <c r="O24" s="17">
        <v>20</v>
      </c>
      <c r="P24" s="17">
        <v>65</v>
      </c>
      <c r="Q24" s="17">
        <v>0</v>
      </c>
      <c r="R24" s="17">
        <v>0</v>
      </c>
      <c r="S24" s="18">
        <v>53103</v>
      </c>
      <c r="T24" s="18">
        <v>646182</v>
      </c>
      <c r="U24" s="18">
        <v>1340532</v>
      </c>
      <c r="V24" s="18">
        <v>1930628</v>
      </c>
    </row>
    <row r="25" spans="1:22" x14ac:dyDescent="0.25">
      <c r="B25" s="1"/>
      <c r="C25" s="16"/>
      <c r="D25" s="16"/>
      <c r="E25" s="6"/>
      <c r="F25" s="6"/>
      <c r="G25" s="10"/>
      <c r="H25" s="10"/>
      <c r="I25" s="19"/>
      <c r="J25" s="6"/>
      <c r="K25" s="6"/>
      <c r="L25" s="6"/>
      <c r="M25" s="6"/>
      <c r="N25" s="6"/>
      <c r="O25" s="17">
        <v>21</v>
      </c>
      <c r="P25" s="17">
        <v>66</v>
      </c>
      <c r="Q25" s="17">
        <v>0</v>
      </c>
      <c r="R25" s="17">
        <v>0</v>
      </c>
      <c r="S25" s="18">
        <v>56343</v>
      </c>
      <c r="T25" s="18">
        <v>712436</v>
      </c>
      <c r="U25" s="18">
        <v>1417436</v>
      </c>
      <c r="V25" s="18">
        <v>2010547</v>
      </c>
    </row>
    <row r="26" spans="1:22" x14ac:dyDescent="0.25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17">
        <v>22</v>
      </c>
      <c r="P26" s="17">
        <v>67</v>
      </c>
      <c r="Q26" s="17">
        <v>0</v>
      </c>
      <c r="R26" s="17">
        <v>0</v>
      </c>
      <c r="S26" s="18">
        <v>59603</v>
      </c>
      <c r="T26" s="18">
        <v>782791</v>
      </c>
      <c r="U26" s="18">
        <v>1498431</v>
      </c>
      <c r="V26" s="18">
        <v>2093833</v>
      </c>
    </row>
    <row r="27" spans="1:22" x14ac:dyDescent="0.25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17">
        <v>23</v>
      </c>
      <c r="P27" s="17">
        <v>68</v>
      </c>
      <c r="Q27" s="17">
        <v>0</v>
      </c>
      <c r="R27" s="17">
        <v>0</v>
      </c>
      <c r="S27" s="18">
        <v>63016</v>
      </c>
      <c r="T27" s="18">
        <v>857467</v>
      </c>
      <c r="U27" s="18">
        <v>1583767</v>
      </c>
      <c r="V27" s="18">
        <v>2180596</v>
      </c>
    </row>
    <row r="28" spans="1:22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17">
        <v>24</v>
      </c>
      <c r="P28" s="17">
        <v>69</v>
      </c>
      <c r="Q28" s="17">
        <v>0</v>
      </c>
      <c r="R28" s="17">
        <v>0</v>
      </c>
      <c r="S28" s="18">
        <v>66611</v>
      </c>
      <c r="T28" s="18">
        <v>936675</v>
      </c>
      <c r="U28" s="18">
        <v>1673645</v>
      </c>
      <c r="V28" s="18">
        <v>2270981</v>
      </c>
    </row>
    <row r="29" spans="1:22" x14ac:dyDescent="0.25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17">
        <v>25</v>
      </c>
      <c r="P29" s="17">
        <v>70</v>
      </c>
      <c r="Q29" s="17">
        <v>0</v>
      </c>
      <c r="R29" s="17">
        <v>0</v>
      </c>
      <c r="S29" s="18">
        <v>70409</v>
      </c>
      <c r="T29" s="18">
        <v>1020646</v>
      </c>
      <c r="U29" s="18">
        <v>1768286</v>
      </c>
      <c r="V29" s="18">
        <v>2365157</v>
      </c>
    </row>
    <row r="30" spans="1:22" x14ac:dyDescent="0.25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17">
        <v>26</v>
      </c>
      <c r="P30" s="17">
        <v>71</v>
      </c>
      <c r="Q30" s="17">
        <v>0</v>
      </c>
      <c r="R30" s="17">
        <v>0</v>
      </c>
      <c r="S30" s="18">
        <v>74430</v>
      </c>
      <c r="T30" s="18">
        <v>1109587</v>
      </c>
      <c r="U30" s="18">
        <v>1867857</v>
      </c>
      <c r="V30" s="18">
        <v>2463314</v>
      </c>
    </row>
    <row r="31" spans="1:22" x14ac:dyDescent="0.2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17">
        <v>27</v>
      </c>
      <c r="P31" s="17">
        <v>72</v>
      </c>
      <c r="Q31" s="17">
        <v>0</v>
      </c>
      <c r="R31" s="17">
        <v>0</v>
      </c>
      <c r="S31" s="18">
        <v>78754</v>
      </c>
      <c r="T31" s="18">
        <v>1203794</v>
      </c>
      <c r="U31" s="18">
        <v>1972624</v>
      </c>
      <c r="V31" s="18">
        <v>2565748</v>
      </c>
    </row>
    <row r="32" spans="1:22" x14ac:dyDescent="0.25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17">
        <v>28</v>
      </c>
      <c r="P32" s="17">
        <v>73</v>
      </c>
      <c r="Q32" s="17">
        <v>0</v>
      </c>
      <c r="R32" s="17">
        <v>0</v>
      </c>
      <c r="S32" s="18">
        <v>83325</v>
      </c>
      <c r="T32" s="18">
        <v>1303496</v>
      </c>
      <c r="U32" s="18">
        <v>2082786</v>
      </c>
      <c r="V32" s="18">
        <v>2672671</v>
      </c>
    </row>
    <row r="33" spans="3:22" x14ac:dyDescent="0.2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17">
        <v>29</v>
      </c>
      <c r="P33" s="17">
        <v>74</v>
      </c>
      <c r="Q33" s="17">
        <v>0</v>
      </c>
      <c r="R33" s="17">
        <v>0</v>
      </c>
      <c r="S33" s="18">
        <v>88173</v>
      </c>
      <c r="T33" s="18">
        <v>1408914</v>
      </c>
      <c r="U33" s="18">
        <v>2198514</v>
      </c>
      <c r="V33" s="18">
        <v>2784339</v>
      </c>
    </row>
    <row r="34" spans="3:22" x14ac:dyDescent="0.25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17">
        <v>30</v>
      </c>
      <c r="P34" s="17">
        <v>75</v>
      </c>
      <c r="Q34" s="17">
        <v>0</v>
      </c>
      <c r="R34" s="17">
        <v>0</v>
      </c>
      <c r="S34" s="18">
        <v>93244</v>
      </c>
      <c r="T34" s="18">
        <v>1520252</v>
      </c>
      <c r="U34" s="18">
        <v>2319992</v>
      </c>
      <c r="V34" s="18">
        <v>2900933</v>
      </c>
    </row>
    <row r="35" spans="3:22" x14ac:dyDescent="0.2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17">
        <v>31</v>
      </c>
      <c r="P35" s="17">
        <v>76</v>
      </c>
      <c r="Q35" s="17">
        <v>0</v>
      </c>
      <c r="R35" s="17">
        <v>0</v>
      </c>
      <c r="S35" s="18">
        <v>98554</v>
      </c>
      <c r="T35" s="18">
        <v>1637777</v>
      </c>
      <c r="U35" s="18">
        <v>2447497</v>
      </c>
      <c r="V35" s="18">
        <v>3022646</v>
      </c>
    </row>
    <row r="36" spans="3:22" x14ac:dyDescent="0.25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17">
        <v>32</v>
      </c>
      <c r="P36" s="17">
        <v>77</v>
      </c>
      <c r="Q36" s="17">
        <v>0</v>
      </c>
      <c r="R36" s="17">
        <v>0</v>
      </c>
      <c r="S36" s="18">
        <v>104042</v>
      </c>
      <c r="T36" s="18">
        <v>1761661</v>
      </c>
      <c r="U36" s="18">
        <v>2581191</v>
      </c>
      <c r="V36" s="18">
        <v>3149599</v>
      </c>
    </row>
    <row r="37" spans="3:22" x14ac:dyDescent="0.2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17">
        <v>33</v>
      </c>
      <c r="P37" s="17">
        <v>78</v>
      </c>
      <c r="Q37" s="17">
        <v>0</v>
      </c>
      <c r="R37" s="17">
        <v>0</v>
      </c>
      <c r="S37" s="18">
        <v>109735</v>
      </c>
      <c r="T37" s="18">
        <v>1892161</v>
      </c>
      <c r="U37" s="18">
        <v>2721351</v>
      </c>
      <c r="V37" s="18">
        <v>3281940</v>
      </c>
    </row>
    <row r="38" spans="3:22" x14ac:dyDescent="0.2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17">
        <v>34</v>
      </c>
      <c r="P38" s="17">
        <v>79</v>
      </c>
      <c r="Q38" s="17">
        <v>0</v>
      </c>
      <c r="R38" s="17">
        <v>0</v>
      </c>
      <c r="S38" s="18">
        <v>115616</v>
      </c>
      <c r="T38" s="18">
        <v>2029501</v>
      </c>
      <c r="U38" s="18">
        <v>2868211</v>
      </c>
      <c r="V38" s="18">
        <v>3419789</v>
      </c>
    </row>
    <row r="39" spans="3:22" x14ac:dyDescent="0.2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17">
        <v>35</v>
      </c>
      <c r="P39" s="17">
        <v>80</v>
      </c>
      <c r="Q39" s="17">
        <v>0</v>
      </c>
      <c r="R39" s="17">
        <v>0</v>
      </c>
      <c r="S39" s="18">
        <v>121701</v>
      </c>
      <c r="T39" s="18">
        <v>2173876</v>
      </c>
      <c r="U39" s="18">
        <v>3021956</v>
      </c>
      <c r="V39" s="18">
        <v>3563291</v>
      </c>
    </row>
    <row r="40" spans="3:22" x14ac:dyDescent="0.2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17">
        <v>36</v>
      </c>
      <c r="P40" s="17">
        <v>81</v>
      </c>
      <c r="Q40" s="17">
        <v>0</v>
      </c>
      <c r="R40" s="17">
        <v>0</v>
      </c>
      <c r="S40" s="18">
        <v>128072</v>
      </c>
      <c r="T40" s="18">
        <v>2325479</v>
      </c>
      <c r="U40" s="18">
        <v>3182739</v>
      </c>
      <c r="V40" s="18">
        <v>3712688</v>
      </c>
    </row>
    <row r="41" spans="3:22" x14ac:dyDescent="0.2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17">
        <v>37</v>
      </c>
      <c r="P41" s="17">
        <v>82</v>
      </c>
      <c r="Q41" s="17">
        <v>0</v>
      </c>
      <c r="R41" s="17">
        <v>0</v>
      </c>
      <c r="S41" s="18">
        <v>134662</v>
      </c>
      <c r="T41" s="18">
        <v>2484501</v>
      </c>
      <c r="U41" s="18">
        <v>3350741</v>
      </c>
      <c r="V41" s="18">
        <v>3868144</v>
      </c>
    </row>
    <row r="42" spans="3:22" x14ac:dyDescent="0.2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17">
        <v>38</v>
      </c>
      <c r="P42" s="17">
        <v>83</v>
      </c>
      <c r="Q42" s="17">
        <v>0</v>
      </c>
      <c r="R42" s="17">
        <v>0</v>
      </c>
      <c r="S42" s="18">
        <v>141446</v>
      </c>
      <c r="T42" s="18">
        <v>2651129</v>
      </c>
      <c r="U42" s="18">
        <v>3526149</v>
      </c>
      <c r="V42" s="18">
        <v>4029792</v>
      </c>
    </row>
    <row r="43" spans="3:22" x14ac:dyDescent="0.2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17">
        <v>39</v>
      </c>
      <c r="P43" s="17">
        <v>84</v>
      </c>
      <c r="Q43" s="17">
        <v>0</v>
      </c>
      <c r="R43" s="17">
        <v>0</v>
      </c>
      <c r="S43" s="18">
        <v>148879</v>
      </c>
      <c r="T43" s="18">
        <v>2825670</v>
      </c>
      <c r="U43" s="18">
        <v>3709160</v>
      </c>
      <c r="V43" s="18">
        <v>4198305</v>
      </c>
    </row>
    <row r="44" spans="3:22" x14ac:dyDescent="0.2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17">
        <v>40</v>
      </c>
      <c r="P44" s="17">
        <v>85</v>
      </c>
      <c r="Q44" s="17">
        <v>0</v>
      </c>
      <c r="R44" s="17">
        <v>0</v>
      </c>
      <c r="S44" s="18">
        <v>156594</v>
      </c>
      <c r="T44" s="18">
        <v>3008266</v>
      </c>
      <c r="U44" s="18">
        <v>3899886</v>
      </c>
      <c r="V44" s="18">
        <v>4373933</v>
      </c>
    </row>
    <row r="45" spans="3:22" x14ac:dyDescent="0.2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17">
        <v>41</v>
      </c>
      <c r="P45" s="17">
        <v>86</v>
      </c>
      <c r="Q45" s="17">
        <v>0</v>
      </c>
      <c r="R45" s="17">
        <v>0</v>
      </c>
      <c r="S45" s="18">
        <v>164396</v>
      </c>
      <c r="T45" s="18">
        <v>3198776</v>
      </c>
      <c r="U45" s="18">
        <v>4098136</v>
      </c>
      <c r="V45" s="18">
        <v>4556725</v>
      </c>
    </row>
    <row r="46" spans="3:22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17">
        <v>42</v>
      </c>
      <c r="P46" s="17">
        <v>87</v>
      </c>
      <c r="Q46" s="17">
        <v>0</v>
      </c>
      <c r="R46" s="17">
        <v>0</v>
      </c>
      <c r="S46" s="18">
        <v>172601</v>
      </c>
      <c r="T46" s="18">
        <v>3397306</v>
      </c>
      <c r="U46" s="18">
        <v>4303956</v>
      </c>
      <c r="V46" s="18">
        <v>4747097</v>
      </c>
    </row>
    <row r="47" spans="3:22" x14ac:dyDescent="0.2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17">
        <v>43</v>
      </c>
      <c r="P47" s="17">
        <v>88</v>
      </c>
      <c r="Q47" s="17">
        <v>0</v>
      </c>
      <c r="R47" s="17">
        <v>0</v>
      </c>
      <c r="S47" s="18">
        <v>180936</v>
      </c>
      <c r="T47" s="18">
        <v>3603797</v>
      </c>
      <c r="U47" s="18">
        <v>4517267</v>
      </c>
      <c r="V47" s="18">
        <v>4945173</v>
      </c>
    </row>
    <row r="48" spans="3:22" x14ac:dyDescent="0.2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17">
        <v>44</v>
      </c>
      <c r="P48" s="17">
        <v>89</v>
      </c>
      <c r="Q48" s="17">
        <v>0</v>
      </c>
      <c r="R48" s="17">
        <v>0</v>
      </c>
      <c r="S48" s="18">
        <v>189277</v>
      </c>
      <c r="T48" s="18">
        <v>3818008</v>
      </c>
      <c r="U48" s="18">
        <v>4737798</v>
      </c>
      <c r="V48" s="18">
        <v>5150957</v>
      </c>
    </row>
    <row r="49" spans="3:22" x14ac:dyDescent="0.2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17">
        <v>45</v>
      </c>
      <c r="P49" s="17">
        <v>90</v>
      </c>
      <c r="Q49" s="17">
        <v>0</v>
      </c>
      <c r="R49" s="17">
        <v>0</v>
      </c>
      <c r="S49" s="18">
        <v>197530</v>
      </c>
      <c r="T49" s="18">
        <v>4039738</v>
      </c>
      <c r="U49" s="18">
        <v>4965358</v>
      </c>
      <c r="V49" s="18">
        <v>5364359</v>
      </c>
    </row>
    <row r="50" spans="3:22" x14ac:dyDescent="0.2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17">
        <v>46</v>
      </c>
      <c r="P50" s="17">
        <v>91</v>
      </c>
      <c r="Q50" s="17">
        <v>0</v>
      </c>
      <c r="R50" s="17">
        <v>0</v>
      </c>
      <c r="S50" s="18">
        <v>205820</v>
      </c>
      <c r="T50" s="18">
        <v>4269125</v>
      </c>
      <c r="U50" s="18">
        <v>5200145</v>
      </c>
      <c r="V50" s="18">
        <v>5585428</v>
      </c>
    </row>
    <row r="51" spans="3:22" x14ac:dyDescent="0.2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17">
        <v>47</v>
      </c>
      <c r="P51" s="17">
        <v>92</v>
      </c>
      <c r="Q51" s="17">
        <v>0</v>
      </c>
      <c r="R51" s="17">
        <v>0</v>
      </c>
      <c r="S51" s="18">
        <v>214027</v>
      </c>
      <c r="T51" s="18">
        <v>4506309</v>
      </c>
      <c r="U51" s="18">
        <v>5442379</v>
      </c>
      <c r="V51" s="18">
        <v>5814073</v>
      </c>
    </row>
    <row r="52" spans="3:22" x14ac:dyDescent="0.2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17">
        <v>48</v>
      </c>
      <c r="P52" s="17">
        <v>93</v>
      </c>
      <c r="Q52" s="17">
        <v>0</v>
      </c>
      <c r="R52" s="17">
        <v>0</v>
      </c>
      <c r="S52" s="18">
        <v>222341</v>
      </c>
      <c r="T52" s="18">
        <v>4752095</v>
      </c>
      <c r="U52" s="18">
        <v>5693035</v>
      </c>
      <c r="V52" s="18">
        <v>6050369</v>
      </c>
    </row>
    <row r="53" spans="3:22" x14ac:dyDescent="0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17">
        <v>49</v>
      </c>
      <c r="P53" s="17">
        <v>94</v>
      </c>
      <c r="Q53" s="17">
        <v>0</v>
      </c>
      <c r="R53" s="17">
        <v>0</v>
      </c>
      <c r="S53" s="18">
        <v>230829</v>
      </c>
      <c r="T53" s="18">
        <v>5007418</v>
      </c>
      <c r="U53" s="18">
        <v>5953208</v>
      </c>
      <c r="V53" s="18">
        <v>6294429</v>
      </c>
    </row>
    <row r="54" spans="3:22" x14ac:dyDescent="0.2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17">
        <v>50</v>
      </c>
      <c r="P54" s="17">
        <v>95</v>
      </c>
      <c r="Q54" s="17">
        <v>0</v>
      </c>
      <c r="R54" s="17">
        <v>0</v>
      </c>
      <c r="S54" s="18">
        <v>239458</v>
      </c>
      <c r="T54" s="18">
        <v>5274089</v>
      </c>
      <c r="U54" s="18">
        <v>6225019</v>
      </c>
      <c r="V54" s="18">
        <v>6546243</v>
      </c>
    </row>
    <row r="55" spans="3:22" x14ac:dyDescent="0.25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17">
        <v>51</v>
      </c>
      <c r="P55" s="17">
        <v>96</v>
      </c>
      <c r="Q55" s="17">
        <v>0</v>
      </c>
      <c r="R55" s="17">
        <v>0</v>
      </c>
      <c r="S55" s="18">
        <v>248388</v>
      </c>
      <c r="T55" s="18">
        <v>5555089</v>
      </c>
      <c r="U55" s="18">
        <v>6511899</v>
      </c>
      <c r="V55" s="18">
        <v>6805843</v>
      </c>
    </row>
    <row r="56" spans="3:22" x14ac:dyDescent="0.2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17">
        <v>52</v>
      </c>
      <c r="P56" s="17">
        <v>97</v>
      </c>
      <c r="Q56" s="17">
        <v>0</v>
      </c>
      <c r="R56" s="17">
        <v>0</v>
      </c>
      <c r="S56" s="18">
        <v>258074</v>
      </c>
      <c r="T56" s="18">
        <v>5853049</v>
      </c>
      <c r="U56" s="18">
        <v>6816729</v>
      </c>
      <c r="V56" s="18">
        <v>7073644</v>
      </c>
    </row>
    <row r="57" spans="3:22" x14ac:dyDescent="0.2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17">
        <v>53</v>
      </c>
      <c r="P57" s="17">
        <v>98</v>
      </c>
      <c r="Q57" s="17">
        <v>0</v>
      </c>
      <c r="R57" s="17">
        <v>0</v>
      </c>
      <c r="S57" s="18">
        <v>267892</v>
      </c>
      <c r="T57" s="18">
        <v>6172750</v>
      </c>
      <c r="U57" s="18">
        <v>7144960</v>
      </c>
      <c r="V57" s="18">
        <v>7349194</v>
      </c>
    </row>
    <row r="58" spans="3:22" x14ac:dyDescent="0.2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17">
        <v>54</v>
      </c>
      <c r="P58" s="17">
        <v>99</v>
      </c>
      <c r="Q58" s="17">
        <v>0</v>
      </c>
      <c r="R58" s="17">
        <v>0</v>
      </c>
      <c r="S58" s="18">
        <v>277301</v>
      </c>
      <c r="T58" s="18">
        <v>6522368</v>
      </c>
      <c r="U58" s="18">
        <v>7505968</v>
      </c>
      <c r="V58" s="18">
        <v>7631119</v>
      </c>
    </row>
    <row r="59" spans="3:22" x14ac:dyDescent="0.2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17">
        <v>55</v>
      </c>
      <c r="P59" s="17">
        <v>100</v>
      </c>
      <c r="Q59" s="17">
        <v>0</v>
      </c>
      <c r="R59" s="17">
        <v>0</v>
      </c>
      <c r="S59" s="18">
        <v>285728</v>
      </c>
      <c r="T59" s="18">
        <v>6916847</v>
      </c>
      <c r="U59" s="18">
        <v>7916847</v>
      </c>
      <c r="V59" s="18">
        <v>7916847</v>
      </c>
    </row>
    <row r="60" spans="3:22" x14ac:dyDescent="0.2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17">
        <v>56</v>
      </c>
      <c r="P60" s="17">
        <v>101</v>
      </c>
      <c r="Q60" s="17">
        <v>0</v>
      </c>
      <c r="R60" s="17">
        <v>0</v>
      </c>
      <c r="S60" s="18">
        <v>459542</v>
      </c>
      <c r="T60" s="18">
        <v>7376389</v>
      </c>
      <c r="U60" s="18">
        <v>8376389</v>
      </c>
      <c r="V60" s="18">
        <v>8376389</v>
      </c>
    </row>
    <row r="61" spans="3:22" x14ac:dyDescent="0.2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17">
        <v>57</v>
      </c>
      <c r="P61" s="17">
        <v>102</v>
      </c>
      <c r="Q61" s="17">
        <v>0</v>
      </c>
      <c r="R61" s="17">
        <v>0</v>
      </c>
      <c r="S61" s="18">
        <v>486058</v>
      </c>
      <c r="T61" s="18">
        <v>7862447</v>
      </c>
      <c r="U61" s="18">
        <v>8862447</v>
      </c>
      <c r="V61" s="18">
        <v>8862447</v>
      </c>
    </row>
    <row r="62" spans="3:22" x14ac:dyDescent="0.2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17">
        <v>58</v>
      </c>
      <c r="P62" s="17">
        <v>103</v>
      </c>
      <c r="Q62" s="17">
        <v>0</v>
      </c>
      <c r="R62" s="17">
        <v>0</v>
      </c>
      <c r="S62" s="18">
        <v>514103</v>
      </c>
      <c r="T62" s="18">
        <v>8376550</v>
      </c>
      <c r="U62" s="18">
        <v>9376550</v>
      </c>
      <c r="V62" s="18">
        <v>9376550</v>
      </c>
    </row>
    <row r="63" spans="3:22" x14ac:dyDescent="0.2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17">
        <v>59</v>
      </c>
      <c r="P63" s="17">
        <v>104</v>
      </c>
      <c r="Q63" s="17">
        <v>0</v>
      </c>
      <c r="R63" s="17">
        <v>0</v>
      </c>
      <c r="S63" s="18">
        <v>543767</v>
      </c>
      <c r="T63" s="18">
        <v>8920317</v>
      </c>
      <c r="U63" s="18">
        <v>9920317</v>
      </c>
      <c r="V63" s="18">
        <v>9920317</v>
      </c>
    </row>
    <row r="64" spans="3:22" x14ac:dyDescent="0.2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17">
        <v>60</v>
      </c>
      <c r="P64" s="17">
        <v>105</v>
      </c>
      <c r="Q64" s="17">
        <v>0</v>
      </c>
      <c r="R64" s="17">
        <v>0</v>
      </c>
      <c r="S64" s="18">
        <v>575142</v>
      </c>
      <c r="T64" s="18">
        <v>9495459</v>
      </c>
      <c r="U64" s="18">
        <v>10495459</v>
      </c>
      <c r="V64" s="18">
        <v>10495459</v>
      </c>
    </row>
    <row r="65" spans="3:22" x14ac:dyDescent="0.2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17">
        <v>61</v>
      </c>
      <c r="P65" s="17">
        <v>106</v>
      </c>
      <c r="Q65" s="17">
        <v>0</v>
      </c>
      <c r="R65" s="17">
        <v>0</v>
      </c>
      <c r="S65" s="18">
        <v>608328</v>
      </c>
      <c r="T65" s="18">
        <v>10103787</v>
      </c>
      <c r="U65" s="18">
        <v>11103787</v>
      </c>
      <c r="V65" s="18">
        <v>11103787</v>
      </c>
    </row>
    <row r="66" spans="3:22" x14ac:dyDescent="0.2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17">
        <v>62</v>
      </c>
      <c r="P66" s="17">
        <v>107</v>
      </c>
      <c r="Q66" s="17">
        <v>0</v>
      </c>
      <c r="R66" s="17">
        <v>0</v>
      </c>
      <c r="S66" s="18">
        <v>643429</v>
      </c>
      <c r="T66" s="18">
        <v>10747215</v>
      </c>
      <c r="U66" s="18">
        <v>11747215</v>
      </c>
      <c r="V66" s="18">
        <v>11747215</v>
      </c>
    </row>
    <row r="67" spans="3:22" x14ac:dyDescent="0.25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17">
        <v>63</v>
      </c>
      <c r="P67" s="17">
        <v>108</v>
      </c>
      <c r="Q67" s="17">
        <v>0</v>
      </c>
      <c r="R67" s="17">
        <v>0</v>
      </c>
      <c r="S67" s="18">
        <v>680554</v>
      </c>
      <c r="T67" s="18">
        <v>11427770</v>
      </c>
      <c r="U67" s="18">
        <v>12427770</v>
      </c>
      <c r="V67" s="18">
        <v>12427770</v>
      </c>
    </row>
    <row r="68" spans="3:22" x14ac:dyDescent="0.25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17">
        <v>64</v>
      </c>
      <c r="P68" s="17">
        <v>109</v>
      </c>
      <c r="Q68" s="17">
        <v>0</v>
      </c>
      <c r="R68" s="17">
        <v>0</v>
      </c>
      <c r="S68" s="18">
        <v>719822</v>
      </c>
      <c r="T68" s="18">
        <v>12147592</v>
      </c>
      <c r="U68" s="18">
        <v>13147592</v>
      </c>
      <c r="V68" s="18">
        <v>13147592</v>
      </c>
    </row>
    <row r="69" spans="3:22" x14ac:dyDescent="0.2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17">
        <v>65</v>
      </c>
      <c r="P69" s="17">
        <v>110</v>
      </c>
      <c r="Q69" s="17">
        <v>0</v>
      </c>
      <c r="R69" s="17">
        <v>0</v>
      </c>
      <c r="S69" s="18">
        <v>761356</v>
      </c>
      <c r="T69" s="18">
        <v>12908948</v>
      </c>
      <c r="U69" s="18">
        <v>13908948</v>
      </c>
      <c r="V69" s="18">
        <v>13908948</v>
      </c>
    </row>
    <row r="70" spans="3:22" x14ac:dyDescent="0.2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17">
        <v>66</v>
      </c>
      <c r="P70" s="17">
        <v>111</v>
      </c>
      <c r="Q70" s="17">
        <v>0</v>
      </c>
      <c r="R70" s="17">
        <v>0</v>
      </c>
      <c r="S70" s="18">
        <v>805286</v>
      </c>
      <c r="T70" s="18">
        <v>13714234</v>
      </c>
      <c r="U70" s="18">
        <v>14714234</v>
      </c>
      <c r="V70" s="18">
        <v>14714234</v>
      </c>
    </row>
    <row r="71" spans="3:22" x14ac:dyDescent="0.25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17">
        <v>67</v>
      </c>
      <c r="P71" s="17">
        <v>112</v>
      </c>
      <c r="Q71" s="17">
        <v>0</v>
      </c>
      <c r="R71" s="17">
        <v>0</v>
      </c>
      <c r="S71" s="18">
        <v>851751</v>
      </c>
      <c r="T71" s="18">
        <v>14565986</v>
      </c>
      <c r="U71" s="18">
        <v>15565986</v>
      </c>
      <c r="V71" s="18">
        <v>15565986</v>
      </c>
    </row>
    <row r="72" spans="3:22" x14ac:dyDescent="0.2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17">
        <v>68</v>
      </c>
      <c r="P72" s="17">
        <v>113</v>
      </c>
      <c r="Q72" s="17">
        <v>0</v>
      </c>
      <c r="R72" s="17">
        <v>0</v>
      </c>
      <c r="S72" s="18">
        <v>900897</v>
      </c>
      <c r="T72" s="18">
        <v>15466883</v>
      </c>
      <c r="U72" s="18">
        <v>16466883</v>
      </c>
      <c r="V72" s="18">
        <v>16466883</v>
      </c>
    </row>
    <row r="73" spans="3:22" x14ac:dyDescent="0.25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17">
        <v>69</v>
      </c>
      <c r="P73" s="17">
        <v>114</v>
      </c>
      <c r="Q73" s="17">
        <v>0</v>
      </c>
      <c r="R73" s="17">
        <v>0</v>
      </c>
      <c r="S73" s="18">
        <v>952879</v>
      </c>
      <c r="T73" s="18">
        <v>16419762</v>
      </c>
      <c r="U73" s="18">
        <v>17419762</v>
      </c>
      <c r="V73" s="18">
        <v>17419762</v>
      </c>
    </row>
    <row r="74" spans="3:22" x14ac:dyDescent="0.2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17">
        <v>70</v>
      </c>
      <c r="P74" s="17">
        <v>115</v>
      </c>
      <c r="Q74" s="17">
        <v>0</v>
      </c>
      <c r="R74" s="17">
        <v>0</v>
      </c>
      <c r="S74" s="18">
        <v>1007860</v>
      </c>
      <c r="T74" s="18">
        <v>17427622</v>
      </c>
      <c r="U74" s="18">
        <v>18427622</v>
      </c>
      <c r="V74" s="18">
        <v>18427622</v>
      </c>
    </row>
    <row r="75" spans="3:22" x14ac:dyDescent="0.25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17">
        <v>71</v>
      </c>
      <c r="P75" s="17">
        <v>116</v>
      </c>
      <c r="Q75" s="17">
        <v>0</v>
      </c>
      <c r="R75" s="17">
        <v>0</v>
      </c>
      <c r="S75" s="18">
        <v>1066014</v>
      </c>
      <c r="T75" s="18">
        <v>18493636</v>
      </c>
      <c r="U75" s="18">
        <v>19493636</v>
      </c>
      <c r="V75" s="18">
        <v>19493636</v>
      </c>
    </row>
    <row r="76" spans="3:22" x14ac:dyDescent="0.25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17">
        <v>72</v>
      </c>
      <c r="P76" s="17">
        <v>117</v>
      </c>
      <c r="Q76" s="17">
        <v>0</v>
      </c>
      <c r="R76" s="17">
        <v>0</v>
      </c>
      <c r="S76" s="18">
        <v>1127523</v>
      </c>
      <c r="T76" s="18">
        <v>19621159</v>
      </c>
      <c r="U76" s="18">
        <v>20621159</v>
      </c>
      <c r="V76" s="18">
        <v>20621159</v>
      </c>
    </row>
    <row r="77" spans="3:22" x14ac:dyDescent="0.25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17">
        <v>73</v>
      </c>
      <c r="P77" s="17">
        <v>118</v>
      </c>
      <c r="Q77" s="17">
        <v>0</v>
      </c>
      <c r="R77" s="17">
        <v>0</v>
      </c>
      <c r="S77" s="18">
        <v>1192581</v>
      </c>
      <c r="T77" s="18">
        <v>20813740</v>
      </c>
      <c r="U77" s="18">
        <v>21813740</v>
      </c>
      <c r="V77" s="18">
        <v>21813740</v>
      </c>
    </row>
    <row r="78" spans="3:22" x14ac:dyDescent="0.25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17">
        <v>74</v>
      </c>
      <c r="P78" s="17">
        <v>119</v>
      </c>
      <c r="Q78" s="17">
        <v>0</v>
      </c>
      <c r="R78" s="17">
        <v>0</v>
      </c>
      <c r="S78" s="18">
        <v>1261393</v>
      </c>
      <c r="T78" s="18">
        <v>22075133</v>
      </c>
      <c r="U78" s="18">
        <v>23075133</v>
      </c>
      <c r="V78" s="18">
        <v>23075133</v>
      </c>
    </row>
    <row r="79" spans="3:22" x14ac:dyDescent="0.25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17">
        <v>75</v>
      </c>
      <c r="P79" s="17">
        <v>120</v>
      </c>
      <c r="Q79" s="17">
        <v>0</v>
      </c>
      <c r="R79" s="17">
        <v>0</v>
      </c>
      <c r="S79" s="18">
        <v>1334175</v>
      </c>
      <c r="T79" s="18">
        <v>23409308</v>
      </c>
      <c r="U79" s="18">
        <v>24409308</v>
      </c>
      <c r="V79" s="18">
        <v>24409308</v>
      </c>
    </row>
    <row r="80" spans="3:22" x14ac:dyDescent="0.25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17">
        <v>76</v>
      </c>
      <c r="P80" s="17">
        <v>121</v>
      </c>
      <c r="Q80" s="17">
        <v>0</v>
      </c>
      <c r="R80" s="17">
        <v>0</v>
      </c>
      <c r="S80" s="18">
        <v>1411157</v>
      </c>
      <c r="T80" s="18">
        <v>24820465</v>
      </c>
      <c r="U80" s="18">
        <v>25820465</v>
      </c>
      <c r="V80" s="18">
        <v>25820465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Cheat Code</vt:lpstr>
      <vt:lpstr>Premium Finance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Grace, Matthew</dc:creator>
  <cp:lastModifiedBy>Hotmail account</cp:lastModifiedBy>
  <dcterms:created xsi:type="dcterms:W3CDTF">2025-07-24T19:40:38Z</dcterms:created>
  <dcterms:modified xsi:type="dcterms:W3CDTF">2025-08-10T12:04:29Z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f1df539-6093-4ec5-baaa-eb0dcc11254e_Enabled">
    <vt:lpwstr>true</vt:lpwstr>
  </property>
  <property fmtid="{D5CDD505-2E9C-101B-9397-08002B2CF9AE}" pid="3" name="MSIP_Label_1f1df539-6093-4ec5-baaa-eb0dcc11254e_SetDate">
    <vt:lpwstr>2025-07-24T21:11:49Z</vt:lpwstr>
  </property>
  <property fmtid="{D5CDD505-2E9C-101B-9397-08002B2CF9AE}" pid="4" name="MSIP_Label_1f1df539-6093-4ec5-baaa-eb0dcc11254e_Method">
    <vt:lpwstr>Standard</vt:lpwstr>
  </property>
  <property fmtid="{D5CDD505-2E9C-101B-9397-08002B2CF9AE}" pid="5" name="MSIP_Label_1f1df539-6093-4ec5-baaa-eb0dcc11254e_Name">
    <vt:lpwstr>General</vt:lpwstr>
  </property>
  <property fmtid="{D5CDD505-2E9C-101B-9397-08002B2CF9AE}" pid="6" name="MSIP_Label_1f1df539-6093-4ec5-baaa-eb0dcc11254e_SiteId">
    <vt:lpwstr>649fc29a-ece3-4a3b-a3c1-680a2f035a6e</vt:lpwstr>
  </property>
  <property fmtid="{D5CDD505-2E9C-101B-9397-08002B2CF9AE}" pid="7" name="MSIP_Label_1f1df539-6093-4ec5-baaa-eb0dcc11254e_ActionId">
    <vt:lpwstr>3da92603-675c-4a10-9b9b-8182885d2b9d</vt:lpwstr>
  </property>
  <property fmtid="{D5CDD505-2E9C-101B-9397-08002B2CF9AE}" pid="8" name="MSIP_Label_1f1df539-6093-4ec5-baaa-eb0dcc11254e_ContentBits">
    <vt:lpwstr>0</vt:lpwstr>
  </property>
  <property fmtid="{D5CDD505-2E9C-101B-9397-08002B2CF9AE}" pid="9" name="MSIP_Label_1f1df539-6093-4ec5-baaa-eb0dcc11254e_Tag">
    <vt:lpwstr>10, 3, 0, 1</vt:lpwstr>
  </property>
</Properties>
</file>